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<sst xmlns="http://schemas.openxmlformats.org/spreadsheetml/2006/main" count="19233" uniqueCount="17518">
  <si>
    <t>Tweet</t>
  </si>
  <si>
    <t>Class</t>
  </si>
  <si>
    <t>tweet_clean</t>
  </si>
  <si>
    <t>tweet_english</t>
  </si>
  <si>
    <t>Hari ini udh mulai ppkm yaa..😣</t>
  </si>
  <si>
    <t>Hari ini udh mulai ppkm yaa..</t>
  </si>
  <si>
    <t>@e100ss mohon info apakah PGS pasar turi selama ppkm buka seperti biasa atau tutup. Terima kasih</t>
  </si>
  <si>
    <t>mohon info apakah PGS pasar turi selama ppkm buka seperti biasa atau tutup. Terima kasih</t>
  </si>
  <si>
    <t>@bertanyarl Di rumah aja soalnya lagi ppkm
 Entah bakal ngapain</t>
  </si>
  <si>
    <t>Di rumah aja soalnya lagi ppkmEntah bakal ngapain</t>
  </si>
  <si>
    <t>Pangkal penanganan pandemi #covid19 di Indonesia yang terkesan semrawut itu adalah kekurangtegasan dalam penerapan prokes, PSBB dan PPKM baik mikro maupun #PPKMDarurat , contoh kemarin di Sidoarjo adain vaksin tapi menimbulkan kerumuman hebat. Podo ae wkwk</t>
  </si>
  <si>
    <t>Pangkal penanganan pandemi di Indonesia yang terkesan semrawut itu adalah kekurangtegasan dalam penerapan prokes, PSBB dan PPKM baik mikro maupun , contoh kemarin di Sidoarjo adain vaksin tapi menimbulkan kerumuman hebat. Podo ae wkwk</t>
  </si>
  <si>
    <t>ppkm mikro anjingggggggg</t>
  </si>
  <si>
    <t>Di saat genting layaknya dalam situasi peperangan seperti sekarang ini, dimana banyak nyawa yang melayang.
 Percuma pemerintah/aparat keamanan berlakukan PPKM Mikro kalau mereka tdk tegas menangkap para politikus2 pengadu domba, kaum mabuk agama dan pejabat daerah yg pembangkang!</t>
  </si>
  <si>
    <t>Di saat genting layaknya dalam situasi peperangan seperti sekarang ini, dimana banyak nyawa yang melayang.Percuma pemerintah/aparat keamanan berlakukan PPKM Mikro kalau mereka tdk tegas menangkap para politikus2 pengadu domba, kaum mabuk agama dan pejabat daerah yg pembangkang!</t>
  </si>
  <si>
    <t>@arioktara02 Nindak pelanggar PPKM darurat pakai UU Karantina. Tapi kewajibannya tak dibaca.. 
 Dungu itu namanya</t>
  </si>
  <si>
    <t>Nindak pelanggar PPKM darurat pakai UU Karantina. Tapi kewajibannya tak dibaca.. Dungu itu namanya</t>
  </si>
  <si>
    <t>PPKM mikro dimulai sejak hari ini, jaga kesehatan, ulah hilap emam</t>
  </si>
  <si>
    <t>Akibat ppkm darurat, terpaksa harus divaksin juga....</t>
  </si>
  <si>
    <t>@notagoodprsn @bdngfess a ini mah udh berlaku dari juni kan? apa pas ppkm juga segitu aja yg ditutupnya ga ada tambahan?</t>
  </si>
  <si>
    <t>a ini mah udh berlaku dari juni kan? apa pas ppkm juga segitu aja yg ditutupnya ga ada tambahan?</t>
  </si>
  <si>
    <t>@OposisiCerdas Lah tujuan ppkm darurat bukan berhasil atau sia2 kok.. spt yg udh2, rakyat dilarang mudik ribuan TKA msk ke indonesia🤪🤪</t>
  </si>
  <si>
    <t>Lah tujuan ppkm darurat bukan berhasil atau sia2 kok.. spt yg udh2, rakyat dilarang mudik ribuan TKA msk ke indonesia</t>
  </si>
  <si>
    <t>@humas_jogja Pak, mohon info, untuk usaha barbershop (cukur rambut pria) di DIY, selama PPKM Darurat Jawa dan Bali mulai 3 Juli 2021, apakah masih boleh buka sampai jam 20.00 dengan menerapkan protokol kesehatan dan membatasi 50% dari kapasitas?</t>
  </si>
  <si>
    <t>Pak, mohon info, untuk usaha barbershop (cukur rambut pria) di DIY, selama PPKM Darurat Jawa dan Bali mulai Juli , apakah masih boleh buka sampai jam dengan menerapkan protokol kesehatan dan membatasi % dari kapasitas?</t>
  </si>
  <si>
    <t>Mau pergi? lantas melihat flyer ini jd tidak ingin pergi 😂 (Hari 1 PPKM dimulai) https://t.co/ZcRNOJUlA5</t>
  </si>
  <si>
    <t>Mau pergi? lantas melihat flyer ini jd tidak ingin pergi (Hari PPKM dimulai)</t>
  </si>
  <si>
    <t>Ppkm hari 1.
 Karena jadi wni saja sudah pusing, maka ngga perlu lari zona 5. https://t.co/MwFSQwczp1</t>
  </si>
  <si>
    <t>Ppkm hari .Karena jadi wni saja sudah pusing, maka ngga perlu lari zona .</t>
  </si>
  <si>
    <t>Mulai arogan sodara !?
 Aturannya sih bener, realita &amp;amp; pelaksanaannya.
 PPKM Darurat. Kawal terus ~ https://t.co/z2BJ08lXBU</t>
  </si>
  <si>
    <t>Mulai arogan sodara !?Aturannya sih bener, realita &amp;amp; pelaksanaannya.PPKM Darurat. Kawal terus ~</t>
  </si>
  <si>
    <t>tangerang selatan masuk ppkm... pantesan semalem ke indomaret semuanya pake masker biasanya ada yg ga pake https://t.co/iVc5yv29wp</t>
  </si>
  <si>
    <t>tangerang selatan masuk ppkm... pantesan semalem ke indomaret semuanya pake masker biasanya ada yg ga pake</t>
  </si>
  <si>
    <t>@Chon94_ Sebelum ppkm juga gak ada yang ajak jalan sih, agak terbiasa haha</t>
  </si>
  <si>
    <t>Sebelum ppkm juga gak ada yang ajak jalan sih, agak terbiasa haha</t>
  </si>
  <si>
    <t>PPKM di mulai hari ini tetap patuhi Prokes dan tetap jaga imun tubuh perbanyak olah raga 😁
 - perbanyak minum air putih
 - madu
 - jangan begadang
 - makan teratur
 - istirahat cukup
 - jaga jarak
 - jauhi kerumunan
 - pacaran ( 🤣🤣🤣🤣 gw jomblo cukkk )</t>
  </si>
  <si>
    <t>PPKM di mulai hari ini tetap patuhi Prokes dan tetap jaga imun tubuh perbanyak olah raga - perbanyak minum air putih- madu- jangan begadang- makan teratur- istirahat cukup- jaga jarak- jauhi kerumunan- pacaran ( gw jomblo cukkk )</t>
  </si>
  <si>
    <t>PPKM darurat hari pertama diisi dengan pengumuman kematian.</t>
  </si>
  <si>
    <t>Hah? Di las vegas dah bisa party lagi? Ga ada ppkm gitu? Ntaps https://t.co/XB0slL6MgT</t>
  </si>
  <si>
    <t>Hah? Di las vegas dah bisa party lagi? Ga ada ppkm gitu? Ntaps</t>
  </si>
  <si>
    <t>Happy weekend moots, inget ppkm mulai hari ini ya. Lebih baik dirumah dulu😌😌😌</t>
  </si>
  <si>
    <t>Happy weekend moots, inget ppkm mulai hari ini ya. Lebih baik dirumah dulu</t>
  </si>
  <si>
    <t>When ppkm sudah berlaku fisik dipaksa kerja. Sehat sehat badan☺️ https://t.co/ETh7wYLODf</t>
  </si>
  <si>
    <t>When ppkm sudah berlaku fisik dipaksa kerja. Sehat sehat badan</t>
  </si>
  <si>
    <t>@inferiority_PD @mouldie_sep ppkm tidak berlaku utk atasanku 👍
 tetap who+weekend+lembur 👍</t>
  </si>
  <si>
    <t>ppkm tidak berlaku utk atasanku tetap who+weekend+lembur</t>
  </si>
  <si>
    <t>Lari di pagi hari dan melihat aktivitas masyarakat jakarta pada saat PPKM mikro Darurat, ku lihat dari kalangan pemuda yang baru saja kembali ke rumahnya, ada juga yang ingin mengantarkan bundanya entah kemana dan pemuda yang sehat ialah tak pernah bosan untuk berolahraga.</t>
  </si>
  <si>
    <t>Mumpung sabtu dan ppkm, mari kita kodya tour lagi</t>
  </si>
  <si>
    <t>Blum bisa Comeback Stream gara2 PPKM... Sorry harus terulang lagi seperti tahun lalu. 😭</t>
  </si>
  <si>
    <t>Blum bisa Comeback Stream gara2 PPKM... Sorry harus terulang lagi seperti tahun lalu.</t>
  </si>
  <si>
    <t>PPKM = Pak Presiden, Kok Mencla Mencle??</t>
  </si>
  <si>
    <t>Welcum PPKM Diperketat. Semoga kasus kopit cepat turun drastis</t>
  </si>
  <si>
    <t>Bisnis tanpa etika ya seperti ini. Saya sepakat bahwa pandemi #covid19 membuka opportunity bisnis, seperti ekspansi contactless economy. Mereka malah banyak membantu kita di saat PPKM. Ivermectin? Tolong ikuti guideline WHO kalau mau bisnis ya! 🥲 https://t.co/Blor4hVPfS</t>
  </si>
  <si>
    <t>Bisnis tanpa etika ya seperti ini. Saya sepakat bahwa pandemi membuka opportunity bisnis, seperti ekspansi contactless economy. Mereka malah banyak membantu kita di saat PPKM. Ivermectin? Tolong ikuti guideline WHO kalau mau bisnis ya!</t>
  </si>
  <si>
    <t>Tetep semangat buat rekan-rekan yang terkena dampak PPKM DARURAT.</t>
  </si>
  <si>
    <t>Hari ini PPKM diterapkan dan dimulai di seluruh wilayah Indonesia. Mdh2an dngn Diterapkan nya PPKM bisa Me ngurangi Penyebaran Covid-19 di Masyarakat. Alhamdulillah hari ini cek up dr Jantung jam 6 pagi Sudah nunggu dr di RS Hermina. Hasil Swab - PCR Alhamdulillah NEGATIV👍🤲🙏 https://t.co/gAjhd2feeK</t>
  </si>
  <si>
    <t>Hari ini PPKM diterapkan dan dimulai di seluruh wilayah Indonesia. Mdh2an dngn Diterapkan nya PPKM bisa Me ngurangi Penyebaran Covid-19 di Masyarakat. Alhamdulillah hari ini cek up dr Jantung jam pagi Sudah nunggu dr di RS Hermina. Hasil Swab - PCR Alhamdulillah NEGATIV</t>
  </si>
  <si>
    <t>Gila perusahaan doi mau psbb ppkm ppkm darurat aturan segala rupa dikasih dr pemerintah ga bikin goyah, tetep masuk ga ada perubahan jam atau apapun. Ko bisa bisanya</t>
  </si>
  <si>
    <t>PPKM ..
 Tidak berlaku di bandara dan pelabuhan ?
 Benarkah ?
 Ach pintu virus pun tetap terbuka ,sungguh 
 Pak Presiden Kurang Marwah 😂😂</t>
  </si>
  <si>
    <t>PPKM ..Tidak berlaku di bandara dan pelabuhan ?Benarkah ?Ach pintu virus pun tetap terbuka ,sungguh Pak Presiden Kurang Marwah</t>
  </si>
  <si>
    <t>@freakydis Lagi ppkm darurat</t>
  </si>
  <si>
    <t>Lagi ppkm darurat</t>
  </si>
  <si>
    <t>Dan salah satu Habib di deket rumah hari ini ngadain hajatan, tepat di waktu PPKM dimulai, tolol emang kesel! Awas aja kalau ga ditindak satgas covid!!</t>
  </si>
  <si>
    <t>@fahmidore Tau ga ada yg mikir kalo peraturan ppkm darurat ga berlaku di jepara krn yg di pamflet/brosur yg daftar kota itu jepara ga tertera disitu🤣 trus aku bilang ya ttp berlaku cuma jeparany aja ga diakuin kota🤭</t>
  </si>
  <si>
    <t>Tau ga ada yg mikir kalo peraturan ppkm darurat ga berlaku di jepara krn yg di pamflet/brosur yg daftar kota itu jepara ga tertera disitu trus aku bilang ya ttp berlaku cuma jeparany aja ga diakuin kota</t>
  </si>
  <si>
    <t>Baru pulanh ngajakin si bulu jalan pagi. Si ipas berhenti gara2 denger kucing tetangga yg di kandang. Kasian banget mereka di kandang terus ga pernah jalan-jalan. Eh tapi hari kan manusia juga di kandang, ya.. PPKM wkwk https://t.co/k4lVW2IMri</t>
  </si>
  <si>
    <t>Baru pulanh ngajakin si bulu jalan pagi. Si ipas berhenti gara2 denger kucing tetangga yg di kandang. Kasian banget mereka di kandang terus ga pernah jalan-jalan. Eh tapi hari kan manusia juga di kandang, ya.. PPKM wkwk</t>
  </si>
  <si>
    <t>@CommuterLine halo admin, mau tanya, jadwal comm jabodetabek terbaru ppkm darurat bisa diliat dimana ya?</t>
  </si>
  <si>
    <t>halo admin, mau tanya, jadwal comm jabodetabek terbaru ppkm darurat bisa diliat dimana ya?</t>
  </si>
  <si>
    <t>Hay min @e100ss untuk ppkm hari ini kondisi nya gimana? Apakah ada penyekatan untuk masuk surabaya, plis bagi info 🥺🥺🥺 Senin kerja soal nya</t>
  </si>
  <si>
    <t>Hay min untuk ppkm hari ini kondisi nya gimana? Apakah ada penyekatan untuk masuk surabaya, plis bagi info Senin kerja soal nya</t>
  </si>
  <si>
    <t>ppkm bajingan</t>
  </si>
  <si>
    <t>Pagii !
 Udah balik tidur lagi aja.
 PPKM Darurat apa kabarnya !? ~</t>
  </si>
  <si>
    <t>Pagii !Udah balik tidur lagi aja.PPKM Darurat apa kabarnya !? ~</t>
  </si>
  <si>
    <t>___"buah jatuh tak jauh de pohonya" atau mungkin punya pikiran _SOLO itu tdk di P.JAWA_ bagaimana tindakan POLRI ?..berani nggak ..
 Gibran Rakabuming Izinkan Mall Tetap Buka Saat PPKM Darurat, Abdillah Toha: Bagaimana ini Anak Presiden Kita? - Gala Jabar https://t.co/wlXIZfzjgX</t>
  </si>
  <si>
    <t>___"buah jatuh tak jauh de pohonya" atau mungkin punya pikiran _SOLO itu tdk di P.JAWA_ bagaimana tindakan POLRI ?..berani nggak ..Gibran Rakabuming Izinkan Mall Tetap Buka Saat PPKM Darurat, Abdillah Toha: Bagaimana ini Anak Presiden Kita? - Gala Jabar</t>
  </si>
  <si>
    <t>Hari ini, hari pertama PPKM ya? Buat kalian yang masih beraktivitas di luar, Hati-Hati di jalan ya, patuhi protokol kesehatan dan selalu pakai masker, supaya kamu terhindar dari virus. 😊 luv https://t.co/luSCcSYxGJ</t>
  </si>
  <si>
    <t>Hari ini, hari pertama PPKM ya? Buat kalian yang masih beraktivitas di luar, Hati-Hati di jalan ya, patuhi protokol kesehatan dan selalu pakai masker, supaya kamu terhindar dari virus. luv</t>
  </si>
  <si>
    <t>@FWBESS Hadeuh saya yg pengawas ppkm aja pusing ngeri kena:(</t>
  </si>
  <si>
    <t>Hadeuh saya yg pengawas ppkm aja pusing ngeri kena</t>
  </si>
  <si>
    <t>happy weekend manteman, jangan lupa dah mulai PPKM 👍🏻 https://t.co/sTmbYbRAq8</t>
  </si>
  <si>
    <t>happy weekend manteman, jangan lupa dah mulai PPKM</t>
  </si>
  <si>
    <t>PPKM Kota Malang
 @infomalang https://t.co/gfJaxHGdpF</t>
  </si>
  <si>
    <t>PPKM Kota Malang</t>
  </si>
  <si>
    <t>Kadang suka mikir ,
 Kok yang banyak kena covid tuh beritanya pulau Jawa doang yahh
 Dan yang diberlakukan PPKM cuma Jawa dan Bali
 Apa tuh virus sukanya cuma di jawa Bali doang yahh</t>
  </si>
  <si>
    <t>Kadang suka mikir ,Kok yang banyak kena covid tuh beritanya pulau Jawa doang yahhDan yang diberlakukan PPKM cuma Jawa dan BaliApa tuh virus sukanya cuma di jawa Bali doang yahh</t>
  </si>
  <si>
    <t>Tidak boleh ada satu warga pun yang tidak terjamin kebutuhan hidup nya selama PPKM darurat dilaksanakan... https://t.co/8V7GXwQGI8</t>
  </si>
  <si>
    <t>Tidak boleh ada satu warga pun yang tidak terjamin kebutuhan hidup nya selama PPKM darurat dilaksanakan...</t>
  </si>
  <si>
    <t>@ridwankamil Mudah mudahan dengan adanya ppkm corona cepat ilang Aamiin</t>
  </si>
  <si>
    <t>Mudah mudahan dengan adanya ppkm corona cepat ilang Aamiin</t>
  </si>
  <si>
    <t>@RieGucciano PPKM - Pagi...Pagi...Kopi...Morning 
 🤣</t>
  </si>
  <si>
    <t>PPKM - Pagi...Pagi...Kopi...Morning</t>
  </si>
  <si>
    <t>PPKM
 PaPnya dong Kakak Manis,,
 @L_MarshaJKT48</t>
  </si>
  <si>
    <t>PPKMPaPnya dong Kakak Manis,,</t>
  </si>
  <si>
    <t>PPKM tapi mas bayu masih masuk terus. gurunya pun disuruh tetap masuk. katanya kalau gak masuk sekolahnya rugi dan ga bisa gaji guru gurunya :')</t>
  </si>
  <si>
    <t>Untuk pengguna tol dalam kota, bisa si perhatikan titik mana saja yg exit nya di tutup selama masa PPKM. Jadi bisa di ancang2 mau lewat tol atau arteri. https://t.co/QsrBuNnxn6</t>
  </si>
  <si>
    <t>Untuk pengguna tol dalam kota, bisa si perhatikan titik mana saja yg exit nya di tutup selama masa PPKM. Jadi bisa di ancang2 mau lewat tol atau arteri.</t>
  </si>
  <si>
    <t>Sekarang ppkm, tapi harus kerja 😩</t>
  </si>
  <si>
    <t>Sekarang ppkm, tapi harus kerja</t>
  </si>
  <si>
    <t>Apa itu PPKM, ditempatku kalau belum tumbang ya wajib mangkat hahah</t>
  </si>
  <si>
    <t>@alterhome18 Ga kena ppkm po?</t>
  </si>
  <si>
    <t>Ga kena ppkm po?</t>
  </si>
  <si>
    <t>Selamat pagi semuanya.
 Semangat ya PPKM</t>
  </si>
  <si>
    <t>Selamat pagi semuanya.Semangat ya PPKM</t>
  </si>
  <si>
    <t>Ppkm kepanjangan dari pengen peluk kamu mas, bener ga syg?</t>
  </si>
  <si>
    <t>@PRFMnews min infonya klo di kota bandung ada penyekatan Jalan dimana aja? Klo sepedahan di bandung boleh kah lg ppkm darurat skrg?</t>
  </si>
  <si>
    <t>min infonya klo di kota bandung ada penyekatan Jalan dimana aja? Klo sepedahan di bandung boleh kah lg ppkm darurat skrg?</t>
  </si>
  <si>
    <t>Itu hubungan atau PPKM?
 Kok banyak penyekatan 🤭</t>
  </si>
  <si>
    <t>Itu hubungan atau PPKM?Kok banyak penyekatan</t>
  </si>
  <si>
    <t>Teman - teman twiip yang baik hati
 Ikuti aturan pemerintah 
 Jalani prokes &amp;amp; Jalani aturan PPKM</t>
  </si>
  <si>
    <t>Teman - teman twiip yang baik hatiIkuti aturan pemerintah Jalani prokes &amp;amp; Jalani aturan PPKM</t>
  </si>
  <si>
    <t>Baru inget ppkm skrng yaa, kolam renanh tutup deng</t>
  </si>
  <si>
    <t>@FWBESS Tahannn tahann ppkm</t>
  </si>
  <si>
    <t>Tahannn tahann ppkm</t>
  </si>
  <si>
    <t>@Baracuda1818 @Aryprasetyo85 @WSuparmo @03__nakula @DonjuanX8 @DS_yantie @Minietweets2 @vita_AVP @HeryIdris3 Paling tdk nanti diberhentikan sementara dulu..karena membandel dalam PPKM Darurat</t>
  </si>
  <si>
    <t>Paling tdk nanti diberhentikan sementara dulu..karena membandel dalam PPKM Darurat</t>
  </si>
  <si>
    <t>@RonnyYulianto7 @RerCrown @Wan9Wong213 @BatuKepla @kadrunhunter21 @trewellu @govindajaya4 @sungganteng @AyamSegar3 Pagi kawan ku yg termasuk golongan pengusaha essential yg di bebaskan dlm PPKM Darurat sbg penyelamat bangsa2 wanita</t>
  </si>
  <si>
    <t>Pagi kawan ku yg termasuk golongan pengusaha essential yg di bebaskan dlm PPKM Darurat sbg penyelamat bangsa2 wanita</t>
  </si>
  <si>
    <t>Selamat pagi warga Twitter 
 Sehat selalu semua... 
 Ya Tuhan... 
 Semoga di hari pertama PPKM Kota Malang, ENGKAU beri kemudahan 
 Buat Ojol MAXIM Q. 
 man Teman Mohon bantuan doanya, 
 Semoga kita semua baik2 saja. 
 Amin..... 🙏🙏 https://t.co/6cLQlEkteL</t>
  </si>
  <si>
    <t>Selamat pagi warga Twitter Sehat selalu semua... Ya Tuhan... Semoga di hari pertama PPKM Kota Malang, ENGKAU beri kemudahan Buat Ojol MAXIM Q. man Teman Mohon bantuan doanya, Semoga kita semua baik2 saja. Amin.....</t>
  </si>
  <si>
    <t>Owh mungkin karena alun2 tidak termasuk fasilitas umum jadi tidak di tutup seperti aturan PPKM darurat. 😂🤣 https://t.co/aCAZ3hPjx4</t>
  </si>
  <si>
    <t>Owh mungkin karena alun2 tidak termasuk fasilitas umum jadi tidak di tutup seperti aturan PPKM darurat.</t>
  </si>
  <si>
    <t>PPKM Darurat berlaku di Banten juga, kan? Kenapa masjid-masjid di sini (Sarua Indah) masih melaksanakan salat Subuh berjamaah? https://t.co/QomrpDtGVn</t>
  </si>
  <si>
    <t>PPKM Darurat berlaku di Banten juga, kan? Kenapa masjid-masjid di sini (Sarua Indah) masih melaksanakan salat Subuh berjamaah?</t>
  </si>
  <si>
    <t>PPKM ala Andrie 
 Pasti Pemerintah Kurang Mengayomi 
 Perlu Peraturan Kurangi Melanggar</t>
  </si>
  <si>
    <t>PPKM ala Andrie Pasti Pemerintah Kurang Mengayomi Perlu Peraturan Kurangi Melanggar</t>
  </si>
  <si>
    <t>Dulu saya suka sama PPKM, Bahasa Indonesia, olahraga, sosiologi, geografi, pokoknya anti matematika 😌</t>
  </si>
  <si>
    <t>Dulu saya suka sama PPKM, Bahasa Indonesia, olahraga, sosiologi, geografi, pokoknya anti matematika</t>
  </si>
  <si>
    <t>PPKM, ya baca Al-Quran sajaa</t>
  </si>
  <si>
    <t>Apa itu ppkm darurat.....</t>
  </si>
  <si>
    <t>PPKM Darurat di Bali, Tempat Wisata Ditutup, WNA “Ngeyel” Dideportasi https://t.co/kdhfQlnLFJ</t>
  </si>
  <si>
    <t>PPKM Darurat di Bali, Tempat Wisata Ditutup, WNA Ngeyel Dideportasi</t>
  </si>
  <si>
    <t>@undipmenfess Kemaren sebelum ppkm gaada, gatau kalo sekarang</t>
  </si>
  <si>
    <t>Kemaren sebelum ppkm gaada, gatau kalo sekarang</t>
  </si>
  <si>
    <t>ini ppkm beneran ta? lotte tutup gak ya, mau belanja bulanan oe</t>
  </si>
  <si>
    <t>PPKM Darurat Hari pertama, Aktivitas di Pasar masih seperti biasa
 Ya pada akhirnya rezim ini cuma bisa ganti akronim doang</t>
  </si>
  <si>
    <t>PPKM Darurat Hari pertama, Aktivitas di Pasar masih seperti biasaYa pada akhirnya rezim ini cuma bisa ganti akronim doang</t>
  </si>
  <si>
    <t>hari pertama PPKM mikro, kerja 😑 https://t.co/kWZkpYqiKX</t>
  </si>
  <si>
    <t>hari pertama PPKM mikro, kerja</t>
  </si>
  <si>
    <t>kepending gara2 ppkm bangsat dahhh</t>
  </si>
  <si>
    <t>@SiaranBolaLive Pertandingan batal, krn lg ppkm kecamatan,berani lawan...hubungi opung</t>
  </si>
  <si>
    <t>Pertandingan batal, krn lg ppkm kecamatan,berani lawan...hubungi opung</t>
  </si>
  <si>
    <t>ppkm tai ucing geus weh lockdown tp rakyatnya dikasi makan ulah dianggurin wae.</t>
  </si>
  <si>
    <t>@CommuterLine ini berlaku selama ppkm min?</t>
  </si>
  <si>
    <t>ini berlaku selama ppkm min?</t>
  </si>
  <si>
    <t>Work! Semangat yang masih harus pergi ke kantor saat PPKM, perasaan semalam sampai kos jam 10 malam karena split. Pagi ini berangkat lagi :'( Sehat-sehat semuanya 🤍</t>
  </si>
  <si>
    <t>Work! Semangat yang masih harus pergi ke kantor saat PPKM, perasaan semalam sampai kos jam malam karena split. Pagi ini berangkat lagi :'( Sehat-sehat semuanya</t>
  </si>
  <si>
    <t>Work! Siapa yang wfo setelah ppkm berlaku?
 Me 😂😭</t>
  </si>
  <si>
    <t>Work! Siapa yang wfo setelah ppkm berlaku?Me</t>
  </si>
  <si>
    <t>PPKM darurat itu gak cuma bisa ancam... 
 1. Hak warga negara juga harus dipenuhi.
 2. Warga negara asing harus dihentikan arus masuknya.
 Cukupkan kelakuan bangsat seperti ini...</t>
  </si>
  <si>
    <t>PPKM darurat itu gak cuma bisa ancam... . Hak warga negara juga harus dipenuhi.2. Warga negara asing harus dihentikan arus masuknya.Cukupkan kelakuan bangsat seperti ini...</t>
  </si>
  <si>
    <t>@NenkMonica Ya wajarlah yg jd komanfan PPKM kan Luhut dia Kafir, Pastilah masjid di tutup, COVID MAKHLUK ALLAH, TAKUT SAMA ALLAH BUKAN SAMA COVID</t>
  </si>
  <si>
    <t>Ya wajarlah yg jd komanfan PPKM kan Luhut dia Kafir, Pastilah masjid di tutup, COVID MAKHLUK ALLAH, TAKUT SAMA ALLAH BUKAN SAMA COVID</t>
  </si>
  <si>
    <t>Lupa banget hari ini udah ppkm</t>
  </si>
  <si>
    <t>@kdramalovaaa Aku juga biasanya gt, cuma pengen beli online aja mls keluar ppkm d lg sekrang</t>
  </si>
  <si>
    <t>Aku juga biasanya gt, cuma pengen beli online aja mls keluar ppkm d lg sekrang</t>
  </si>
  <si>
    <t>Nonton berita artis di @SCTV kok gak prokes, bebas hajatan juga...lha piye?? Kita yg dikampung kena PPKM mo hajatan gak boleh, kemana2 prokes.....</t>
  </si>
  <si>
    <t>Nonton berita artis di kok gak prokes, bebas hajatan juga...lha piye?? Kita yg dikampung kena PPKM mo hajatan gak boleh, kemana2 prokes.....</t>
  </si>
  <si>
    <t>Morning ppkm darurat! Tp masi ada kondangan asli takot banget gambling ni nyawa 😭😭😭😭</t>
  </si>
  <si>
    <t>Morning ppkm darurat! Tp masi ada kondangan asli takot banget gambling ni nyawa</t>
  </si>
  <si>
    <t>@ibn_maheer @NNdrae @Terompah12 Sayangnya ini hanya pendapat pribadi, bukan pendapat Lembaga, kalo pendapat lembaga "mungkin" Pak Wapres bisa memberikan masukan untuk pengaturan PPKM Darurat...
 ("mungkin ") loh 🤭🤦‍♀️</t>
  </si>
  <si>
    <t>Sayangnya ini hanya pendapat pribadi, bukan pendapat Lembaga, kalo pendapat lembaga "mungkin" Pak Wapres bisa memberikan masukan untuk pengaturan PPKM Darurat...("mungkin ") loh</t>
  </si>
  <si>
    <t>@salatiga_info Sayange pas ppkm darurat</t>
  </si>
  <si>
    <t>Sayange pas ppkm darurat</t>
  </si>
  <si>
    <t>Min..punten mau tanya klo BEC lagi ppkm mikro buka ga?@PRFMnews</t>
  </si>
  <si>
    <t>Min..punten mau tanya klo BEC lagi ppkm mikro buka ga?</t>
  </si>
  <si>
    <t>@saifulteladan PPKM perjuangan
 PPKM perjuangan sejahtera..
 Semoga kebijakan ini betul2 berdampak mengurangi laju penyebaran kopid.
 Aamiin.</t>
  </si>
  <si>
    <t>PPKM perjuanganPPKM perjuangan sejahtera..Semoga kebijakan ini betul2 berdampak mengurangi laju penyebaran kopid.Aamiin.</t>
  </si>
  <si>
    <t>himbauan ppkm dilarang ini itu mbo di imbangi juga dengan anjuran kita dikasih jalan keluar ini itu juga biar seimbang.</t>
  </si>
  <si>
    <t>Awali weekend dengan ppkm</t>
  </si>
  <si>
    <t>@ridwankamil Kang punten pami anu varian delta eta nyebarna lewat udara atanapi antar manusia ? Pami antar manusia naha ya aya d indonesia kan indonesia mah masyarakat na di piwarang PPKM ... ?</t>
  </si>
  <si>
    <t>Kang punten pami anu varian delta eta nyebarna lewat udara atanapi antar manusia ? Pami antar manusia naha ya aya d indonesia kan indonesia mah masyarakat na di piwarang PPKM ... ?</t>
  </si>
  <si>
    <t>@PT_Transjakarta min 7P beroperasional gak selama PPKM darurat?</t>
  </si>
  <si>
    <t>min P beroperasional gak selama PPKM darurat?</t>
  </si>
  <si>
    <t>Selamat pagi! Selamat menjalankan PPKM Darurat 🔥</t>
  </si>
  <si>
    <t>Selamat pagi! Selamat menjalankan PPKM Darurat</t>
  </si>
  <si>
    <t>@mrwidj_w Haiii Mas @mrwidj_w, lagi ppkm gak kemana2 donk? Sini main2 ke hatiku, mau??? 🤣🤣🤣</t>
  </si>
  <si>
    <t>Haiii Mas , lagi ppkm gak kemana2 donk? Sini main2 ke hatiku, mau???</t>
  </si>
  <si>
    <t>@KangSemproel oooow ujung PPKM ternyata Idul Adha.. komunis bangsat...</t>
  </si>
  <si>
    <t>oooow ujung PPKM ternyata Idul Adha.. komunis bangsat...</t>
  </si>
  <si>
    <t>@bemmm__ berarti ppkm iki parah si, sampe lokal ilang kabeh</t>
  </si>
  <si>
    <t>berarti ppkm iki parah si, sampe lokal ilang kabeh</t>
  </si>
  <si>
    <t>@hrdbacot Pen gemuk pas ppkm besok mungkin</t>
  </si>
  <si>
    <t>Pen gemuk pas ppkm besok mungkin</t>
  </si>
  <si>
    <t>Hari kedua PPKM Darurat sudah bosen yang santen-santen.</t>
  </si>
  <si>
    <t>Awali hari pertama PPKM mu dengan kalimat pujian:
 "Hadeeuuhh 🤦"</t>
  </si>
  <si>
    <t>Awali hari pertama PPKM mu dengan kalimat pujian:"Hadeeuuhh "</t>
  </si>
  <si>
    <t>PPKM....Hari Pertama
 Cek...cek...ahhhhh</t>
  </si>
  <si>
    <t>PPKM....Hari PertamaCek...cek...ahhhhh</t>
  </si>
  <si>
    <t>Dukung Habis"an Mahasiswa !
 #PenindasRakyatHarusTumbang
 #PenindasRakyatHarusTumbang
 Covid19: PPKM darurat, Lockdown dijadikan Senjata Ampuh utk membunuh Aktifitas Aktifitas Ekonomi Rakyat. https://t.co/sccU9IQogm</t>
  </si>
  <si>
    <t>Dukung Habis"an Mahasiswa !: PPKM darurat, Lockdown dijadikan Senjata Ampuh utk membunuh Aktifitas Aktifitas Ekonomi Rakyat.</t>
  </si>
  <si>
    <t>PPKM absen dlu minggu ini wkwkw https://t.co/HJnq1P633A</t>
  </si>
  <si>
    <t>PPKM absen dlu minggu ini wkwkw</t>
  </si>
  <si>
    <t>@Anonymous_2024 Ntar kita balas, razia Neo neo PKI setelah ppkm ini.</t>
  </si>
  <si>
    <t>Ntar kita balas, razia Neo neo PKI setelah ppkm ini.</t>
  </si>
  <si>
    <t>Mengenai kekhawatiran pelaku usaha kafe dan restoran terkait imbas dari PPKM darurat saat ini</t>
  </si>
  <si>
    <t>PPKM
 Pak, Pastikan Keadaan Masyarakat 
 Pak, Pastikan Kami Makan
 Karena tentu banyak yg sulit untuk bertahan saat Pemberlakuan Pembatasan Kegiatan Masyarakat.</t>
  </si>
  <si>
    <t>PPKMPak, Pastikan Keadaan Masyarakat Pak, Pastikan Kami MakanKarena tentu banyak yg sulit untuk bertahan saat Pemberlakuan Pembatasan Kegiatan Masyarakat.</t>
  </si>
  <si>
    <t>@kadrunhunter21 @AyamSegar3 @govindajaya4 @Mas_Parjo_ @anthwf77 @josephinebarn @IndoCora @RonnyYulianto7 @BatuKepla @RerCrown @Pakde_yan @mikuro06 @RaniKancana @Cupidlucky2 @veravhera28 @aroy_novan11 @4bby5 Kan PPKM Darurat yam 😅</t>
  </si>
  <si>
    <t>Kan PPKM Darurat yam</t>
  </si>
  <si>
    <t>PPKM
 Pernah perhatian kemudian menghilang</t>
  </si>
  <si>
    <t>PPKMPernah perhatian kemudian menghilang</t>
  </si>
  <si>
    <t>@Kita_AMLTF AKU PATUH PPKM DEMI INDONESIA SEHAT DAN MAJU
 Lindungi diri dan keluargamu dgn patuh PROKES dan PPKM
 Ingatkan juga saudara teman dan lingkunganmu utk selalu PATUH PPKM
 Semoga pandemi ini cepat berlalu , Amin 🙏🙏</t>
  </si>
  <si>
    <t>AKU PATUH PPKM DEMI INDONESIA SEHAT DAN MAJULindungi diri dan keluargamu dgn patuh PROKES dan PPKMIngatkan juga saudara teman dan lingkunganmu utk selalu PATUH PPKMSemoga pandemi ini cepat berlalu , Amin</t>
  </si>
  <si>
    <t>PPKM 2 minggu, dipastikan aku semakin pucet kek vampire, minggu lalu lari di pantai, kena angin + keringat, kulit langsung merah2 dan gatal ci, kata temen "km terlalu menghayati diem di rumah, kurang berjemur"</t>
  </si>
  <si>
    <t>PPKM minggu, dipastikan aku semakin pucet kek vampire, minggu lalu lari di pantai, kena angin + keringat, kulit langsung merah2 dan gatal ci, kata temen "km terlalu menghayati diem di rumah, kurang berjemur"</t>
  </si>
  <si>
    <t>PPKM? Ya ya ya... https://t.co/j8JmWBzyxM</t>
  </si>
  <si>
    <t>PPKM? Ya ya ya...</t>
  </si>
  <si>
    <t>PPKM sebenernya mempermudah orang yang mau nikah,jadi gk perlu ngeluarin biaya gede.tapi yang susah itu mau nikah cuman jodohnya belum ada.wkwk</t>
  </si>
  <si>
    <t>@skjinapple Sabi tpi ppkm dijogja nih</t>
  </si>
  <si>
    <t>Sabi tpi ppkm dijogja nih</t>
  </si>
  <si>
    <t>Namanya PPKM Darurat atau apalah namanya akan berhasil jika rakyat disiplin dan petugasnya tegas. Tanpa hal itu.....preeettttt.</t>
  </si>
  <si>
    <t>@Kita_AMLTF AKU PATUHI PPKM DEMI INDONESIA SEHAT DAN MAJU
 Stay safe, masker jangan kendor dan selalu patuhi prokes 5M
 @Yatisujana5 
 @SriPuji00014107 
 @Erna_Sari971 
 Semoga Indonesia segera pulih dari pandemi ini 🤲</t>
  </si>
  <si>
    <t>AKU PATUHI PPKM DEMI INDONESIA SEHAT DAN MAJUStay safe, masker jangan kendor dan selalu patuhi prokes M Semoga Indonesia segera pulih dari pandemi ini</t>
  </si>
  <si>
    <t>jengkel ketika ada temen2 masih aja nongkrong disaat ppkm darurat gini. mbok ya uteknya dipakek gitu. kena covid nanti nanges.</t>
  </si>
  <si>
    <t>@AnwarPudagafc Nahitu,makanya kalo sudirman mah dari dulu emang paling tertib kalo model PSBB ato PPKM gini,coba minggiran dikit 😀</t>
  </si>
  <si>
    <t>Nahitu,makanya kalo sudirman mah dari dulu emang paling tertib kalo model PSBB ato PPKM gini,coba minggiran dikit</t>
  </si>
  <si>
    <t>Berolahraga di tempat keramaian merupakan salah satu poin yang dilarang selama PPKM Darurat karena berpotensi memicu kerumunan.</t>
  </si>
  <si>
    <t>Untuk menambah imun ayoo sempetin goes - goes tapi , ingat ikuti PPKM https://t.co/TOqpPWXdxO</t>
  </si>
  <si>
    <t>Untuk menambah imun ayoo sempetin goes - goes tapi , ingat ikuti PPKM</t>
  </si>
  <si>
    <t>@MrRCStore1 Boleh dicoba.. seblm kena ppkm 😄</t>
  </si>
  <si>
    <t>Boleh dicoba.. seblm kena ppkm</t>
  </si>
  <si>
    <t>Ternyata gitu yah alasan Doi menghilang. Karena pemerintah berlakukan PPKM "Pernah Perhatian Kemudian Menghilang"</t>
  </si>
  <si>
    <t>@AhmadBud321 @na_dirs Mall bukannya ditutup ya di PPKM Darurat ini? Yang buka cuma supermarket, toko obat, dan kebutuhan esensial lain. Coba dicek dulu</t>
  </si>
  <si>
    <t>Mall bukannya ditutup ya di PPKM Darurat ini? Yang buka cuma supermarket, toko obat, dan kebutuhan esensial lain. Coba dicek dulu</t>
  </si>
  <si>
    <t>@kumparan Apakah pemerintah menerapkan UU kekarantinaan untuk menerapkan PPKM Darurat saat ini, kalau pelanggaran PPKM Darurat akan diterapkan kepada para pelanggar.</t>
  </si>
  <si>
    <t>Apakah pemerintah menerapkan UU kekarantinaan untuk menerapkan PPKM Darurat saat ini, kalau pelanggaran PPKM Darurat akan diterapkan kepada para pelanggar.</t>
  </si>
  <si>
    <t>@SatyaArdyansyah dari PSBB sampai PPKM aku always menunggu you</t>
  </si>
  <si>
    <t>dari PSBB sampai PPKM aku always menunggu you</t>
  </si>
  <si>
    <t>Siap ppkm sebulan nih https://t.co/9Um5LCCnFo</t>
  </si>
  <si>
    <t>Siap ppkm sebulan nih</t>
  </si>
  <si>
    <t>PPKM Darurat Day 2... daripada gabut, mending dengerin Weekend Free bareng @yaelahbin dari jam 06.00-10.00 ^^</t>
  </si>
  <si>
    <t>PPKM Darurat Day ... daripada gabut, mending dengerin Weekend Free bareng dari jam $NUMBER$ ^^</t>
  </si>
  <si>
    <t>Daftar Jalan di Serang Banten yang Disekat saat PPKM Darurat https://t.co/mQqqNnQjN1</t>
  </si>
  <si>
    <t>Daftar Jalan di Serang Banten yang Disekat saat PPKM Darurat</t>
  </si>
  <si>
    <t>Sepi ya, gara gara PPKM? https://t.co/eEAm7hTlxf</t>
  </si>
  <si>
    <t>Sepi ya, gara gara PPKM?</t>
  </si>
  <si>
    <t>PPKM Darurat, Lockdown Tapi Rakyat Yang Nanggung Biayanya | PORTAL ISLAM https://t.co/ut31STSbEV</t>
  </si>
  <si>
    <t>PPKM Darurat, Lockdown Tapi Rakyat Yang Nanggung Biayanya | PORTAL ISLAM</t>
  </si>
  <si>
    <t>PPKM : Photo Pidio Kembali Mumet</t>
  </si>
  <si>
    <t>Good morning, apa aktivitas pagi kamu di hari kedua ppkm?</t>
  </si>
  <si>
    <t>/kle PPKM hari kedua sudah banyak yg menawarkan catering siap antar biar tidak keluar rumah, tapi satupun belum ada yg menawarkan cara mendapatkan uang tanpa keluar rumah.</t>
  </si>
  <si>
    <t>Ppkm 100% masok yok</t>
  </si>
  <si>
    <t>Ppkm % masok yok</t>
  </si>
  <si>
    <t>Jangan dilepas pakai materai dng mudahnya pak.
 Bawa snjta tajam itu aja udah melanggar psl 2 ayat (1) UU Drt. No. 12/1951. Mksml 10 th kurungan tuh pak. Apalagi lg ppkm gini, jelas mau bikin onar itu. https://t.co/6sMb9UWCfn</t>
  </si>
  <si>
    <t>Jangan dilepas pakai materai dng mudahnya pak.Bawa snjta tajam itu aja udah melanggar psl ayat (1) UU Drt. No. /1951. Mksml th kurungan tuh pak. Apalagi lg ppkm gini, jelas mau bikin onar itu.</t>
  </si>
  <si>
    <t>@kompascom Tenang nanti ppkm</t>
  </si>
  <si>
    <t>Tenang nanti ppkm</t>
  </si>
  <si>
    <t>Day-2 PPKM :
 Masak mie pake telor, saat mau niriskan malah telurnya jatuh :)</t>
  </si>
  <si>
    <t>Day-2 PPKM :Masak mie pake telor, saat mau niriskan malah telurnya jatuh</t>
  </si>
  <si>
    <t>ada ppkm juga perasaan sama aja deh ._.</t>
  </si>
  <si>
    <t>@detikcom Kan sudah dikasih tau kemarin, selama PPKM darurat dilarang gowes, koq ngeyel ya..</t>
  </si>
  <si>
    <t>Kan sudah dikasih tau kemarin, selama PPKM darurat dilarang gowes, koq ngeyel ya..</t>
  </si>
  <si>
    <t>Pagi² dengar kabar duka , gw harap PPKM ini ada hasilnya jd sering bnget liat atau dengar kabar duka</t>
  </si>
  <si>
    <t>Pagi dengar kabar duka , gw harap PPKM ini ada hasilnya jd sering bnget liat atau dengar kabar duka</t>
  </si>
  <si>
    <t>PPKM. pisang panjang kamu mau</t>
  </si>
  <si>
    <t>Selamat Pagi.💕
 Sedih deh sejak PPKM berlaku,Nee chan jd gk bisa beli bahan u/ berkarya lagi.Maaf jd terhalang 🙏
 Mohon tunggu dgn sabar,Nee chan pasti kembali berkarya u/teman2. 
 Tetap smangat dlm berkarya y u/ teman2 Vtuber.Nee chan slalu mendukung kalian.Tolg jaga kesehatan y.</t>
  </si>
  <si>
    <t>Selamat Pagi.Sedih deh sejak PPKM berlaku,Nee chan jd gk bisa beli bahan u/ berkarya lagi.Maaf jd terhalang Mohon tunggu dgn sabar,Nee chan pasti kembali berkarya u/teman2. Tetap smangat dlm berkarya y u/ teman2 Vtuber.Nee chan slalu mendukung kalian.Tolg jaga kesehatan y.</t>
  </si>
  <si>
    <t>kenapa males banget skincarean pas isolasi sama ppkm gini</t>
  </si>
  <si>
    <t>Jujur gw uda ga kluar rumah mgkn 2 bulan menuju 3 bulan… uda ada plan pengen makan diluar dr 2 minggu lalu tp kehalang kerjaan, tp skrg ppkm 😭😭</t>
  </si>
  <si>
    <t>Jujur gw uda ga kluar rumah mgkn bulan menuju bulan uda ada plan pengen makan diluar dr minggu lalu tp kehalang kerjaan, tp skrg ppkm</t>
  </si>
  <si>
    <t>@Kita_AMLTF AKU PATUH PPKM DEMI INDONESIA SEHAT DAN MAJU</t>
  </si>
  <si>
    <t>AKU PATUH PPKM DEMI INDONESIA SEHAT DAN MAJU</t>
  </si>
  <si>
    <t>@jiyeseung Next week?? Mumping lagi ppkm banyak yg wfh hahaha</t>
  </si>
  <si>
    <t>Next week?? Mumping lagi ppkm banyak yg wfh hahaha</t>
  </si>
  <si>
    <t>iisip ppkm juga kek libur aja gitu gausa daring daringan, cape gua pusing mana tugas bikin vidio mulu, mana ngambil stockshootnya ribet sono sini di sekat, ga dikerjain rata rata tugas uas. 
 udah smt 6 baru mikir "apa gua salah ngambil jurusan ya?" auah mau cemilin cet tembok aja</t>
  </si>
  <si>
    <t>iisip ppkm juga kek libur aja gitu gausa daring daringan, cape gua pusing mana tugas bikin vidio mulu, mana ngambil stockshootnya ribet sono sini di sekat, ga dikerjain rata rata tugas uas. udah smt baru mikir "apa gua salah ngambil jurusan ya?" auah mau cemilin cet tembok aja</t>
  </si>
  <si>
    <t>@kegblgnunfaedh YAAAAH BEGO
 YG DILIAT CUMAN DAERAH SEGITIGA EMAS DOANG. MELIPIR GIH KE JATINEGARA, CIPINANG, KP. MELAYU, KP. RAMBUTAN, KRAMAT JATI, CAKUNG, PENGGILINGAN, UJUNG MENTENG, ANGKE, TAMBORA, SAMA PRIOK. 
 GA SESEPI ITU WEEH, MASIH BANYAK YG BERKELIARAN, KERUMUNAN, BODO AMAT SAMA PPKM</t>
  </si>
  <si>
    <t>YAAAAH BEGOYG DILIAT CUMAN DAERAH SEGITIGA EMAS DOANG. MELIPIR GIH KE JATINEGARA, CIPINANG, KP. MELAYU, KP. RAMBUTAN, KRAMAT JATI, CAKUNG, PENGGILINGAN, UJUNG MENTENG, ANGKE, TAMBORA, SAMA PRIOK. GA SESEPI ITU WEEH, MASIH BANYAK YG BERKELIARAN, KERUMUNAN, BODO AMAT SAMA PPKM</t>
  </si>
  <si>
    <t>@Kita_AMLTF AKU PATUH PPKM DEMI INDONESIA SEHAT DAN MAJU
 Lawannya benar adalah Salah, 
 Jd kalo melawan yg benar sdh pasti akan Salah. 
 Yuk kita patuhi PPKM dan jaga ketat prokes, minimal demi keluarga tercinta.
 Hilangkan ego dan hasrat tak penting.
 Keselamatan keluarga dan negara yg utama https://t.co/VrX6r5rytA</t>
  </si>
  <si>
    <t>AKU PATUH PPKM DEMI INDONESIA SEHAT DAN MAJULawannya benar adalah Salah, Jd kalo melawan yg benar sdh pasti akan Salah. Yuk kita patuhi PPKM dan jaga ketat prokes, minimal demi keluarga tercinta.Hilangkan ego dan hasrat tak penting.Keselamatan keluarga dan negara yg utama</t>
  </si>
  <si>
    <t>@radenrauf Malam minggu suram, udah sendiri malah PPKM lagi</t>
  </si>
  <si>
    <t>Malam minggu suram, udah sendiri malah PPKM lagi</t>
  </si>
  <si>
    <t>Tadinya mau beli barang di toko online, baru ingat ppkm darurat kayaknya bakal ngaruh ke pengiriman barang.</t>
  </si>
  <si>
    <t>PPKM di kota Depok 
 Depok dilockdwon
 Akses keluar masuk Depok ditutup 
 Terjadi penyekatan disejumlah titik jalan yg menghubungkan Depok dgn wilayah sekitarnya 
 *Video semalem https://t.co/m4fzDYsIsN</t>
  </si>
  <si>
    <t>PPKM di kota Depok Depok dilockdwonAkses keluar masuk Depok ditutup Terjadi penyekatan disejumlah titik jalan yg menghubungkan Depok dgn wilayah sekitarnya *Video semalem</t>
  </si>
  <si>
    <t>@e100ss min tolong info klo sim saya mati tgl 6 juli 2021, apakah btul dapet dispensasi perpanjangan di tgl 21 juli 2021 yaitu setelah PPKM darurat?? Suwunn</t>
  </si>
  <si>
    <t>min tolong info klo sim saya mati tgl juli , apakah btul dapet dispensasi perpanjangan di tgl juli yaitu setelah PPKM darurat?? Suwunn</t>
  </si>
  <si>
    <t>Persis Jabar: Perketat Prokes, Masjid tak perlu ditutup selama PPKM Darurat
 https://t.co/wi9QiTxDG0</t>
  </si>
  <si>
    <t>Persis Jabar: Perketat Prokes, Masjid tak perlu ditutup selama PPKM Darurat</t>
  </si>
  <si>
    <t>@eskrimvanillla ppkm lhoooo</t>
  </si>
  <si>
    <t>ppkm lhoooo</t>
  </si>
  <si>
    <t>mau ppkm atau gk ku tetap ldr:)</t>
  </si>
  <si>
    <t>mau ppkm atau gk ku tetap ldr</t>
  </si>
  <si>
    <t>@Neng_Anyar Tetapkan prokes? Masyarakat nya yg tetapkan prokes.. pemerintah kan sudah suruh, masyarakat melanggar, makanya jadi ada ppkm. Be smart buuk</t>
  </si>
  <si>
    <t>Tetapkan prokes? Masyarakat nya yg tetapkan prokes.. pemerintah kan sudah suruh, masyarakat melanggar, makanya jadi ada ppkm. Be smart buuk</t>
  </si>
  <si>
    <t>Habis PPKM DARURAT apa lagi ya ?</t>
  </si>
  <si>
    <t>Menjelang UTS = PSBB 
 Menjelang UAS = PPKM</t>
  </si>
  <si>
    <t>Menjelang UTS = PSBB Menjelang UAS = PPKM</t>
  </si>
  <si>
    <t>Ppkm yg bikin w gendut</t>
  </si>
  <si>
    <t>@HeyBudie PPKM
 Pengen Peluk Kamu Mas :)</t>
  </si>
  <si>
    <t>PPKMPengen Peluk Kamu Mas</t>
  </si>
  <si>
    <t>Pelanggar ppkm cuma penjara
 Pelanggar sariat neraka</t>
  </si>
  <si>
    <t>Pelanggar ppkm cuma penjaraPelanggar sariat neraka</t>
  </si>
  <si>
    <t>@Kita_AMLTF Ayo teman teman jaga prokes dan tetap sehat 🙏
 @BiemLu613k
 @Klungsu01 
 AKU PATUH PPKM DEMI INDONESIA SEHAT DAN MAJU 🇮🇩</t>
  </si>
  <si>
    <t>Ayo teman teman jaga prokes dan tetap sehat AKU PATUH PPKM DEMI INDONESIA SEHAT DAN MAJU</t>
  </si>
  <si>
    <t>@Kita_AMLTF AKU PATUHI PPKM DEMI INDONESIA SEHAT DAN MAJU.
 Ayokkk everyone patuhi prokes dan taati anjuran pemerintah demi kebaikan &amp;amp; demi menyelamatkan nyawa, bukan hanya diri sendiri tapi untuk kita semuaa!
 MAU GAK MAU HARUS MAUU YAPP</t>
  </si>
  <si>
    <t>AKU PATUHI PPKM DEMI INDONESIA SEHAT DAN MAJU.Ayokkk everyone patuhi prokes dan taati anjuran pemerintah demi kebaikan &amp;amp; demi menyelamatkan nyawa, bukan hanya diri sendiri tapi untuk kita semuaa!MAU GAK MAU HARUS MAUU YAPP</t>
  </si>
  <si>
    <t>@rainbowmenfess Lagi ppkm nder</t>
  </si>
  <si>
    <t>Lagi ppkm nder</t>
  </si>
  <si>
    <t>Gak usah marah masjid ditutup sementara saat PPKM Darurat.
 Justru ini kesempatan menjadikan rumah kita sbg “masjid”. 
 Adzan di rumah masing2. Jamaah-an di rumah dg kelg. Wirid - ngaji di rumah. Barokah rumah kita menjadi “masjid” untuk keluarga kita. 
 Menggetarkan 
 🙏😍</t>
  </si>
  <si>
    <t>Gak usah marah masjid ditutup sementara saat PPKM Darurat.Justru ini kesempatan menjadikan rumah kita sbg masjid. Adzan di rumah masing2. Jamaah-an di rumah dg kelg. Wirid - ngaji di rumah. Barokah rumah kita menjadi masjid untuk keluarga kita. Menggetarkan</t>
  </si>
  <si>
    <t>Kebetulan juga memang lagi gak boleh sepedahan karena ppkm, brake pad habis dan nyarinya susah banget!! harganya udah kaya kanvas rem mobil pula https://t.co/RKIWgteLfk</t>
  </si>
  <si>
    <t>Kebetulan juga memang lagi gak boleh sepedahan karena ppkm, brake pad habis dan nyarinya susah banget!! harganya udah kaya kanvas rem mobil pula</t>
  </si>
  <si>
    <t>Selamat pagi ... mari nikmati akhir pekan dan PPKM dengan berkumpul bersama keluarga. Tetap sehat dan semangat.</t>
  </si>
  <si>
    <t>gmna PPKM di dps? mau ke kos nih~</t>
  </si>
  <si>
    <t>Forkopimda Jawa Timur juga menggelar rapat tadi malam untuk menindaklanjuti penerapan PPKM darurat.</t>
  </si>
  <si>
    <t>@tukangciloq PPKM = PEPEK KM MAMBU</t>
  </si>
  <si>
    <t>PPKM = PEPEK KM MAMBU</t>
  </si>
  <si>
    <t>Pukul 20:53 tadi malam, jalan arah kota Yogyakarta di tutup, 
 ~ Konsisten PPKM ~ https://t.co/hyxDTezagR
 |@merapi_uncover</t>
  </si>
  <si>
    <t>Pukul :53 tadi malam, jalan arah kota Yogyakarta di tutup, ~ Konsisten PPKM ~</t>
  </si>
  <si>
    <t>@Tha_mieee Ga kenal ppkm darurat ya paskeb mah 😅</t>
  </si>
  <si>
    <t>Ga kenal ppkm darurat ya paskeb mah</t>
  </si>
  <si>
    <t>lagi ppkm cara ngedate nya gimana?:')</t>
  </si>
  <si>
    <t>@pepi_miaw Gue cuma bisa berdoa semoga habis tgl 20 itu gada peningkatan ppkm lagi . Aamiin 🤲</t>
  </si>
  <si>
    <t>Gue cuma bisa berdoa semoga habis tgl itu gada peningkatan ppkm lagi . Aamiin</t>
  </si>
  <si>
    <t>Allah menciptakanmu tidak ujug2 kamu bejudul tergletak di pinggir jalan..tapi semua ada wasait lewat Proses dlm rahim Mbokmu...semua perlu lantaran Hayooo bareng2 ikut mensukseskan anjuran Pemerintah utk mentaati Anjuran pemerintah dg taat PPKM biar negara segera kluar dr Covid</t>
  </si>
  <si>
    <t>°°
 Pasal 14 UU No 4 Tahun 1984 Tentang Wabah Penyakit Menular.
 Itu ⬆️ buat pejabat di RI yang tidak mendukung PPKM darurat.
 .
 .
 .
 https://t.co/JAoE0dZSEw</t>
  </si>
  <si>
    <t>Pasal UU No Tahun Tentang Wabah Penyakit Menular.Itu buat pejabat di RI yang tidak mendukung PPKM darurat....</t>
  </si>
  <si>
    <t>@_AnakKolong @DivHumas_Polri @mohmahfudmd Buktikan ketegasannya dalam penegakan PPKM Darurat, jangan pandang jenggot.</t>
  </si>
  <si>
    <t>Buktikan ketegasannya dalam penegakan PPKM Darurat, jangan pandang jenggot.</t>
  </si>
  <si>
    <t>Hihihi gegara wilayahnya masuk PPKM darurat, pintu portal masuk keluar kos ditutup hari ini 🤭 untungnya sih aku hobby rebahan. cuma ya lagi ada perlu keluar kali ini ga jadi keluar deh</t>
  </si>
  <si>
    <t>Hihihi gegara wilayahnya masuk PPKM darurat, pintu portal masuk keluar kos ditutup hari ini untungnya sih aku hobby rebahan. cuma ya lagi ada perlu keluar kali ini ga jadi keluar deh</t>
  </si>
  <si>
    <t>Let's have our own ppkm. Pelan pelan kamu masukinnya 🥺🥺🥺🥺</t>
  </si>
  <si>
    <t>Let's have our own ppkm. Pelan pelan kamu masukinnya</t>
  </si>
  <si>
    <t>Salut sama yg masih bernyali kondangan di gedung pas PPKM. 😂👏</t>
  </si>
  <si>
    <t>Salut sama yg masih bernyali kondangan di gedung pas PPKM.</t>
  </si>
  <si>
    <t>Selama karantina wilayah apalagi PPKM darurat semua kebutuhan pokok yg mendasar rakyat jg hewan ternak ditanggung pempus dibantu oleh Pemda setempat....enak dong nih....🤭</t>
  </si>
  <si>
    <t>Selama karantina wilayah apalagi PPKM darurat semua kebutuhan pokok yg mendasar rakyat jg hewan ternak ditanggung pempus dibantu oleh Pemda setempat....enak dong nih....</t>
  </si>
  <si>
    <t>@Kita_AMLTF Aku tuh ppkm demi Indonesia sehat dan maju</t>
  </si>
  <si>
    <t>Aku tuh ppkm demi Indonesia sehat dan maju</t>
  </si>
  <si>
    <t>@sotobakar_ disana ga ppkm?</t>
  </si>
  <si>
    <t>disana ga ppkm?</t>
  </si>
  <si>
    <t>@enosena @MyRepublicID Kayanya jaringan TV mereka ada masalah sama leasing network deh. Sampeyan baru seminggu, saya sih udah 3 minggu dicuekin.
 Gue minta kompensasi dianggap sepi. Jaman PPKM begini malah bikin makin stress aja.</t>
  </si>
  <si>
    <t>Kayanya jaringan TV mereka ada masalah sama leasing network deh. Sampeyan baru seminggu, saya sih udah minggu dicuekin.Gue minta kompensasi dianggap sepi. Jaman PPKM begini malah bikin makin stress aja.</t>
  </si>
  <si>
    <t>PECAT AJA TUH KEPALA DAERAH - KEPALA DAERAH YG NGGA KOMPAK SAMA KEBIJAKAN PUSAT |
 Keberhasilan pelaksanaan PPKM Darurat sangat ditentukan oleh kepala daerah sbg pemegang otoritas pembuat kebijakan dlm pengendalikan pandemi di daerah masing2.
 @kemenkomarves @kemendagri https://t.co/9ev8DldyZW</t>
  </si>
  <si>
    <t>PECAT AJA TUH KEPALA DAERAH - KEPALA DAERAH YG NGGA KOMPAK SAMA KEBIJAKAN PUSAT |Keberhasilan pelaksanaan PPKM Darurat sangat ditentukan oleh kepala daerah sbg pemegang otoritas pembuat kebijakan dlm pengendalikan pandemi di daerah masing2.</t>
  </si>
  <si>
    <t>@iiikyyy__ wkwkwwk ga ppkm kh</t>
  </si>
  <si>
    <t>wkwkwwk ga ppkm kh</t>
  </si>
  <si>
    <t>PPKM alias pengen punya kamu mas🤢 https://t.co/SY9miszSqa</t>
  </si>
  <si>
    <t>PPKM alias pengen punya kamu mas</t>
  </si>
  <si>
    <t>BATINKU MERONTA INGIN BERKELANA KE JALAN! PENGEN LARI ANJIR TAPI HARUS TAHAN GAK BOLEH EGOIS DI MASA PPKM INI 😭</t>
  </si>
  <si>
    <t>BATINKU MERONTA INGIN BERKELANA KE JALAN! PENGEN LARI ANJIR TAPI HARUS TAHAN GAK BOLEH EGOIS DI MASA PPKM INI</t>
  </si>
  <si>
    <t>Liat berita Jawa Bali lagi pada PPKM kecuali Depok.</t>
  </si>
  <si>
    <t>Pertimbangan Bali masuk level 3 PPKM darurat adalah status kabupaten dan kota di sini yang masih dalam zona oranye, kecuali Tabanan dan Karangasem ya</t>
  </si>
  <si>
    <t>Pertimbangan Bali masuk level PPKM darurat adalah status kabupaten dan kota di sini yang masih dalam zona oranye, kecuali Tabanan dan Karangasem ya</t>
  </si>
  <si>
    <t>Smlm liat jalanan rame bgt, trs gue speechless liat bnyk orang tdk bermasker. Lg jalan2 naik motor sambil ketawa2. Sedangkan gue? lg panik sm suami nyari DSA jm6 sore ditambah PPKM margonda ditutup. Akhirnya?puter balik kermh.</t>
  </si>
  <si>
    <t>PPKM hari ke-2 jalanan lengang. Sepi tenan.. 
 #dasareisihesuk 🤭
 #ppkm #mikro #ppkmmikro #jawabali #covid_19 https://t.co/XvAqeL9weU</t>
  </si>
  <si>
    <t>PPKM hari ke-2 jalanan lengang. Sepi tenan..</t>
  </si>
  <si>
    <t>Kata sepeda road bike di masa PPKM: https://t.co/RwG0AKsHKH</t>
  </si>
  <si>
    <t>Kata sepeda road bike di masa PPKM:</t>
  </si>
  <si>
    <t>@Kita_AMLTF AKU PATUH PPKM DEMI INDONESIA SEHAT DAN MAJU.
 Yuk ikutan kawan2 semuanya
 @LikaMamik @yuli_chudhori @susiloahmadi1 !</t>
  </si>
  <si>
    <t>AKU PATUH PPKM DEMI INDONESIA SEHAT DAN MAJU.Yuk ikutan kawan2 semuanya !</t>
  </si>
  <si>
    <t>@Polyglot7777 @tvOneNews Orang yg ngotot masukan TKA, menko semua menteri, gagal tangani pandemi malah ditunjuk kepalai PPKM.. Yg nunjuk bodoh sekali..</t>
  </si>
  <si>
    <t>Orang yg ngotot masukan TKA, menko semua menteri, gagal tangani pandemi malah ditunjuk kepalai PPKM.. Yg nunjuk bodoh sekali..</t>
  </si>
  <si>
    <t>@gabutproduktif @mrsmes Oalahh susah yaa?? Di RS susah jg?? Lg ppkm jg kan gabisa kemana2</t>
  </si>
  <si>
    <t>Oalahh susah yaa?? Di RS susah jg?? Lg ppkm jg kan gabisa kemana2</t>
  </si>
  <si>
    <t>Buat Sunday menjadi happy. La gmn? PPKM buat quality time sm pasangan, me time ataupun ngeloni anak time dan masak special time 😁</t>
  </si>
  <si>
    <t>Buat Sunday menjadi happy. La gmn? PPKM buat quality time sm pasangan, me time ataupun ngeloni anak time dan masak special time</t>
  </si>
  <si>
    <t>PPKM (Pemberlakuan Pembatasan Kegiatan Masyarakat). 
 Jawa-Bali ? Saja
 Khusus wilayah Sunda mah bebas.
 wkwkK 👏👏
  "Kotok bongkok kumorolong, kacingcalang kumarantang". 
 #PPKMDarurat #ppkm https://t.co/6pDE8Z4Z8H</t>
  </si>
  <si>
    <t>PPKM (Pemberlakuan Pembatasan Kegiatan Masyarakat). Jawa-Bali ? SajaKhusus wilayah Sunda mah bebas.wkwkK "Kotok bongkok kumorolong, kacingcalang kumarantang".</t>
  </si>
  <si>
    <t>Selamat PAGI
 Jangan Lupa PATUHI PROKES &amp;amp; TAAT PPKM Sob..INDONESIA HARUS SEHAT 🌹🇮🇩❤️</t>
  </si>
  <si>
    <t>Selamat PAGIJangan Lupa PATUHI PROKES &amp;amp; TAAT PPKM Sob..INDONESIA HARUS SEHAT</t>
  </si>
  <si>
    <t>Untung deket pantai, tp lagi ppkm sial https://t.co/Lfn57hIu5N</t>
  </si>
  <si>
    <t>Untung deket pantai, tp lagi ppkm sial</t>
  </si>
  <si>
    <t>Jangan takut ga punya uang, karena selama PPKM kita ga perlu makan 😂</t>
  </si>
  <si>
    <t>Jangan takut ga punya uang, karena selama PPKM kita ga perlu makan</t>
  </si>
  <si>
    <t>ppkm semoga covid bisa cepet ilang amin</t>
  </si>
  <si>
    <t>PPKM Langkah Tepat
 MUI Sebut Langkah Pemerintah Sudah Tepat Terapkan PPKM Darurat
 https://t.co/ahn3qltxGi</t>
  </si>
  <si>
    <t>PPKM Langkah TepatMUI Sebut Langkah Pemerintah Sudah Tepat Terapkan PPKM Darurat</t>
  </si>
  <si>
    <t>Gowes Virtual hari ini diundur karena ada PPKM darurat, mancal minggu pagi ini solo ride blusukan sawah dan kampung aja. Tetap berolahraga demi imun dan vitalitas 🚵</t>
  </si>
  <si>
    <t>Gowes Virtual hari ini diundur karena ada PPKM darurat, mancal minggu pagi ini solo ride blusukan sawah dan kampung aja. Tetap berolahraga demi imun dan vitalitas</t>
  </si>
  <si>
    <t>Pemberlakuan PPKM mikro di nilai efektif tangani Corona. PPKM Langkah Tepat https://t.co/ljuEoTPHH7</t>
  </si>
  <si>
    <t>Pemberlakuan PPKM mikro di nilai efektif tangani Corona. PPKM Langkah Tepat</t>
  </si>
  <si>
    <t>RESMI DITUNDA karena PPKM 🤦🏻‍♂️</t>
  </si>
  <si>
    <t>RESMI DITUNDA karena PPKM</t>
  </si>
  <si>
    <t>apa itu ppkm darurat?
 tadi lewat pasar masyaallah manusianya 2x lipat dari biasanya
 kan 50% harusnya....</t>
  </si>
  <si>
    <t>apa itu ppkm darurat?tadi lewat pasar masyaallah manusianya x lipat dari biasanyakan % harusnya....</t>
  </si>
  <si>
    <t>PPKM BUKAN BERARTI PEMERINTAH LEPAS TANGGUNGJAWAB!
 Dr. Muhammad Taufiq S.H., M.H.
 Presiden Asosiasi Ahli Pidana Indonesia (AAPI) https://t.co/PdFNZgVOuc</t>
  </si>
  <si>
    <t>PPKM BUKAN BERARTI PEMERINTAH LEPAS TANGGUNGJAWAB!Dr. Muhammad Taufiq S.H., M.H.Presiden Asosiasi Ahli Pidana Indonesia (AAPI)</t>
  </si>
  <si>
    <t>PSBB: 
 Pembatasan Sosial Sersekala Besar
 PPKM:
 Pemberlakuan Pembatasan Kegiatan Masyarakat
 Selamat menikmati aturan baru dari
 Pemerintah 😁🤭</t>
  </si>
  <si>
    <t>PSBB: Pembatasan Sosial Sersekala BesarPPKMemberlakuan Pembatasan Kegiatan MasyarakatSelamat menikmati aturan baru dariPemerintah</t>
  </si>
  <si>
    <t>PPKM:
 Pernah Percaya Kemudian Menghilang 💣</t>
  </si>
  <si>
    <t>PPKMernah Percaya Kemudian Menghilang</t>
  </si>
  <si>
    <t>LBP @kemenkomarves : “Semua kita lakukan bertahap, bertingkat, berlanjut”
 TEGAS! 
 Akhirnya Pak Jokowi menunjuk ‘tangan kanan’nya LBP @kemenkomarves mengomandoi PPKM Darurat. Beliau memang biasa berada disituasi genting dan penting, tampil menyelesaikan masalah secara tuntas. https://t.co/AxEVHzOn7C</t>
  </si>
  <si>
    <t>LBP : Semua kita lakukan bertahap, bertingkat, berlanjutTEGAS! Akhirnya Pak Jokowi menunjuk tangan kanannya LBP mengomandoi PPKM Darurat. Beliau memang biasa berada disituasi genting dan penting, tampil menyelesaikan masalah secara tuntas.</t>
  </si>
  <si>
    <t>Hampir seluruh kabupaten atau pun kota di Jatim akan menjalani PPKM darurat, Kecuali dua daerah, yaitu Sumenep dan Kabupaten Probolinggo ya</t>
  </si>
  <si>
    <t>@Kita_AMLTF AKU PATUH PPKM DEMI INDONESIA SEHAT DAN MAJU
 semoga pandemi segera berakhir. Dan kita semua selalu dalam lindungan Tuhan YME. Aamiin</t>
  </si>
  <si>
    <t>AKU PATUH PPKM DEMI INDONESIA SEHAT DAN MAJUsemoga pandemi segera berakhir. Dan kita semua selalu dalam lindungan Tuhan YME. Aamiin</t>
  </si>
  <si>
    <t>PSBB - PPKM - PPKM darurat
 Besok lagi kalo corona nya nglunjak, tambahin ya pak
 PPKM Super Darurat - PPKM Super Daruat Banget - PPKM Super Darurat Banget Nget Nget Nget</t>
  </si>
  <si>
    <t>PSBB - PPKM - PPKM daruratBesok lagi kalo corona nya nglunjak, tambahin ya pakPPKM Super Darurat - PPKM Super Daruat Banget - PPKM Super Darurat Banget Nget Nget Nget</t>
  </si>
  <si>
    <t>Minggu tidur aja diluar masih PPKM https://t.co/H13PJOmHhH</t>
  </si>
  <si>
    <t>Minggu tidur aja diluar masih PPKM</t>
  </si>
  <si>
    <t>@txtdrjkt Selow lah genk, mungkin udah direncanain hajatan 2 bulan yg lalu dan gak ngebayangin akan ada PPKM Darurat, berbaik sangkalah genk... Ayo ngopi...</t>
  </si>
  <si>
    <t>Selow lah genk, mungkin udah direncanain hajatan bulan yg lalu dan gak ngebayangin akan ada PPKM Darurat, berbaik sangkalah genk... Ayo ngopi...</t>
  </si>
  <si>
    <t>pgn new normal kek Singapore, Disuruh ppkm aja masi pada nerobos jalanan. hah indo oh indo😢 https://t.co/oVU6sdsXZe</t>
  </si>
  <si>
    <t>pgn new normal kek Singapore, Disuruh ppkm aja masi pada nerobos jalanan. hah indo oh indo</t>
  </si>
  <si>
    <t>Demi keselamatan bersama &amp;amp; mendukung program PPKM Darurat, acara deklarasi &amp;amp; milenial festival Jawa Tengah kami tunda. Terimakasih. https://t.co/MAamMdqdO5</t>
  </si>
  <si>
    <t>Demi keselamatan bersama &amp;amp; mendukung program PPKM Darurat, acara deklarasi &amp;amp; milenial festival Jawa Tengah kami tunda. Terimakasih.</t>
  </si>
  <si>
    <t>Menyalahkan yg salah juga herus, agar tak terus berbuat salah. Kalau kita mau jujur PPKM Darurat inipun salah. Ngapain cafe, resto, mall masih ada yg buka. Bandara, transportasi publik masih operasional. Kantor masih kerja sebagian. Harusnya total semua di rumah, gak keluar dulu. https://t.co/b8Z4ER0UA8</t>
  </si>
  <si>
    <t>Menyalahkan yg salah juga herus, agar tak terus berbuat salah. Kalau kita mau jujur PPKM Darurat inipun salah. Ngapain cafe, resto, mall masih ada yg buka. Bandara, transportasi publik masih operasional. Kantor masih kerja sebagian. Harusnya total semua di rumah, gak keluar dulu.</t>
  </si>
  <si>
    <t>@vaccsins @sbyfess emange klo ppkm tutup?</t>
  </si>
  <si>
    <t>emange klo ppkm tutup?</t>
  </si>
  <si>
    <t>Enak ye lu pada sempet2nya nongkrong pas ppkm gini</t>
  </si>
  <si>
    <t>@asuhan_nemesis Bertanya dong kalo undang2 yg diberlakukan untuk pelanggar ppkm adalah undang2 karantina, nah kalo bagian yg kewajiban pemerintahnya berlaku ga ya ? Apa boleh sebagian2 di adopsi tu undang2?</t>
  </si>
  <si>
    <t>Bertanya dong kalo undang2 yg diberlakukan untuk pelanggar ppkm adalah undang2 karantina, nah kalo bagian yg kewajiban pemerintahnya berlaku ga ya ? Apa boleh sebagian2 di adopsi tu undang2?</t>
  </si>
  <si>
    <t>Dahlah aku coba buat dalgona aja lagi sampe PPKM selesai, semoga kali ini berhasil.</t>
  </si>
  <si>
    <t>@bertanyarl Di rmh, Ppkm nder</t>
  </si>
  <si>
    <t>Di rmh, Ppkm nder</t>
  </si>
  <si>
    <t>DPD Ajak Masyarakat Patuhi Aturan PPKM Darurat https://t.co/NmUg5oH73W https://t.co/ZaSnSHQN0g</t>
  </si>
  <si>
    <t>DPD Ajak Masyarakat Patuhi Aturan PPKM Darurat</t>
  </si>
  <si>
    <t>Ragam Cerita Penyekatan PPKM Darurat Hari Pertama https://t.co/1aTlEY3cWh 
 Jalan2 utama disekat, tapi tumplek di jalan2 kecil. Tujuannya tercapai? Ibarat nyapu, kotoran umpetin di bawah kolong.</t>
  </si>
  <si>
    <t>Ragam Cerita Penyekatan PPKM Darurat Hari Pertama Jalan2 utama disekat, tapi tumplek di jalan2 kecil. Tujuannya tercapai? Ibarat nyapu, kotoran umpetin di bawah kolong.</t>
  </si>
  <si>
    <t>bdg yuk
 ppkm syg🙃</t>
  </si>
  <si>
    <t>bdg yukppkm syg</t>
  </si>
  <si>
    <t>Ppkm darurat jawa - bali
 Tapi masih terlihat jakartans melenggang manis di bali ya.. memang lebih sepi, karna org bali pada taat nampaknya.. isinya ya jakartans.
 Terlihat dari konten SG nya</t>
  </si>
  <si>
    <t>Ppkm darurat jawa - baliTapi masih terlihat jakartans melenggang manis di bali ya.. memang lebih sepi, karna org bali pada taat nampaknya.. isinya ya jakartans.Terlihat dari konten SG nya</t>
  </si>
  <si>
    <t>Untuk mempersempit penyebaran covid , ada baiknya kita mematuhi PPKM,
 Jauhi kerumunan dekati aku.</t>
  </si>
  <si>
    <t>Untuk mempersempit penyebaran covid , ada baiknya kita mematuhi PPKM,Jauhi kerumunan dekati aku.</t>
  </si>
  <si>
    <t>Kkn daring tapi harus ngadain event offline dan sekarang ppkm
 Mantap ga tuh</t>
  </si>
  <si>
    <t>Kkn daring tapi harus ngadain event offline dan sekarang ppkmMantap ga tuh</t>
  </si>
  <si>
    <t>PPKM Darurat akan ini dilaksanakan di 36 kabupaten/kota di Provinsi Jawa Timur loh!</t>
  </si>
  <si>
    <t>PPKM Darurat akan ini dilaksanakan di kabupaten/kota di Provinsi Jawa Timur loh!</t>
  </si>
  <si>
    <t>Syarat Pergi ke Luar Kota saat PPKM Darurat https://t.co/li1mxTyaNL</t>
  </si>
  <si>
    <t>Syarat Pergi ke Luar Kota saat PPKMDarurat</t>
  </si>
  <si>
    <t>Update Terbaru Syarat Naik KA Jarak Jauh Selama PPKM Darurat, Berlaku Mulai 5 Juli 2021! https://t.co/UaI9r7bHjw</t>
  </si>
  <si>
    <t>Update Terbaru Syarat Naik KA Jarak Jauh Selama PPKM Darurat, Berlaku Mulai Juli !</t>
  </si>
  <si>
    <t>PPKM - Pacaran Putus Karena Mendua</t>
  </si>
  <si>
    <t>STOP TKA CHINA DATANG KE INDONESIA.......DARURAT COVID.........
 Alvin Lie Kritik PPKM
  Darurat Tapi Penerbangan Asing Dibuka https://t.co/v7RVAeZQrv</t>
  </si>
  <si>
    <t>STOP TKA CHINA DATANG KE INDONESIA.......DARURAT COVID.........Alvin Lie Kritik PPKM Darurat Tapi Penerbangan Asing Dibuka</t>
  </si>
  <si>
    <t>Ppkm apa enggak ya sama aja, diri ini tetap saja berdiam diri dirumah 🥲</t>
  </si>
  <si>
    <t>Ppkm apa enggak ya sama aja, diri ini tetap saja berdiam diri dirumah</t>
  </si>
  <si>
    <t>PPKM Darurat hari ke-3 (5 juli 2021)
 pasar mbalong, pucakwangi, pati, jateng
 @ganjarpranowo @Satpol_PP_Pati @aik_arif https://t.co/HhZiNAtidW</t>
  </si>
  <si>
    <t>PPKM Darurat hari ke-3 (5 juli )pasar mbalong, pucakwangi, pati, jateng</t>
  </si>
  <si>
    <t>@Arrof11 @yush_abubakar @dhepaimin @mrchristwibowo @Luthfi_nashrul @TheArieAir @NotesofMila Meluu ....
 Akun NKRI 📢
 Yuk mampir dimari 📢
 Reply : 
 Dukung PPKM darurat
 #programfolback
 #IndoPromoter
 Follow : @Arrof11
  https://t.co/tJFWl81ixP</t>
  </si>
  <si>
    <t>Meluu ....Akun NKRI Yuk mampir dimari Reply : Dukung PPKM darurat :</t>
  </si>
  <si>
    <t>Penerapan PPKM Mikro darurat sebagai langkah tepat
 PPKM Pulihkan Bangsa https://t.co/fm2Ctv69ZG</t>
  </si>
  <si>
    <t>Penerapan PPKM Mikro darurat sebagai langkah tepatPPKM Pulihkan Bangsa</t>
  </si>
  <si>
    <t>Allah ampuni dosa dosa kita tapi kalian malah membuka mall dan menutup tempat ibadah, bagaimana cara kita membayar dosa yang lain
 PPKM</t>
  </si>
  <si>
    <t>Allah ampuni dosa dosa kita tapi kalian malah membuka mall dan menutup tempat ibadah, bagaimana cara kita membayar dosa yang lainPPKM</t>
  </si>
  <si>
    <t>@vendivergent_ Jangan sampai ppkm baca iklan mak erot di lampu merah</t>
  </si>
  <si>
    <t>Jangan sampai ppkm baca iklan mak erot di lampu merah</t>
  </si>
  <si>
    <t>@FerdinandHaean3 ada yang bilang PPKM
 Pak
 Presiden
 Kapan
 Mundur
 😂</t>
  </si>
  <si>
    <t>ada yang bilang PPKMPakPresidenKapanMundur</t>
  </si>
  <si>
    <t>PPKM bikin yg introvert makin introvert 🙃</t>
  </si>
  <si>
    <t>PPKM bikin yg introvert makin introvert</t>
  </si>
  <si>
    <t>PPKM; Pada Pagi Kulihat kaMu ┆❥</t>
  </si>
  <si>
    <t>PPKM; Pada Pagi Kulihat kaMu</t>
  </si>
  <si>
    <t>PPKM dimana". Berangkat kerja gak nih ?😪</t>
  </si>
  <si>
    <t>PPKM dimana". Berangkat kerja gak nih ?</t>
  </si>
  <si>
    <t>Senin pagi jalanan tetap ramai
 Tidak ada sekat2an dijalanan yang gw lalui sampai kantor
 Trus dimana letak PPKM daruratnya?</t>
  </si>
  <si>
    <t>Senin pagi jalanan tetap ramaiTidak ada sekat2an dijalanan yang gw lalui sampai kantorTrus dimana letak PPKM daruratnya?</t>
  </si>
  <si>
    <t>@Nawalfzn PPKM (PuraPura Kuat Mas) 😭</t>
  </si>
  <si>
    <t>PPKM (PuraPura Kuat Mas)</t>
  </si>
  <si>
    <t>info kalau mau ke surabaya dari gresik lewat osowilangon apakah ada pemeriksaan selama ppkm? @e100ss Terima kasih</t>
  </si>
  <si>
    <t>info kalau mau ke surabaya dari gresik lewat osowilangon apakah ada pemeriksaan selama ppkm? Terima kasih</t>
  </si>
  <si>
    <t>@Yunardi99 Innalillahi wa innalillahi rojiun... Kita di ppkm... sakit jiwa dia?? 
 Apapun alasannya ini org dah benar benar pekook https://t.co/VcQVkV06E9</t>
  </si>
  <si>
    <t>Innalillahi wa innalillahi rojiun... Kita di ppkm... sakit jiwa dia?? Apapun alasannya ini org dah benar benar pekook</t>
  </si>
  <si>
    <t>@convomf lha ini udah juli
 jawa bali ppkm gabisa nder jdinya</t>
  </si>
  <si>
    <t>lha ini udah julijawa bali ppkm gabisa nder jdinya</t>
  </si>
  <si>
    <t>@BossTemlen PPKM aja pak jokowi
 #16BulanJokowiGagalAtasiCovid</t>
  </si>
  <si>
    <t>PPKM aja pak jokowi</t>
  </si>
  <si>
    <t>Masa pandemi ppkm lg, rakyat ditekan tka china masuk... kami yg mau balik lg kerja ke jepang ga bisa bisa, kenapa tka china bisa masuk indo dg mudah pak @jokowi keadilan seperti apa yang engkau tegakkan? Yg kaya ga kerja masih bayaran, gimana kami rakyat miskin ga kerja ga bs mkn</t>
  </si>
  <si>
    <t>Masa pandemi ppkm lg, rakyat ditekan tka china masuk... kami yg mau balik lg kerja ke jepang ga bisa bisa, kenapa tka china bisa masuk indo dg mudah pak keadilan seperti apa yang engkau tegakkan? Yg kaya ga kerja masih bayaran, gimana kami rakyat miskin ga kerja ga bs mkn</t>
  </si>
  <si>
    <t>@msaid_didu @aniesbaswedan Akronim PPKM Kita rubah saja kepanjangannya menjadi *PlangaPlongoKayakMonyet* Yo Wis *PakPresidenKapanMundur" ??? https://t.co/umJbs59542</t>
  </si>
  <si>
    <t>Akronim PPKM Kita rubah saja kepanjangannya menjadi *PlangaPlongoKayakMonyet* Yo Wis *PakPresidenKapanMundur" ???</t>
  </si>
  <si>
    <t>semenjak ada Sicepat, JNT jadi lama ya? apa karena efek PPKM atau apa ya...</t>
  </si>
  <si>
    <t>-ness yg kkn gimana kabarnya gais lgi PPKM ginii?</t>
  </si>
  <si>
    <t>Berlaku Besok, Ini Aturan Perjalanan Darat Kemenhub saat PPKM Darurat
 Klik untuk baca: https://t.co/anSCkkTRNR</t>
  </si>
  <si>
    <t>Berlaku Besok, Ini Aturan Perjalanan Darat Kemenhub saat PPKM DaruratKlik untuk baca:</t>
  </si>
  <si>
    <t>@CNNIndonesia Pak @jokowi wargamu di PPKM.
 WNA ,Penak-Penak Keluar Masuk.
 Ini negeri kagungane sinten pak?
 Wargamu akeh sing kangelan kerjoe akeh sing nganggur goro2 covid, di tambah ppkm mu dll. E..malah WNA enaake poll isok karepe dewe.</t>
  </si>
  <si>
    <t>Pak wargamu di PPKM.WNA ,Penak-Penak Keluar Masuk.Ini negeri kagungane sinten pak?Wargamu akeh sing kangelan kerjoe akeh sing nganggur goro2 covid, di tambah ppkm mu dll. E..malah WNA enaake poll isok karepe dewe.</t>
  </si>
  <si>
    <t>work! kalian yg kerja di bank br* bn* selama ppkm gini WFH atau dikurangin jam kerjanya?</t>
  </si>
  <si>
    <t>PPKM : Pengen Pukul Kepala kaMu</t>
  </si>
  <si>
    <t>PPKM serba susah~
 sekarang, jauh di hati dekat positif.
 #PPKM https://t.co/TfgubDRcLB</t>
  </si>
  <si>
    <t>PPKM serba susah~sekarang, jauh di hati dekat positif.</t>
  </si>
  <si>
    <t>@ssefnum Oot, di turkey masih bisa terbang itu balon2nya? Ngga ada PPKM darurat?</t>
  </si>
  <si>
    <t>Oot, di turkey masih bisa terbang itu balon2nya? Ngga ada PPKM darurat?</t>
  </si>
  <si>
    <t>Karena PPKM jadi club banyak yang ga sampe pagi gimana kalau kita dugem berdua di kamar ku?</t>
  </si>
  <si>
    <t>Ppkm darurat kan di jawa bali... ini wisatawan tiongkok kan datang ke makassar, jadi masih boleh. Anda jgn memprovokasi...
 Bismillah komisaris https://t.co/iWntSeF1Mu</t>
  </si>
  <si>
    <t>Ppkm darurat kan di jawa bali... ini wisatawan tiongkok kan datang ke makassar, jadi masih boleh. Anda jgn memprovokasi...Bismillah komisaris</t>
  </si>
  <si>
    <t>PPKM Pelan Pelan Kau Meninggalkanku.</t>
  </si>
  <si>
    <t>Nanti malam jam 20.00 WIB di kediri, lampu jalan di kota sudah di matikan buat peraturan PPKM. 
 Temenku be like : https://t.co/k034FENAcn</t>
  </si>
  <si>
    <t>Nanti malam jam WIB di kediri, lampu jalan di kota sudah di matikan buat peraturan PPKM. Temenku be like :</t>
  </si>
  <si>
    <t>Jokowi Intruksikan PPKM Darurat,
 Sementara TKA China Terus Mendarat.
 #SudahWaktunyaPresidenMundur
 #SudahWaktunyaPresidenMundur
 #SudahWaktunyaPresidenMundur</t>
  </si>
  <si>
    <t>Jokowi Intruksikan PPKM Darurat,Sementara TKA China Terus Mendarat.</t>
  </si>
  <si>
    <t>Yuk mumpung PPKM di rumah aja, skalian nambah skill musiknya 🙏🙏😊 https://t.co/O2Q8RZCHei</t>
  </si>
  <si>
    <t>Yuk mumpung PPKM di rumah aja, skalian nambah skill musiknya</t>
  </si>
  <si>
    <t>Rizal Fadillah: PPKM Darurat Siasat Licik Rezim Hindari UU Kekarantinaan Yang Mewajibkan Beri Makan Warga https://t.co/CyeN0wh3YG</t>
  </si>
  <si>
    <t>Rizal Fadillah: PPKM Darurat Siasat Licik Rezim Hindari UU Kekarantinaan Yang Mewajibkan Beri Makan Warga</t>
  </si>
  <si>
    <t>ppkm = pembersihan langit dari polusi</t>
  </si>
  <si>
    <t>Semua org pikiranya sama.
 Survey keliling pengen tau ppkm kayak ap.
 JD nya ramai https://t.co/boy6eXxJCo</t>
  </si>
  <si>
    <t>Semua org pikiranya sama.Survey keliling pengen tau ppkm kayak ap.JD nya ramai</t>
  </si>
  <si>
    <t>@CommuterLine Ini jadwal normal ya? Bukan jadwal PPKM? Klu jadwal PPkM ada gak min</t>
  </si>
  <si>
    <t>Ini jadwal normal ya? Bukan jadwal PPKM? Klu jadwal PPkM ada gak min</t>
  </si>
  <si>
    <t>PPKM : Practice Pagi Kebablasan Melek
 Kalau PPKM versi kalian? https://t.co/1BSzk2iUL5</t>
  </si>
  <si>
    <t>PPKM : Practice Pagi Kebablasan MelekKalau PPKM versi kalian?</t>
  </si>
  <si>
    <t>@notyourbabybooo Gosah, lagi ada PPKM darurat Jawa - Bali.</t>
  </si>
  <si>
    <t>Gosah, lagi ada PPKM darurat Jawa - Bali.</t>
  </si>
  <si>
    <t>ga suka ppkm sukanya ppk kamu</t>
  </si>
  <si>
    <t>Dua orang positif usai dilakukan pemeriksaan kesehatan dengan swab test antigen di pos pembatasan dan pengendalian pelaksanaan PPKM Darurat yang digelar di perbatasan Jawa Timur dengan Jawa Tengah tepatnya pos Cemorosewu.</t>
  </si>
  <si>
    <t>Penerapan PPKM ujung2nya menimbulkan kerumunan juga, terutama masyarakat pengguna roda dua dari segala arah yg ingin melakukan aktifitas seperti bekerja atau lainnya terjebak di suatu sircle yg menyebabkan terjadinya kepadatan manusia yg tak bisa di hindarkan. #PPKMDarurat #PPKM</t>
  </si>
  <si>
    <t>Penerapan PPKM ujung2nya menimbulkan kerumunan juga, terutama masyarakat pengguna roda dua dari segala arah yg ingin melakukan aktifitas seperti bekerja atau lainnya terjebak di suatu sircle yg menyebabkan terjadinya kepadatan manusia yg tak bisa di hindarkan.</t>
  </si>
  <si>
    <t>@samsat_jaktim selama PPKM apa kah masih ber operasional untuk perpanjangan pajak tahunan</t>
  </si>
  <si>
    <t>selama PPKM apa kah masih ber operasional untuk perpanjangan pajak tahunan</t>
  </si>
  <si>
    <t>PPKM, pelan-pelan kita mati.</t>
  </si>
  <si>
    <t>Jogja angka kasus swangat tinggi
 Lagi ppkm
 Dan tadi pas jogging nemu ini, sisanya masih banyak tapi ga kejepret. Lebih dari 10org kuliat ga pake masker. https://t.co/QSkUikrcYj</t>
  </si>
  <si>
    <t>Jogja angka kasus swangat tinggiLagi ppkmDan tadi pas jogging nemu ini, sisanya masih banyak tapi ga kejepret. Lebih dari org kuliat ga pake masker.</t>
  </si>
  <si>
    <t>Gak prnh lupa bgt d saat pak Anies udh nyalahin tanda rem darurat malah d ketawain sma BUZZERRP, skrg giliran kyk gni malah sibuk nyinyirin pak Anies mreka lupa d msa PPkM ad yg ngotot msukkin TKA China ckckck miris https://t.co/AoolOmLoeb https://t.co/6C3C3KlhH9</t>
  </si>
  <si>
    <t>Gak prnh lupa bgt d saat pak Anies udh nyalahin tanda rem darurat malah d ketawain sma BUZZERRP, skrg giliran kyk gni malah sibuk nyinyirin pak Anies mreka lupa d msa PPkM ad yg ngotot msukkin TKA China ckckck miris</t>
  </si>
  <si>
    <t>Kelar isolasi mandiri, sekarang PPKM. Sungguh Tuhan sayang aku banget. Disuruh istirahat 2 bulan ✨</t>
  </si>
  <si>
    <t>Kelar isolasi mandiri, sekarang PPKM. Sungguh Tuhan sayang aku banget. Disuruh istirahat bulan</t>
  </si>
  <si>
    <t>@_AnakKolong @hmaspoldasumbar @AnnisaPohan
 Selain bbrp ulama, nih tonton video ibu di Sumatra Barat yg Menuduh Pemerintah Zalim dg PPKM; dg pongahnya pamer kerumunan tanpa masker ini☝.</t>
  </si>
  <si>
    <t>bbrp ulama, nih tonton video ibu di Sumatra Barat yg Menuduh Pemerintah Zalim dg PPKM; dg pongahnya pamer kerumunan tanpa masker ini.</t>
  </si>
  <si>
    <t>@zarazettirazr Sudah terbaca sejak sblm PPKM
 https://t.co/kcaH0m1vHT</t>
  </si>
  <si>
    <t>Sudah terbaca sejak sblm PPKM</t>
  </si>
  <si>
    <t>@anton_sukisno @merdekadotcom Ya klo ntr naik kasus kopit yg di sulawesi trus ppkm di sulawesi gitu? 
 Gini gini aja terus sampek buzzerRp pensiuan wkwkwkwkwkw</t>
  </si>
  <si>
    <t>Ya klo ntr naik kasus kopit yg di sulawesi trus ppkm di sulawesi gitu? Gini gini aja terus sampek buzzerRp pensiuan wkwkwkwkwkw</t>
  </si>
  <si>
    <t>Prihatin melihat situasi di titik2 penyekatan PPKM Darurat menuju Jakarta. Penumpukan pengendara terjadi. Entah apa yg ada dlm hati dan pikirannya, mgp dia tak mengikuti anjuran pemerintah agar covid ini selesai?
 Jgn merasa diri kuat, pikirkan org lain, nakes, dll. Jgn goblok..!</t>
  </si>
  <si>
    <t>Prihatin melihat situasi di titik2 penyekatan PPKM Darurat menuju Jakarta. Penumpukan pengendara terjadi. Entah apa yg ada dlm hati dan pikirannya, mgp dia tak mengikuti anjuran pemerintah agar covid ini selesai?Jgn merasa diri kuat, pikirkan org lain, nakes, dll. Jgn goblok..!</t>
  </si>
  <si>
    <t>Kemarin, psbb
 Sekarang, ppkm
 Besok, ppkn mtk ipa ips dll</t>
  </si>
  <si>
    <t>Kemarin, psbbSekarang, ppkmBesok, ppkn mtk ipa ips dll</t>
  </si>
  <si>
    <t>PPKM dan Anies https://t.co/9YsgbQDKjN</t>
  </si>
  <si>
    <t>PPKM dan Anies</t>
  </si>
  <si>
    <t>Hendak Masuk Kendal Saat PPKM Darurat, Ratusan Kendaraan Diputar Balik https://t.co/JdUG4vUgCe https://t.co/TBZs6rBAll</t>
  </si>
  <si>
    <t>Hendak Masuk Kendal Saat PPKM Darurat, Ratusan Kendaraan Diputar Balik</t>
  </si>
  <si>
    <t>PPKM membuatku lebih hemat 😅</t>
  </si>
  <si>
    <t>PPKM membuatku lebih hemat</t>
  </si>
  <si>
    <t>PPKM nganggur gak makan akhir bulan kecekik 😒</t>
  </si>
  <si>
    <t>PPKM nganggur gak makan akhir bulan kecekik</t>
  </si>
  <si>
    <t>@Warior4ngel Kata orang Bali : PPKM 
 https://t.co/iT6CZUErIh</t>
  </si>
  <si>
    <t>Kata orang Bali : PPKM</t>
  </si>
  <si>
    <t>@CNNIndonesia Ya bgus pa dtangin mereka trus d tengah PPKM Apalgi mereka dtengnya bukan d Jawa sama Bali kan? Jadi insyaAlloh aman pao, yo saya sangat setuju demi kelancaran proyek.!!! 
 Bismillah Komisari Pertamina🙏🏼🙏🏼 https://t.co/ax7cEGW5YG</t>
  </si>
  <si>
    <t>Ya bgus pa dtangin mereka trus d tengah PPKM Apalgi mereka dtengnya bukan d Jawa sama Bali kan? Jadi insyaAlloh aman pao, yo saya sangat setuju demi kelancaran proyek.!!! Bismillah Komisari Pertamina</t>
  </si>
  <si>
    <t>cw // food 
 day 3 PPKM
 bikin menu baru, salmon fried egg 😂😂 https://t.co/ssrRKvIZiK</t>
  </si>
  <si>
    <t>cw // food day PPKMbikin menu baru, salmon fried egg</t>
  </si>
  <si>
    <t>PPKM atau Pak Presiden Kapan Mundur?
 Ada ada saja kepanjangannya, karya tulis yang sangat menarik</t>
  </si>
  <si>
    <t>PPKM atau Pak Presiden Kapan Mundur?Ada ada saja kepanjangannya, karya tulis yang sangat menarik</t>
  </si>
  <si>
    <t>PPKM ketat rakyat ga ada bantuan sama sekali, eh pas cari nafkah di usir kek orang² dah buat dosa besar sekali. Semoga rakyat aman sentausa..</t>
  </si>
  <si>
    <t>PPKM ketat rakyat ga ada bantuan sama sekali, eh pas cari nafkah di usir kek orang dah buat dosa besar sekali. Semoga rakyat aman sentausa..</t>
  </si>
  <si>
    <t>Aku di Hari Kedua,ketiga sampai hari ke 17 selama diliburkan PPKM : https://t.co/ZRbfjI6NGW</t>
  </si>
  <si>
    <t>Aku di Hari Kedua,ketiga sampai hari ke selama diliburkan PPKM :</t>
  </si>
  <si>
    <t>Menaker bersinergi dukung PPKM darurat yang telah diresmikan pemerintah Jokowi. https://t.co/rTh2MJytUl</t>
  </si>
  <si>
    <t>Menaker bersinergi dukung PPKM darurat yang telah diresmikan pemerintah Jokowi.</t>
  </si>
  <si>
    <t>Turut berduka dan berdoa bersama. Untuk semua orang lapangan yang terkena dampak langsung PPKM. 
 #KoronaContol</t>
  </si>
  <si>
    <t>Turut berduka dan berdoa bersama. Untuk semua orang lapangan yang terkena dampak langsung PPKM.</t>
  </si>
  <si>
    <t>@Satuarah__ @UNSfess_ Pointnya adalah PEMBATASAN. Suka ngga suka itulah esensi utama PPKM. 
 Jangankan naik motor, naik haji juga bisa itu corona. 
 "emangnya corona kalo jam 8 malem libur?" 
 Ya inilah pembatasan, mengurangi mobilitas, menurunkan resiko penularan. 
 Sehat sehat bro.</t>
  </si>
  <si>
    <t>Pointnya adalah PEMBATASAN. Suka ngga suka itulah esensi utama PPKM. Jangankan naik motor, naik haji juga bisa itu corona. "emangnya corona kalo jam malem libur?" Ya inilah pembatasan, mengurangi mobilitas, menurunkan resiko penularan. Sehat sehat bro.</t>
  </si>
  <si>
    <t>@slam_b @caesar_emil @DivHumas_Polri Kasih wisata jadikan duta ppkm darurat.
 🤣</t>
  </si>
  <si>
    <t>Kasih wisata jadikan duta ppkm darurat.</t>
  </si>
  <si>
    <t>PAK PRESIDEN KAPAN MUNDUR
 yg lagi trend #ppkm</t>
  </si>
  <si>
    <t>PAK PRESIDEN KAPAN MUNDURyg lagi trend</t>
  </si>
  <si>
    <t>Aku suka ppkm tanpa pp</t>
  </si>
  <si>
    <t>Gue sebel deh kenapa segala serba tutup DADAKAN kek tahu bulat. Gue ngerti ppkm apa sgala macem TAPI YA BISA KAN YA DR KEMARIN MISALKAN DIINFOKAN. Kan info ppkm ny ga tadi malem dong adanya?? Iya doong???</t>
  </si>
  <si>
    <t>@BossTemlen Karyo : dul Kapan..sih..ppkm
 Adul : Jawabannya mau tahu..
 Karyo : iya dong..
 Aduh: pokoknya " menghitung hari"..
 Karyo : waduh..</t>
  </si>
  <si>
    <t>Karyo : dul Kapan..sih..ppkmAdul : Jawabannya mau tahu..Karyo : iya dong..Aduh: pokoknya " menghitung hari"..Karyo : waduh..</t>
  </si>
  <si>
    <t>@KetumProDEMnew @eyikos PPKM akal akalan penguasa menghindar dari lock down,karantina wilayah ,karena jika UU ini yg dipakai pemerintah wajib kasih makan warga +kucing 🐱,anjing,bebek,ayam ,kelinci dsb
 Dipakailah istilah seolah nampak keren 
 tapi sebetulnya tipu tipu belaka 
 Ini kerjaan bedebah biadap..</t>
  </si>
  <si>
    <t>PPKM akal akalan penguasa menghindar dari lock down,karantina wilayah ,karena jika UU ini yg dipakai pemerintah wajib kasih makan warga +kucing ,anjing,bebek,ayam ,kelinci dsbDipakailah istilah seolah nampak keren tapi sebetulnya tipu tipu belaka Ini kerjaan bedebah biadap..</t>
  </si>
  <si>
    <t>Atas pemberlakuan PPKM darurat seharusnya DKi bisa melakukan pengawasan lapangan bersama walkot/lurah, melihat ketaatan/kesiapan warga dan masalah/membantu warga kesulitan atau meminimal kerumunan dipasar tradisional. https://t.co/I520qdFAdf</t>
  </si>
  <si>
    <t>Atas pemberlakuan PPKM darurat seharusnya DKi bisa melakukan pengawasan lapangan bersama walkot/lurah, melihat ketaatan/kesiapan warga dan masalah/membantu warga kesulitan atau meminimal kerumunan dipasar tradisional.</t>
  </si>
  <si>
    <t>PPKM sebuah sikap "aman" yang diambil pemerintah karena "sudah terlanjur" salah memilih jalan. Dari awal, dari kasus masih sedikit, pemerintah tidak tegas dalam penanganan pandemi, masyarakat jd bingung harus ngikutin siapa</t>
  </si>
  <si>
    <t>@zarazettirazr mereka panik tahu mungkin tahu mahasiswa mo demo , jd Skrg di perketat pemerintah pusat karena mahasiswa mau demo, buruh dan banyk ormas lain ..plan (5-7-2021)
 Ya di jegal dgn status ppkm, sejawa &amp;amp; bali 1-7 samapai 20 -7 -2021</t>
  </si>
  <si>
    <t>mereka panik tahu mungkin tahu mahasiswa mo demo , jd Skrg di perketat pemerintah pusat karena mahasiswa mau demo, buruh dan banyk ormas lain ..plan (5-7-2021)Ya di jegal dgn status ppkm, sejawa &amp;amp; bali $NUMBER$ samapai</t>
  </si>
  <si>
    <t>@dwiki_mumtaz Ppkm= pelan pelan kamu mati...</t>
  </si>
  <si>
    <t>Ppkm= pelan pelan kamu mati...</t>
  </si>
  <si>
    <t>Aku suka ppkm without pp.</t>
  </si>
  <si>
    <t>PPKM : Pengurangan Pendapatan Keluarga Miskin</t>
  </si>
  <si>
    <t>@KompasTV Bingung dengan apa yang dibuat oleh Pemerintah.
 Bilang PPKM, tapi WNA masuk dgn Bebas.
 JANGAN BODOH2I WARGA NEGARA MU LAH WAHAI PEJABAT.
 KAMI MUAK DGN KEBIJAKAN YG JUSTRU MENJEREMBABKAN KAMI PADA KEBODOHAN.
 MUKAMU ALIM TAPI HATIMU BUSUK</t>
  </si>
  <si>
    <t>Bingung dengan apa yang dibuat oleh Pemerintah.Bilang PPKM, tapi WNA masuk dgn Bebas.JANGAN BODOH2I WARGA NEGARA MU LAH WAHAI PEJABAT.KAMI MUAK DGN KEBIJAKAN YG JUSTRU MENJEREMBABKAN KAMI PADA KEBODOHAN.MUKAMU ALIM TAPI HATIMU BUSUK</t>
  </si>
  <si>
    <t>Aneh Banget, Warga Sendiri Diobok-obok, TKA China Dibiarkan Lolos
 Kenapa sih ngotot banget, ngga mau stop penumpang Internasional saat PPKM... sampai segitunya melacurkan diri, kemudian hari rakyatnya yg disalah-salahkan lagi.
 https://t.co/xPMkxaZG1i</t>
  </si>
  <si>
    <t>Aneh Banget, Warga Sendiri Diobok-obok, TKA China Dibiarkan LolosKenapa sih ngotot banget, ngga mau stop penumpang Internasional saat PPKM... sampai segitunya melacurkan diri, kemudian hari rakyatnya yg disalah-salahkan lagi.</t>
  </si>
  <si>
    <t>@CNNIndonesia Rakyat sendiri disuruh PPKM, negara lain masuk dg mudah, tolong penjelasanny pak @jokowi terimakasih</t>
  </si>
  <si>
    <t>Rakyat sendiri disuruh PPKM, negara lain masuk dg mudah, tolong penjelasanny pak terimakasih</t>
  </si>
  <si>
    <t>Psbb ppkm, kbanyaakaan singkatan</t>
  </si>
  <si>
    <t>@Mdy_Asmara1701 PPKM 
 Pak Presiden Kapan Mundur
 #16BulanJokowiGagalAtasiCovid</t>
  </si>
  <si>
    <t>PPKM Pak Presiden Kapan Mundur</t>
  </si>
  <si>
    <t>@DPR_RI @FPKSDPRRI dan selalu rakyat yg disalahkan khususnya ummat mayoritas ini. Lihat di jateng warung dihancurkan polpp krn melanggat ppkm? Sementara kewajiban ngera memberi mkn warga negara hingga hewan ternak tidak dipenuhi!! Maunmkn apa rakyat? Byr listrik? Rumah? https://t.co/3w7lW4gQxL</t>
  </si>
  <si>
    <t>dan selalu rakyat yg disalahkan khususnya ummat mayoritas ini. Lihat di jateng warung dihancurkan polpp krn melanggat ppkm? Sementara kewajiban ngera memberi mkn warga negara hingga hewan ternak tidak dipenuhi!! Maunmkn apa rakyat? Byr listrik? Rumah?</t>
  </si>
  <si>
    <t>Baru tau kalo PPKM itu Pak Presiden Kapan Mundur 🙄 https://t.co/uRruUmYbgg</t>
  </si>
  <si>
    <t>Baru tau kalo PPKM itu Pak Presiden Kapan Mundur</t>
  </si>
  <si>
    <t>Selamat pagi, hari ppkm kedua dan masih harus brngkt kerja.. KAPAN LIBUR NYAA SI https://t.co/idP4HQx8oc</t>
  </si>
  <si>
    <t>Selamat pagi, hari ppkm kedua dan masih harus brngkt kerja.. KAPAN LIBUR NYAA SI</t>
  </si>
  <si>
    <t>Gua pengangguran dan ini yg gua takutin pas PPKM.
 - Makan susah
 - Imun turun
 - Gampang sakit
 - Ngeri kena kopit
 Ini lagi ngurangin angka pengangguran apa gimana ?</t>
  </si>
  <si>
    <t>Gua pengangguran dan ini yg gua takutin pas PPKM.- Makan susah- Imun turun- Gampang sakit- Ngeri kena kopitIni lagi ngurangin angka pengangguran apa gimana ?</t>
  </si>
  <si>
    <t>PPKM DARUT ITU Pemurtadtan Umat Muslim .
 Supaya Masjid Sepi , nga Denger Suara ADZAN &amp;amp; TAKBIRAN https://t.co/in41X4it9t</t>
  </si>
  <si>
    <t>PPKM DARUT ITU Pemurtadtan Umat Muslim .Supaya Masjid Sepi , nga Denger Suara ADZAN &amp;amp; TAKBIRAN</t>
  </si>
  <si>
    <t>@arusbaik_id Pertanyaan:
 Sebutkan 2 pasal dari 4 pasal sanksi bagi pelanggar PPKM Darurat?
 Jawab:
 Kitab Undang-Undang Hukum Pidana (KUHP) pasal 212 dan 218.
 #QuizTerbaikArusBaik @arusbaik_id 
 @LittleQueen_123 @LiiaMonday @Love_BigWin 
 @meili76moruk @LuckyRiegoWin77</t>
  </si>
  <si>
    <t>Pertanyaanebutkan pasal dari pasal sanksi bagi pelanggar PPKM Darurat?Jawab:Kitab Undang-Undang Hukum Pidana (KUHP) pasal dan .</t>
  </si>
  <si>
    <t>Uniknya, di waktu pagi - sore justru kurang terasa pengetatan terhadap kegiatan masyarakat. Msh terlihat masyarakat bebas bersosialisasi di alun2 tanpa masker, juga pasar tradisional msh 'kemruyuk'. Apakah PPKM di kota ini yg penting jam 20.00 ke atas sdh gelap gulita ya?</t>
  </si>
  <si>
    <t>Uniknya, di waktu pagi - sore justru kurang terasa pengetatan terhadap kegiatan masyarakat. Msh terlihat masyarakat bebas bersosialisasi di alun2 tanpa masker, juga pasar tradisional msh 'kemruyuk'. Apakah PPKM di kota ini yg penting jam ke atas sdh gelap gulita ya?</t>
  </si>
  <si>
    <t>Semenjak PPKM di @jeparakabgoid tiap hari diatas jam 20.00 hampir semua lampu kota (jalan protokol) dimatikan. Ga kasian kah, sama orang yg baru pulang kerja? Perjalanan balik ke rumah dengan keadaan jalan gelap gulita kyk gitu apakah nyaman?</t>
  </si>
  <si>
    <t>Semenjak PPKM di tiap hari diatas jam hampir semua lampu kota (jalan protokol) dimatikan. Ga kasian kah, sama orang yg baru pulang kerja? Perjalanan balik ke rumah dengan keadaan jalan gelap gulita kyk gitu apakah nyaman?</t>
  </si>
  <si>
    <t>PPKM darurat apanya slipi rame jam segini 😑</t>
  </si>
  <si>
    <t>PPKM darurat apanya slipi rame jam segini</t>
  </si>
  <si>
    <t>20 TKA China Masuk Sulsel Saat PPKM Darurat, Imigrasi Mengaku Tidak Tahu https://t.co/cjAfQ9wbwI</t>
  </si>
  <si>
    <t>TKA China Masuk Sulsel Saat PPKM Darurat, Imigrasi Mengaku Tidak Tahu</t>
  </si>
  <si>
    <t>Kondisi Darurat Ayo PPKM</t>
  </si>
  <si>
    <t>AKU PATUH PPKM DEMI INDONESIA SEHAT DAN MAJU https://t.co/pk6XoWHdFj</t>
  </si>
  <si>
    <t>syg! Slamat pagi para korban PPKM</t>
  </si>
  <si>
    <t>@ImamGozhali8 Pengacara kemaren yang ajal lawan ppkm di situbondo akhire curhat juga</t>
  </si>
  <si>
    <t>Pengacara kemaren yang ajal lawan ppkm di situbondo akhire curhat juga</t>
  </si>
  <si>
    <t>PPKM Darurat, Situasi Makin Genting | Analisis
 Pemerintah resmi menerapkan PPKM Darurat mulai 3 - 20 Juli 2021, Simak analisis selengkapnya bersama ustadzah Nida Sa'adah dalam video berikut..
 https://t.co/19QECe5ccd
 Jangan lupa share seluas-luasnya yaa</t>
  </si>
  <si>
    <t>PPKM Darurat, Situasi Makin Genting | AnalisisPemerintah resmi menerapkan PPKM Darurat mulai - Juli , Simak analisis selengkapnya bersama ustadzah Nida Sa'adah dalam video berikut.. lupa share seluas-luasnya yaa</t>
  </si>
  <si>
    <t>@Hilmi28 PPKM = 𝐏𝐚𝐤 𝐏𝐫𝐞𝐬𝐢𝐝𝐞𝐧 𝐊𝐚𝐩𝐚𝐧 𝐌𝐮𝐧𝐝𝐮𝐫</t>
  </si>
  <si>
    <t>PPKM =</t>
  </si>
  <si>
    <t>PPKM?
 Pak Presiden Kapan Mundur?
 YNTKTS
 Yo Nda Tau Ko Tanya Saya!
 Angel wis Angel..</t>
  </si>
  <si>
    <t>PPKM?Pak Presiden Kapan Mundur?YNTKTSYo Nda Tau Ko Tanya Saya!Angel wis Angel..</t>
  </si>
  <si>
    <t>@_AnakKolong @hmaspoldasumbar Negara harus lugas dan tegas!
 Demi orang2 yang sudah berkorban untuk taat PPKM Darurat demi kepentingan bangsa; para ojol, karyawan toko, pekerja informal
 🙏</t>
  </si>
  <si>
    <t>Negara harus lugas dan tegas!Demi orang2 yang sudah berkorban untuk taat PPKM Darurat demi kepentingan bangsa; para ojol, karyawan toko, pekerja informal</t>
  </si>
  <si>
    <t>PPKM : "Pak Presiden Kapan Mundur"
 Saatnya mengibarkan bendera putih</t>
  </si>
  <si>
    <t>PPKM : "Pak Presiden Kapan Mundur"Saatnya mengibarkan bendera putih</t>
  </si>
  <si>
    <t>Sahabat Twips...apakah kepanjangan PPKM versi anda?</t>
  </si>
  <si>
    <t>Hari pertama ke kantor di masa PPKM darurat~~</t>
  </si>
  <si>
    <t>@FKadrun Mestinya PPKM ( planga plongo kapan majunya ) ?</t>
  </si>
  <si>
    <t>Mestinya PPKM ( planga plongo kapan majunya ) ?</t>
  </si>
  <si>
    <t>HEHEHE... PPKM = PAK PRESIDEN KAPAN MUNDUR?! https://t.co/xp4qTTFoKZ</t>
  </si>
  <si>
    <t>HEHEHE... PPKM = PAK PRESIDEN KAPAN MUNDUR?!</t>
  </si>
  <si>
    <t>Khofifah sampai menambahkan, bahwa sembari menyiapkan teknis PPKM Darurat yang akan diatur di Inmendagri</t>
  </si>
  <si>
    <t>Kayaknya kalo emang susah dapetin dia, harus ikutin strategi pemerintah deh, strategi PPKM.
 .
 .
 Pelan-pelan Kudekati Mamahnya :)</t>
  </si>
  <si>
    <t>Kayaknya kalo emang susah dapetin dia, harus ikutin strategi pemerintah deh, strategi PPKM...Pelan-pelan Kudekati Mamahnya</t>
  </si>
  <si>
    <t>PPKM : "Pak Presiden Kapan Mundur"</t>
  </si>
  <si>
    <t>udah banyak rencana main, ee ppkm</t>
  </si>
  <si>
    <t>Hari senin di masa PPKM, Commuterline Tangerang - Duri sepi😊</t>
  </si>
  <si>
    <t>Hari senin di masa PPKM, Commuterline Tangerang - Duri sepi</t>
  </si>
  <si>
    <t>ppkm dirumah aja, leli kerjaannya masaakkkk terosssssss</t>
  </si>
  <si>
    <t>@Hilmi28 PPKM = PELAN-PELAN KOMUNIS MASUK</t>
  </si>
  <si>
    <t>PPKM = PELAN-PELAN KOMUNIS MASUK</t>
  </si>
  <si>
    <t>PPKM = Pasti Penuh Kereta Mah https://t.co/hJg12JQ7BW</t>
  </si>
  <si>
    <t>PPKM = Pasti Penuh Kereta Mah</t>
  </si>
  <si>
    <t>PPKM DARURAT. Tidak efektif, melarang / Menutup mobilotas orang, knpa setiap orang di periksa? Akan lebih efektif intruksi kepada Kantor2, melalui RT. Atau aparat tiap kelurahan.. Capeeeek dech</t>
  </si>
  <si>
    <t>@democrazymedia @msaid_didu Pokoknya shalat Idul Adha 1442 H dan Acara Qurban tetap kita laksanakan bagi ummat yang bertaqwa.. 
 TKA China saja tetap datang di masa PPKM dan tiba di Bandara Hasanuddin tgl 3/7/21, knp ummat dilarang sholat Idul Adha..???</t>
  </si>
  <si>
    <t>Pokoknya shalat Idul Adha H dan Acara Qurban tetap kita laksanakan bagi ummat yang bertaqwa.. TKA China saja tetap datang di masa PPKM dan tiba di Bandara Hasanuddin tgl /7/21, knp ummat dilarang sholat Idul Adha..???</t>
  </si>
  <si>
    <t>tabelakar Bukannya ppkm dilarang jalan2 y?</t>
  </si>
  <si>
    <t>@a_gnostik @dresihombing mau ppkm gak bang?</t>
  </si>
  <si>
    <t>mau ppkm gak bang?</t>
  </si>
  <si>
    <t>Udah setahun lebih , dana ratusan triliun udah abis , punya kendali penuh buat UU. 
 Saat ini masih aja nyalahin rakyat.
 PPKM..
 Pak Presiden Kapan Mundur..</t>
  </si>
  <si>
    <t>Udah setahun lebih , dana ratusan triliun udah abis , punya kendali penuh buat UU. Saat ini masih aja nyalahin rakyat.PPKM..Pak Presiden Kapan Mundur..</t>
  </si>
  <si>
    <t>Ppkm atau tidak, umur 23thn main tetep disuruh pulang magrib 👍🏿</t>
  </si>
  <si>
    <t>Ppkm atau tidak, umur thn main tetep disuruh pulang magrib</t>
  </si>
  <si>
    <t>PPKM = PELAN-PELAN KOMUNIS MASUK...pas bgt yaaaa... https://t.co/hVzqgqP211</t>
  </si>
  <si>
    <t>PPKM = PELAN-PELAN KOMUNIS MASUK...pas bgt yaaaa...</t>
  </si>
  <si>
    <t>@UT_Jakarta Selamat pagi. Sy ingin mengumpulkan foto ijasah. Apakah sy bisa ke UPBJJ JKT krn sekarang sedang PPKM? Trims</t>
  </si>
  <si>
    <t>Selamat pagi. Sy ingin mengumpulkan foto ijasah. Apakah sy bisa ke UPBJJ JKT krn sekarang sedang PPKM? Trims</t>
  </si>
  <si>
    <t>Selamat pagi dunia PPKM penuh berkah, peluang, tantangan dan tipu-tipu https://t.co/GfEule64Kf</t>
  </si>
  <si>
    <t>Selamat pagi dunia PPKM penuh berkah, peluang, tantangan dan tipu-tipu</t>
  </si>
  <si>
    <t>PPKM ?
 (Pengen Peluk Kamu Manis)
 Bukan PPKM ala pemerintah ya. Rakyat menjerittt.</t>
  </si>
  <si>
    <t>PPKM ?(Pengen Peluk Kamu Manis)Bukan PPKM ala pemerintah ya. Rakyat menjerittt.</t>
  </si>
  <si>
    <t>Apa itu ppkm? Krl masi rame ajaa 😩😩</t>
  </si>
  <si>
    <t>Apa itu ppkm? Krl masi rame ajaa</t>
  </si>
  <si>
    <t>@M45BRO____ #SudahWaktunyaPresidenMundur 
 PPKM Pak Presiden Kapan Mundur</t>
  </si>
  <si>
    <t>Rizal Fadillah: PPKM Darurat Siasat Licik Rezim Hindari UU Kekarantinaan yang Mewajibkan Beri Makan Warga https://t.co/ylSAnwbFUz</t>
  </si>
  <si>
    <t>Rizal Fadillah: PPKM Darurat Siasat Licik Rezim Hindari UU Kekarantinaan yang Mewajibkan Beri Makan Warga</t>
  </si>
  <si>
    <t>Pak presiden kapan mundur ??Teorinya PPKM Darurat Tapi Prakteknya LOCKDOWN Mana tanggung jawabnya? Ke rakyat</t>
  </si>
  <si>
    <t>berkat ppkm😁👍
 kalo gk ada ppkm pasti gk begini
 soalnya biasanya langit pagi-pagi udah penuh polusi sampe 24/7 polusi terus https://t.co/YXQ4UjaF1U</t>
  </si>
  <si>
    <t>berkat ppkmkalo gk ada ppkm pasti gk beginisoalnya biasanya langit pagi-pagi udah penuh polusi sampe /7 polusi terus</t>
  </si>
  <si>
    <t>Karenanya, koordinasi dan sinergi terkait pelaksanaan PPKM Darurat dengan berbagai pihak terkait harus terus bisa dilakukan</t>
  </si>
  <si>
    <t>@ovyic @DivHumas_Polri Bikin konten pasti dgn sgt sadar,dan niat tentunya.
 Konten ini gak bisa d buat candaan tanpa sadar.
 Sifatnya menghasut utk berbuat melanggar ppkm darurat lewat konten.
 Sgt berbahaya...
 Bocah edaan itu.!!!</t>
  </si>
  <si>
    <t>Bikin konten pasti dgn sgt sadar,dan niat tentunya.Konten ini gak bisa d buat candaan tanpa sadar.Sifatnya menghasut utk berbuat melanggar ppkm darurat lewat konten.Sgt berbahaya...Bocah edaan itu.!!!</t>
  </si>
  <si>
    <t>@erna_st 𝐏𝐚𝐤 𝐏𝐫𝐞𝐬𝐢𝐝𝐞𝐧 𝐊𝐚𝐩𝐚𝐧 𝐌𝐮𝐧𝐝𝐮𝐫 = PPKM</t>
  </si>
  <si>
    <t>ldr bukan gara gara jarak TAPI PPKM 😭😭😭😭😭</t>
  </si>
  <si>
    <t>ldr bukan gara gara jarak TAPI PPKM</t>
  </si>
  <si>
    <t>@Relawananies @CharlioMoerdadi PPKM ...
 Pak Presidennya Kapan Menangis ... 😬</t>
  </si>
  <si>
    <t>PPKM ...Pak Presidennya Kapan Menangis ...</t>
  </si>
  <si>
    <t>Mendukung Keputusan Presiden Joko Widodo Terkait Penerapan PPKM Darurat
 PPKM Pulihkan Bangsa https://t.co/waRAsjWXGc</t>
  </si>
  <si>
    <t>Mendukung Keputusan Presiden Joko Widodo Terkait Penerapan PPKM DaruratPPKM Pulihkan Bangsa</t>
  </si>
  <si>
    <t>@maspiyuaja Berbeda ucapan maknanya sama baik lockdown, PPKM, PSBB dll negara harus menanggung resiko hidup selama karantina....</t>
  </si>
  <si>
    <t>Berbeda ucapan maknanya sama baik lockdown, PPKM, PSBB dll negara harus menanggung resiko hidup selama karantina....</t>
  </si>
  <si>
    <t>PPKM Darurat sesuai instruksi Presiden Jokowi ini menjadi harapan besar bagi kita juga untuk menekan penyebaran kasus Covid-19 di Jawa Timur</t>
  </si>
  <si>
    <t>@Innayaputri72 Sungguh benar sabda Rosululloh
 kini terjadi... "Jika suatu urusan diserahkan pada yang bukan ahlinya maka...tunggulah kehancurannya"
 @FPD_DPR @FPKSDPRRI @Fraksi_Gerindra @FPPP_DPR @fraksigolkar 
 https://t.co/guFmnl5af4. 
 PPKM
 #PakPresidenKapanMundur #PakPresidenKoweMunduro</t>
  </si>
  <si>
    <t>Sungguh benar sabda Rosulullohkini terjadi... "Jika suatu urusan diserahkan pada yang bukan ahlinya maka...tunggulah kehancurannya" . PPKM</t>
  </si>
  <si>
    <t>@Bos8813 @GathaMuhammad @fauzanssssss @shraff31 @Adiwidodo_ Contoh konsep persahabatan dengan negara asing : Masukin TKA sebanyak mungkin dari China, PPKM ? "Lho kan kita sahabat kadrun" !!</t>
  </si>
  <si>
    <t>Contoh konsep persahabatan dengan negara asing : Masukin TKA sebanyak mungkin dari China, PPKM ? "Lho kan kita sahabat kadrun" !!</t>
  </si>
  <si>
    <t>PPKM prtama hari kerja..
 Indonesia ini bebal.. bukan hanya pemerintahnya.. rakyatnya juga -_-</t>
  </si>
  <si>
    <t>PPKM prtama hari kerja..Indonesia ini bebal.. bukan hanya pemerintahnya.. rakyatnya juga -_-</t>
  </si>
  <si>
    <t>@Anonymous_2024 Ppkm
 Proyek p........ korbankan masyarakat</t>
  </si>
  <si>
    <t>PpkmProyek p........ korbankan masyarakat</t>
  </si>
  <si>
    <t>/jbrfess/ rek, ada yg tau nggak, selama PPKM ini, sumber kasih buka nggak ya? Makasih</t>
  </si>
  <si>
    <t>@myputun Pak Presiden Kapan Mundur (PPKM)</t>
  </si>
  <si>
    <t>Pak Presiden Kapan Mundur (PPKM)</t>
  </si>
  <si>
    <t>@KING__VADUKA Jadi jelas ... LBP memerintahkan JKW untuk menunjuk LBP sebagai komandan PPKM ...</t>
  </si>
  <si>
    <t>Jadi jelas ... LBP memerintahkan JKW untuk menunjuk LBP sebagai komandan PPKM ...</t>
  </si>
  <si>
    <t>Aku: niat berhemat selama PPKM.
 Shopi dan Lajadah: hold my 7.7 sale.</t>
  </si>
  <si>
    <t>Aku: niat berhemat selama PPKM.Shopi dan Lajadah: hold my sale.</t>
  </si>
  <si>
    <t>Ppkm atau tidak, aku memang jarang keluar rumah krna aku nolep👍🏿</t>
  </si>
  <si>
    <t>Ppkm atau tidak, aku memang jarang keluar rumah krna aku nolep</t>
  </si>
  <si>
    <t>@na_dirs Inj kejadian kemaren di Jl Kartini Depok yg hrsnya 1 arah krn jl Margonda ditutup krn PPKM,warga bingung cari jalan,sampe nekat lawan arah.Klo mau nutup jalan ya kasi rute yg bs dilewati.Yg konyol,setelah 2 jam dibuka lagi,ngapain coba https://t.co/kgZczJiqTU</t>
  </si>
  <si>
    <t>Inj kejadian kemaren di Jl Kartini Depok yg hrsnya arah krn jl Margonda ditutup krn PPKM,warga bingung cari jalan,sampe nekat lawan arah.Klo mau nutup jalan ya kasi rute yg bs dilewati.Yg konyol,setelah jam dibuka lagi,ngapain coba</t>
  </si>
  <si>
    <t>Sesungguhnya Allah tidak mengubah keadaan sesuatu kaum sebelum mereka mengubah keadaan mereka sendiri..
 (QS ar-Ra’d [13]: 11)
 Kita sedang berusaha dgn PPKM Darurat dan program vaksinasi nasional, semoga dgn sabar dapat berjalan dan berhasil sesuai harapan... https://t.co/O2iFF2bHeC</t>
  </si>
  <si>
    <t>Sesungguhnya Allah tidak mengubah keadaan sesuatu kaum sebelum mereka mengubah keadaan mereka sendiri..(QS ar-Rad [13]: )Kita sedang berusaha dgn PPKM Darurat dan program vaksinasi nasional, semoga dgn sabar dapat berjalan dan berhasil sesuai harapan...</t>
  </si>
  <si>
    <t>@kompascom @Kota_Tangerang .. jng smpi atauran PPKM garang di medsos , lemah di lapangan</t>
  </si>
  <si>
    <t>.. jng smpi atauran PPKM garang di medsos , lemah di lapangan</t>
  </si>
  <si>
    <t>@detikcom itu lah kekuasaan pemerintah.masyarakat di perketat PPKM mikro malah darurat lagi dibuat,tapi penerbangan luar negri di buka,,salah kaprah kebijakan di buat,,padahal kita tau sama 2,,virus datangnya dari luar negri,,kemaren di bandara plabuhan di tutup di jaga ketat aja kebobolan</t>
  </si>
  <si>
    <t>itu lah kekuasaan pemerintah.masyarakat di perketat PPKM mikro malah darurat lagi dibuat,tapi penerbangan luar negri di buka,,salah kaprah kebijakan di buat,,padahal kita tau sama ,,virus datangnya dari luar negri,,kemaren di bandara plabuhan di tutup di jaga ketat aja kebobolan</t>
  </si>
  <si>
    <t>Selamat hari senin para pejuang PPKM 💪🏻💪🏻💪🏻</t>
  </si>
  <si>
    <t>Selamat hari senin para pejuang PPKM</t>
  </si>
  <si>
    <t>PPKM hari ke 3
 Jari2 kita semakin terbiasa dan lancar menulis:
 Turut berduka cita
 20210705</t>
  </si>
  <si>
    <t>PPKM hari ke Jari2 kita semakin terbiasa dan lancar menulis:Turut berduka cita20210705</t>
  </si>
  <si>
    <t>Tapi agak samar2 denger abangnya cerita lagi puyeng banget dan mara2 soal kebijakan penyekatan di jalan2 akibat PPKM darurat yg cukup menganggu kerjaan dia sebagai ojol.
 Kasian sih.. emg ya aturan di ms pandemi gini emg serba salah, yg plg kena dampak ya pencari rjki di jalan..</t>
  </si>
  <si>
    <t>Tapi agak samar2 denger abangnya cerita lagi puyeng banget dan mara2 soal kebijakan penyekatan di jalan2 akibat PPKM darurat yg cukup menganggu kerjaan dia sebagai ojol.Kasian sih.. emg ya aturan di ms pandemi gini emg serba salah, yg plg kena dampak ya pencari rjki di jalan..</t>
  </si>
  <si>
    <t>@__RismaWidiono_ Keterangan pada portal berita Viva , CNN dan sebagainya
 Secara singkat mereka datang sebelum ke Jakarta PPKM darurat , akan tetapi bertolak ke Sulsel ketika PPKM darurat di berlakukan , 
 Pertanyaannya : 
 Peraturan PPKM darurat apakah membolehkan keluar masuk Jawa - Bali ?</t>
  </si>
  <si>
    <t>Keterangan pada portal berita Viva , CNN dan sebagainyaSecara singkat mereka datang sebelum ke Jakarta PPKM darurat , akan tetapi bertolak ke Sulsel ketika PPKM darurat di berlakukan , Pertanyaannya : Peraturan PPKM darurat apakah membolehkan keluar masuk Jawa - Bali ?</t>
  </si>
  <si>
    <t>update hari senin pertama ppkm darurat :
 busway sepiii 👍👍👍</t>
  </si>
  <si>
    <t>update hari senin pertama ppkm darurat :busway sepiii</t>
  </si>
  <si>
    <t>HEHEHE......
 PPKM = PAK PRESIDEN KAPAN MUNDUR ?!
 BANG EDY CHANEL
 👇🤫👇=======🙈‼
 https://t.co/bcUG4xMBsT</t>
  </si>
  <si>
    <t>HEHEHE......PPKM = PAK PRESIDEN KAPAN MUNDUR ?!BANG EDY CHANEL=======</t>
  </si>
  <si>
    <t>love languange aku kan physical touch sama quality time ya, terus tuh kebetulan rumah aku ga jauh dari rumah jian, jadi sering ketemu sama main mulu. NI TERUS PPKM BARU BERAPA HARI AKU GA KUAT KANGENNYA YALLAH 😞😭</t>
  </si>
  <si>
    <t>love languange aku kan physical touch sama quality time ya, terus tuh kebetulan rumah aku ga jauh dari rumah jian, jadi sering ketemu sama main mulu. NI TERUS PPKM BARU BERAPA HARI AKU GA KUAT KANGENNYA YALLAH</t>
  </si>
  <si>
    <t>@Dandhy_Laksono Lebih baik yang jimpitan para pejabat karena gaji ngalir terus disaat ppkm</t>
  </si>
  <si>
    <t>Lebih baik yang jimpitan para pejabat karena gaji ngalir terus disaat ppkm</t>
  </si>
  <si>
    <t>@Arrof11 @yush_abubakar @dhepaimin @mrchristwibowo @TheArieAir @NotesofMila Akuh mampir Kang..
 Dukung PPKM darurat
 #programfolback 
 #Indopromoter.</t>
  </si>
  <si>
    <t>Akuh mampir Kang..Dukung PPKM darurat .</t>
  </si>
  <si>
    <t>@plokplokslewb Mau bilang ayo kok ppkm, sini aja rumah. Ayo go food</t>
  </si>
  <si>
    <t>Mau bilang ayo kok ppkm, sini aja rumah. Ayo go food</t>
  </si>
  <si>
    <t>HEBOH... Ramai-ramai Netizen Serukan PPKM = Pak Presiden Kapan Mundur https://t.co/RrUKVwgxEi https://t.co/fdf8WDxijI</t>
  </si>
  <si>
    <t>HEBOH... Ramai-ramai Netizen Serukan PPKM = Pak Presiden Kapan Mundur</t>
  </si>
  <si>
    <t>Kemarin PSBB sekarang PPKM mungkin besuk PJOK bahkan PAI.</t>
  </si>
  <si>
    <t>Ppkm, pelan pelan ku menyukaimu.</t>
  </si>
  <si>
    <t>@bertanyarl g krasa ppkm ny</t>
  </si>
  <si>
    <t>g krasa ppkm ny</t>
  </si>
  <si>
    <t>@mocappuccinoooo @Inna_Melonia @dewindez Lagi tutup ppkm</t>
  </si>
  <si>
    <t>Lagi tutup ppkm</t>
  </si>
  <si>
    <t>saya suka ppkm without pp 
 - gombalan jerome 😭✋</t>
  </si>
  <si>
    <t>saya suka ppkm without pp - gombalan jerome</t>
  </si>
  <si>
    <t>@IchanNdut PPKM
 PULANGKAN PHILLIP KE MERSEYSIDE
 #COUTINHO #LFC</t>
  </si>
  <si>
    <t>PPKMPULANGKAN PHILLIP KE MERSEYSIDE</t>
  </si>
  <si>
    <t>Salah satu cara untuk mencegah penularan virus covid19 maka pemerintah memberlakukan kebijakan PPKM Darurat #PPKMDaruratSolusiTepat https://t.co/wMG3UKcHyc</t>
  </si>
  <si>
    <t>Salah satu cara untuk mencegah penularan virus covid19 maka pemerintah memberlakukan kebijakan PPKM Darurat</t>
  </si>
  <si>
    <t>Haloooo ppkm darurat mau bkin klaster baru kah? Sebanyak ini kah sektor kritikal? Ada yg bs jawab, punten up min @jalur5_ @CommuterLine @Dessyssss 
 Yg nanya gw, yes gw sektor kritikal ga ada ttd gw obat ga bs keluar 😭😭😭 https://t.co/T0InjzQJUm</t>
  </si>
  <si>
    <t>Haloooo ppkm darurat mau bkin klaster baru kah? Sebanyak ini kah sektor kritikal? Ada yg bs jawab, punten up min Yg nanya gw, yes gw sektor kritikal ga ada ttd gw obat ga bs keluar</t>
  </si>
  <si>
    <t>@IdKalimantan Mau buat sangu ppkm hahaha</t>
  </si>
  <si>
    <t>Mau buat sangu ppkm hahaha</t>
  </si>
  <si>
    <t>Bersinergi bersama TNI Polri, Banser Kab. Malang melakukan giat himbauan kepada masyarakat utk tetap disiplin Prokes
 Giat ini dilakukan setiap malam sejak diterapkannya PPKM darurat di obyek vital, pasar, cafe, warung juga tempat ibadah #AnsorMelawanCorona #BanserBelaNegeri https://t.co/o1HOHcNulS</t>
  </si>
  <si>
    <t>Bersinergi bersama TNI Polri, Banser Kab. Malang melakukan giat himbauan kepada masyarakat utk tetap disiplin ProkesGiat ini dilakukan setiap malam sejak diterapkannya PPKM darurat di obyek vital, pasar, cafe, warung juga tempat ibadah</t>
  </si>
  <si>
    <t>Kurang apa coba pemerintah, banyak yang sudah dilakukannya, mulai dari a sampai z, dari bantuan a sampai z, ayok laksanakn ppkm mikro https://t.co/cRGVrvp0si</t>
  </si>
  <si>
    <t>Kurang apa coba pemerintah, banyak yang sudah dilakukannya, mulai dari a sampai z, dari bantuan a sampai z, ayok laksanakn ppkm mikro</t>
  </si>
  <si>
    <t>@Separoh_Kumis @RiantiDiani Hiduplah di waktu sekarang. Saat ini. Jangan
 halu akan masa lalu. Masa depan tak ada
 yang tau. Lakukan yang terbaik 
 Catat pantangan utamanya:
 mengeluh, ikuti PPKM stay at home dan taat PROKES ❤</t>
  </si>
  <si>
    <t>Hiduplah di waktu sekarang. Saat ini. Janganhalu akan masa lalu. Masa depan tak adayang tau. Lakukan yang terbaik Catat pantangan utamanya:mengeluh, ikuti PPKM stay at home dan taat PROKES</t>
  </si>
  <si>
    <t>Begitu dong demi kebaikan kita semua ........👍👍👍Presidium KAMI, Gatot Nurmantyo, Sebut PPKM Darurat Jawa-Bali Langkah Tepat https://t.co/bFv9BUCyfA</t>
  </si>
  <si>
    <t>Begitu dong demi kebaikan kita semua ........Presidium KAMI, Gatot Nurmantyo, Sebut PPKM Darurat Jawa-Bali Langkah Tepat</t>
  </si>
  <si>
    <t>Gua udeh ampe bosen dirumah baru brp hr PPKM yekan demi ga kuar rumah, demi kaga nongki. eh org org malah nongkrong dicafe cafe anjrittt, gada ati bgt lu sat</t>
  </si>
  <si>
    <t>PPKM: Pernah PDKT Kemudian Menghilang https://t.co/YMjSJQ96EM</t>
  </si>
  <si>
    <t>PPKM: Pernah PDKT Kemudian Menghilang</t>
  </si>
  <si>
    <t>Yg ppkm Jawa bali doang ya heheheupa 🤣🤣</t>
  </si>
  <si>
    <t>Yg ppkm Jawa bali doang ya heheheupa</t>
  </si>
  <si>
    <t>pemerintah menerapkan PPKM darurat se jawa-bali, sunda mah engga kan? :(</t>
  </si>
  <si>
    <t>pemerintah menerapkan PPKM darurat se jawa-bali, sunda mah engga kan?</t>
  </si>
  <si>
    <t>@__H5h_Aina___ Tujuan PPKM itu adalah untuk menggalakan pemakaian Vaksin kepada warga untuk wilayah Jawa Bali, fakta syarat mobilisasi warga wajib gunakan Vaksin... Rezim sales vaksin berani jamin setelah gunakan vaksin kebal covid &amp;amp; bisa lepas masker ? Fakta setelah vaksin, covid malah booming</t>
  </si>
  <si>
    <t>Tujuan PPKM itu adalah untuk menggalakan pemakaian Vaksin kepada warga untuk wilayah Jawa Bali, fakta syarat mobilisasi warga wajib gunakan Vaksin... Rezim sales vaksin berani jamin setelah gunakan vaksin kebal covid &amp;amp; bisa lepas masker ? Fakta setelah vaksin, covid malah booming</t>
  </si>
  <si>
    <t>Semangat ya yang sedang PPKM Darurat, stay at home, stay safe... 
 #stayathome #staysafe #ppkmdarurat #grabfood #gofood #ojekonline #martabakkencana #martabakpalingenak #juaranyamartabak #kulinernusantara #kulinerhits #umkmnusantara #umkmhebat #umkmindonesia #umkmmaju https://t.co/FUZ3CHjA1j</t>
  </si>
  <si>
    <t>Semangat ya yang sedang PPKM Darurat, stay at home, stay safe...</t>
  </si>
  <si>
    <t>aku suka ppkm without pp @jongseonfg aw mlu bgt,,,, https://t.co/0G6ncrr1X7</t>
  </si>
  <si>
    <t>aku suka ppkm without pp aw mlu bgt,,,,</t>
  </si>
  <si>
    <t>Kalau mau menerapkan PPKM Darurat itu bukan pake Tank, juga bukan main angkut dagangan orang tapi pake uang Pengganti sbg Implementasi dari perintah UU 6/2018.
 Itu saja kelen gak mikir. 
 Tidak berani menjalankan itu.. 
 Berhenti anda jadi Pejabat . 
 @jokowi</t>
  </si>
  <si>
    <t>Kalau mau menerapkan PPKM Darurat itu bukan pake Tank, juga bukan main angkut dagangan orang tapi pake uang Pengganti sbg Implementasi dari perintah UU /2018.Itu saja kelen gak mikir. Tidak berani menjalankan itu.. Berhenti anda jadi Pejabat .</t>
  </si>
  <si>
    <t>Hari Keempat PPKM Darurat, Cuaca Jabodetabek Cerah Berawan https://t.co/cIUAK45yC9 https://t.co/fGWvZGtuPv</t>
  </si>
  <si>
    <t>Hari Keempat PPKM Darurat, Cuaca Jabodetabek Cerah Berawan</t>
  </si>
  <si>
    <t>PPKM yang aku suka itu PELAN PELAN KITA MENIKAH</t>
  </si>
  <si>
    <t>Sediakan Jasa Pijat saat PPKM Darurat, Polisi Grebek Hotel di Jaksel https://t.co/AxULQ9nV0a</t>
  </si>
  <si>
    <t>Sediakan Jasa Pijat saat PPKM Darurat, Polisi Grebek Hotel di Jaksel</t>
  </si>
  <si>
    <t>Ingat ya. Program PPKM itu di pempus. Bukan pemprov. https://t.co/mAgQTYAkfm</t>
  </si>
  <si>
    <t>Ingat ya. Program PPKM itu di pempus. Bukan pemprov.</t>
  </si>
  <si>
    <t>@ishkeselbgt Ngga bisa lagi ppkm</t>
  </si>
  <si>
    <t>Ngga bisa lagi ppkm</t>
  </si>
  <si>
    <t>@papidisini aku suka ppkm tanpa M</t>
  </si>
  <si>
    <t>aku suka ppkm tanpa M</t>
  </si>
  <si>
    <t>PPKM Darurat, Kemenag Rembang Batasi Layanan Daftar Haji https://t.co/ql0DhJuspw</t>
  </si>
  <si>
    <t>PPKM Darurat, Kemenag Rembang Batasi Layanan Daftar Haji</t>
  </si>
  <si>
    <t>PENERBANGAN TKA CHINA, DARI WUHAN KE BANDARA SOETTA, DIMASA PPKM DARURAT JAWA BALI. PASTI ULAH MENTERI SEGALA URUSAN. https://t.co/X7ooHNwgqc</t>
  </si>
  <si>
    <t>PENERBANGAN TKA CHINA, DARI WUHAN KE BANDARA SOETTA, DIMASA PPKM DARURAT JAWA BALI. PASTI ULAH MENTERI SEGALA URUSAN.</t>
  </si>
  <si>
    <t>AKU SUKA ppKM
 PAGII MOOTSKU
 Rawrrr🦖
 @5ecretNumber 
 #SECRET_NUMBER 
 *baca huruf kapitalnya aja</t>
  </si>
  <si>
    <t>AKU SUKA ppKMPAGII MOOTSKURawrrr *baca huruf kapitalnya aja</t>
  </si>
  <si>
    <t>Others ; aku suka PPKM without PP. 
 Aku; Aku suka PPKM without KM
 Kemudian dilabrak Billkin.</t>
  </si>
  <si>
    <t>Others ; aku suka PPKM without PP. Aku; Aku suka PPKM without KMKemudian dilabrak Billkin.</t>
  </si>
  <si>
    <t>@dr_koko28 PPKM Perbanyak Pergi Ke Mesjid, dengan prokes tentunya</t>
  </si>
  <si>
    <t>PPKM Perbanyak Pergi Ke Mesjid, dengan prokes tentunya</t>
  </si>
  <si>
    <t>@AzzamIzzulhaq Kemacetan yg terjadi pada PPKM kmrn karena banyaknya perkantoran non esensial yg masih meminta karyawannya masuk kerja..perusahnnya gak ada sanksi</t>
  </si>
  <si>
    <t>Kemacetan yg terjadi pada PPKM kmrn karena banyaknya perkantoran non esensial yg masih meminta karyawannya masuk kerja..perusahnnya gak ada sanksi</t>
  </si>
  <si>
    <t>@CNNIndonesia Aneh indonesia itu.. gak pemerintahny, gak rakyat nya.. aneh semua.
  Pemerintah menetapkan PPKM, tapi setengah setengah
  Rakyat menjalankan PPKM, tapi seperempat seperempat
  Coba aja gak misskom, saling percaya, pada nurut pake masker, cuci tangan, jaga kebersihan, jaga kesehatan</t>
  </si>
  <si>
    <t>Aneh indonesia itu.. gak pemerintahny, gak rakyat nya.. aneh semua. Pemerintah menetapkan PPKM, tapi setengah setengah Rakyat menjalankan PPKM, tapi seperempat seperempat Coba aja gak misskom, saling percaya, pada nurut pake masker, cuci tangan, jaga kebersihan, jaga kesehatan</t>
  </si>
  <si>
    <t>Gerak cepat pemerintah luar biasa, sudah selayaknya mendapat dukungan dari rakyat, dengan mematuhi ppkm mikro, melaksanakn prokes. https://t.co/iqrJIsCW2V</t>
  </si>
  <si>
    <t>Gerak cepat pemerintah luar biasa, sudah selayaknya mendapat dukungan dari rakyat, dengan mematuhi ppkm mikro, melaksanakn prokes.</t>
  </si>
  <si>
    <t>Pagi pagi udah di stop polisi lalulintas 😉😉, moge 1000 CC ini , bukan pak di bawahnya 600cc 4 silinder , cek sim STNK , ini knalpot Akrapovic ori .. lagi ppkm ini mas katanya , saya jalan sebentar aja manasin motor .oke silahkan jalan langsung pulang ya ..baik bener pak polisi</t>
  </si>
  <si>
    <t>Pagi pagi udah di stop polisi lalulintas , moge CC ini , bukan pak di bawahnya cc silinder , cek sim STNK , ini knalpot Akrapovic ori .. lagi ppkm ini mas katanya , saya jalan sebentar aja manasin motor .oke silahkan jalan langsung pulang ya ..baik bener pak polisi</t>
  </si>
  <si>
    <t>PPKM -pengeluaran poll kurang masukan-</t>
  </si>
  <si>
    <t>Kalo kita dijamin sama pemerintah buat ppkm juga gua ngikutin , lah ini dijamin kaga seenggaknya kayaa bhuat logistik dijamin ( enggak berharap juga si wkwkw )</t>
  </si>
  <si>
    <t>@geminicakep Aku suka ppkm tapi tanpa pp</t>
  </si>
  <si>
    <t>Aku suka ppkm tapi tanpa pp</t>
  </si>
  <si>
    <t>Tinggal lah sementara di rumah, ini untuk kebaikan kita semua. Untuk kehidupan kita yang akan lebih baik nantinya.
 Pak Kapolda, sayangnya sebagian provokator yang menolak PPKM itu teman2 atau pendukung Gubernur Anies Baswedan. 
  https://t.co/n0qO0knYSS</t>
  </si>
  <si>
    <t>Tinggal lah sementara di rumah, ini untuk kebaikan kita semua. Untuk kehidupan kita yang akan lebih baik nantinya.Pak Kapolda, sayangnya sebagian provokator yang menolak PPKM itu teman2 atau pendukung Gubernur Anies Baswedan.</t>
  </si>
  <si>
    <t>Ngancem rakyat yg ga taat PPKM sementara orang asing masuk ke Indonesia seolah PPKM ga ada. Ga masuk logika dari segala penjuru mata angin.</t>
  </si>
  <si>
    <t>Klompok LICIK yg ingin memuaskan syahwat politik udah ga sabar nunggu 2024❓
 Ditengah melonjaknya Covid-19 ga ada rasa humanity, alih2 bantu pemerintah yg ada sibuk Menebar Kegaduhan dg menggoreng PPKM.
 Dmn jiwa Negarawan kalian pecundang politik❓ https://t.co/n0eT8nYQxm</t>
  </si>
  <si>
    <t>Klompok LICIK yg ingin memuaskan syahwat politik udah ga sabar nunggu Ditengah melonjaknya Covid-19 ga ada rasa humanity, alih2 bantu pemerintah yg ada sibuk Menebar Kegaduhan dg menggoreng PPKM.Dmn jiwa Negarawan kalian pecundang politik</t>
  </si>
  <si>
    <t>Tumben amat pagi2 dpt tempat duduk 
 I luv ppkm ❤😂</t>
  </si>
  <si>
    <t>Tumben amat pagi2 dpt tempat duduk I luv ppkm</t>
  </si>
  <si>
    <t>____ uhuey_,"setali tiga uang" dengan kemenaker .......
 Viral TKA Masuk Indonesia saat PPKM Darurat, Ini Penjelasan Kemenhub https://t.co/qLQ6dOiNo7</t>
  </si>
  <si>
    <t>____ uhuey_,"setali tiga uang" dengan kemenaker .......Viral TKA Masuk Indonesia saat PPKM Darurat, Ini Penjelasan Kemenhub</t>
  </si>
  <si>
    <t>@kompascom Gimana mau berhasil cegah penebaran Covid (?). PPKM hrs nya fokus kpd "Pengawasan thd Lingkungan Masyarakat n pengguna jln, di Cek tanda bukti tlh di-Vaksin, KTP, penerapan ProKes Nya". Bukan di Pencegatan jg pemenuhan Srt STRP.</t>
  </si>
  <si>
    <t>Gimana mau berhasil cegah penebaran Covid (?). PPKM hrs nya fokus kpd "Pengawasan thd Lingkungan Masyarakat n pengguna jln, di Cek tanda bukti tlh di-Vaksin, KTP, penerapan ProKes Nya". Bukan di Pencegatan jg pemenuhan Srt STRP.</t>
  </si>
  <si>
    <t>mau pengalihan isu, tp terlalu vulgar, dicancel deh jadinya...PPKM Plonga Plongo Kapan Mundur https://t.co/0792E8OPJ5</t>
  </si>
  <si>
    <t>mau pengalihan isu, tp terlalu vulgar, dicancel deh jadinya...PPKM Plonga Plongo Kapan Mundur</t>
  </si>
  <si>
    <t>Taaaah iyeu pisaaaannnnn....padahal kalo duit operasional aparat ma polisi itu dialihin buat jaminan kebutuhan hidup sehari2x masyarakat terdampak ppkm hingga mereka bisa hidup normal tanpa perlu keluar rmh cari nafkah.....ya pasti pada manut dan tinggal di rmh... https://t.co/2shu4f7AaZ</t>
  </si>
  <si>
    <t>Taaaah iyeu pisaaaannnnn....padahal kalo duit operasional aparat ma polisi itu dialihin buat jaminan kebutuhan hidup sehari2x masyarakat terdampak ppkm hingga mereka bisa hidup normal tanpa perlu keluar rmh cari nafkah.....ya pasti pada manut dan tinggal di rmh...</t>
  </si>
  <si>
    <t>@TiarCrypto @SatoshiOwl Sdh ikutan semua Kak...
 Semoga adanya PPKM Jawa Bali
 Gk ada putus asa dlm mencari rezeki dipinggir trotoar, sdh 4 hari jalan terasa sepi gk ada pelanggan yg mampir ke lapak</t>
  </si>
  <si>
    <t>Sdh ikutan semua Kak...Semoga adanya PPKM Jawa BaliGk ada putus asa dlm mencari rezeki dipinggir trotoar, sdh hari jalan terasa sepi gk ada pelanggan yg mampir ke lapak</t>
  </si>
  <si>
    <t>SELAMATT PAGIII KAWAN2!!!💞💞 have a nice day!! Jan lupa patuhi ppkm yes!😋🍣</t>
  </si>
  <si>
    <t>SELAMATT PAGIII KAWAN2!!! have a nice day!! Jan lupa patuhi ppkm yes!</t>
  </si>
  <si>
    <t>Kebijakan tanpa solusi buat apa? Bansos dikorupsi. Mata pencaharian dikebiri. Kalian suruh dirumah, mau makan apa? Rakyat &amp;amp; nakes yang dibenturkan.
 Mau PPKM dua minggu, tiga minggu. Jika tanpa solusi, apa artinya? Akan kembali lagi setelah PPKM berakhir.</t>
  </si>
  <si>
    <t>Kebijakan tanpa solusi buat apa? Bansos dikorupsi. Mata pencaharian dikebiri. Kalian suruh dirumah, mau makan apa? Rakyat &amp;amp; nakes yang dibenturkan.Mau PPKM dua minggu, tiga minggu. Jika tanpa solusi, apa artinya? Akan kembali lagi setelah PPKM berakhir.</t>
  </si>
  <si>
    <t>PPKM= Pernah Pdkt Kemudian Menghilang</t>
  </si>
  <si>
    <t>bkn masalah sesuai prosedur atau tdk. ditengah kondisi seperti skrg, sense of crisis itu mana! rasa keadilan itu dmn! PPKM DARURAT! @ditjen_imigrasi https://t.co/qYuoR87cUX</t>
  </si>
  <si>
    <t>bkn masalah sesuai prosedur atau tdk. ditengah kondisi seperti skrg, sense of crisis itu mana! rasa keadilan itu dmn! PPKM DARURAT!</t>
  </si>
  <si>
    <t>Persis!
 PPKM: Pak Presiden Kapan Mundur? https://t.co/l5mLPBJwvS</t>
  </si>
  <si>
    <t>Persis!PPKM: Pak Presiden Kapan Mundur?</t>
  </si>
  <si>
    <t>gimana bisa punya duit banyak kalau PPKM lagi 🙄 waaah pemerintah kok masih mau becanda nih kayaknya, setahun kmrn blm bosen becandanya 🙄</t>
  </si>
  <si>
    <t>gimana bisa punya duit banyak kalau PPKM lagi waaah pemerintah kok masih mau becanda nih kayaknya, setahun kmrn blm bosen becandanya</t>
  </si>
  <si>
    <t>@KompasTV @DivHumas_Polri bagaimana dengan @PemKotTangSel yang menyelenggarakan MTQ saat PPKM ?</t>
  </si>
  <si>
    <t>bagaimana dengan yang menyelenggarakan MTQ saat PPKM ?</t>
  </si>
  <si>
    <t>Intinya? PPKM tdk sebuah solusi. mengurai kerumunan sih iya. Tapi penerapannya, haha ENDAK BANGET. Kebijakan adalah hasil dari SEBUAH PEMIKIRAN YANG BIJAK.</t>
  </si>
  <si>
    <t>meski di tengah suasana PPKM Darurat, Masjid Nasional Al Akbar Surabaya juga menginisiasi ikhtiar bathin</t>
  </si>
  <si>
    <t>Ada berita TKA masuk Indonesia pas lagi kebijakan PPKM. Dulu dilarang mudik, juga TKA masuk Indonesia. Ada apa ini...</t>
  </si>
  <si>
    <t>Lagian PPKM, nutup jalan masih ada klausul "kecuali sektor tertentu"...
 Ya byk kantor nyuruh karyawan masuk lah, coba blg tutup total... gak ada alasan, eh kecuali nakes + support RS... kan jelas.
 Tapi tetep, yg disalahin kopitiot dong...</t>
  </si>
  <si>
    <t>Lagian PPKM, nutup jalan masih ada klausul "kecuali sektor tertentu"...Ya byk kantor nyuruh karyawan masuk lah, coba blg tutup total... gak ada alasan, eh kecuali nakes + support RS... kan jelas.Tapi tetep, yg disalahin kopitiot dong...</t>
  </si>
  <si>
    <t>Btw ini sebelum PPKM atau pun lockdown. Sudah berbulan</t>
  </si>
  <si>
    <t>@Kimberley20101 PPKM
 Pemerintah Pancen Kelakuan Maling</t>
  </si>
  <si>
    <t>PPKMPemerintah Pancen Kelakuan Maling</t>
  </si>
  <si>
    <t>@KAI121 selamat pagi kak, ijin bertanya, selama ppkm ini, apakah kereta Singasari tidak beroperasi ? terima kasih sebelumnya 🙏</t>
  </si>
  <si>
    <t>selamat pagi kak, ijin bertanya, selama ppkm ini, apakah kereta Singasari tidak beroperasi ? terima kasih sebelumnya</t>
  </si>
  <si>
    <t>Cerita pagi ini, live Instagram dengan teman. Topik pembicaraan menjadi covid dan pemerintah karena ppkm. baru juga ngomongin covid dan pemerintah tiba-tiba disconnect dari live. Sensitif amat instagram.</t>
  </si>
  <si>
    <t>PPKM : Pagi Pagi Keinget Mantan 😭😭</t>
  </si>
  <si>
    <t>PPKM : Pagi Pagi Keinget Mantan</t>
  </si>
  <si>
    <t>Salat berjemaah untuk umum sementara ini ditiadakan selama PPKM Darurat ya, Tapi untuk adzan masih tetap dikumandangkan</t>
  </si>
  <si>
    <t>@alisarnabila Done follow all kaka ❤
 Atas nama IG @.fuad_amzar ya 🥰🥳
 Mau banget skincare nya,
 Untuk perawatan muka aku selama ppkm huhu ❤ https://t.co/0XFgFQ9Kzo</t>
  </si>
  <si>
    <t>Done follow all kaka Atas nama IG .fuad_amzar ya Mau banget skincare nya,Untuk perawatan muka aku selama ppkm huhu</t>
  </si>
  <si>
    <t>Pak Presiden... Kami Inginnya Di Rumah, Tapi Perut Kami Menuntut Untuk Keluar Rumah Mencari Nafkah
 Tuan Presiden tdk mau terapkan Karantina Wilayah tp gunakan PPKM Darurat. Itu artinya, rakyat diminta mengurung diri di rmh, tp makannya tdk ada yg tjwb
 https://t.co/RWcmPtAore https://t.co/N1CpbJNKmR</t>
  </si>
  <si>
    <t>Pak Presiden... Kami Inginnya Di Rumah, Tapi Perut Kami Menuntut Untuk Keluar Rumah Mencari NafkahTuan Presiden tdk mau terapkan Karantina Wilayah tp gunakan PPKM Darurat. Itu artinya, rakyat diminta mengurung diri di rmh, tp makannya tdk ada yg tjwb</t>
  </si>
  <si>
    <t>Di tengah lonjakan kasus covid-19 di negeri ini pemerintah akhirnya memberlakukan Pembatasan Kegiatan Masyarakat atau PPKM Darurat, 20 (TKA) dari China tiba di Bandara Sultan Hasanuddin, Sulawesi Selatan, Sabtu (3/7) lalu. 
 https://t.co/fqG1eRsiZf</t>
  </si>
  <si>
    <t>Di tengah lonjakan kasus covid-19 di negeri ini pemerintah akhirnya memberlakukan Pembatasan Kegiatan Masyarakat atau PPKM Darurat, (TKA) dari China tiba di Bandara Sultan Hasanuddin, Sulawesi Selatan, Sabtu (3/7) lalu.</t>
  </si>
  <si>
    <t>PPKM = Pelan Pelan Kita Miskin</t>
  </si>
  <si>
    <t>@gojekindonesia Min aku di Jaksel mau pergi ke bogor naik goCar. Apa boleh selama PPKM ini? Mohon jawabannya ya... Makasih</t>
  </si>
  <si>
    <t>Min aku di Jaksel mau pergi ke bogor naik goCar. Apa boleh selama PPKM ini? Mohon jawabannya ya... Makasih</t>
  </si>
  <si>
    <t>PPKM di lingkungan rumah be like :
 - Udah banyak yg meninggal covid
 - Udah banyak yg positif
 - Gak mau test
 - Tahlilan bareng jalan Terus
 - Salat berjamaah masih ada di mesjid (termasuk subuh)
 - Makannya prasmanan
 Kumemnangiiiiiddd :'))))</t>
  </si>
  <si>
    <t>PPKM di lingkungan rumah be like :- Udah banyak yg meninggal covid- Udah banyak yg positif- Gak mau test- Tahlilan bareng jalan Terus- Salat berjamaah masih ada di mesjid (termasuk subuh)- Makannya prasmananKumemnangiiiiiddd :'))))</t>
  </si>
  <si>
    <t>@RadioElshinta @DPR_RI Yg pasti penyebaran covid 19 yg tak terbendung itu menyusahkan semua orang. Bukan PPKM darurat.</t>
  </si>
  <si>
    <t>Yg pasti penyebaran covid yg tak terbendung itu menyusahkan semua orang. Bukan PPKM darurat.</t>
  </si>
  <si>
    <t>Padahal jelas, saat PSBB/ PPKM, suply sembako, makanan, obat2an +nakes : TETEP HARUS BEROPERASI (BUKA/ MELAYANI) ... akses jalan seharusnya dipermudah !
 Ya, Alloh ... kenapa mendadak TULALIT semua ??? 🥺🥺🥺 https://t.co/EdyzRUiYCd</t>
  </si>
  <si>
    <t>Padahal jelas, saat PSBB/ PPKM, suply sembako, makanan, obat2an +nakes : TETEP HARUS BEROPERASI (BUKA/ MELAYANI) ... akses jalan seharusnya dipermudah !Ya, Alloh ... kenapa mendadak TULALIT semua ???</t>
  </si>
  <si>
    <t>Nih pemerintah dah upayakan ketersediaan oksigen, harapannya g kepake saja, ayo amankn diri, amankan sodara, keluarga dan tetangga, dengan patuhi prokes, dan ppkm mikro. https://t.co/HWw0Fv3jnA</t>
  </si>
  <si>
    <t>Nih pemerintah dah upayakan ketersediaan oksigen, harapannya g kepake saja, ayo amankn diri, amankan sodara, keluarga dan tetangga, dengan patuhi prokes, dan ppkm mikro.</t>
  </si>
  <si>
    <t>@zarazettirazr PPKM jadi membuat macet dan kerumunan di beberapa titik yg di skat https://t.co/DxvASHp6Vh</t>
  </si>
  <si>
    <t>PPKM jadi membuat macet dan kerumunan di beberapa titik yg di skat</t>
  </si>
  <si>
    <t>@forggukie_ Iya si.. tapi aku masi bingung kok bisa masuk sini tanpa swab kan lagi PPKM😭</t>
  </si>
  <si>
    <t>Iya si.. tapi aku masi bingung kok bisa masuk sini tanpa swab kan lagi PPKM</t>
  </si>
  <si>
    <t>@niadadimana @ezash ituu tf sisa payment atau ppkm kakk 14 hari xixixi🤡</t>
  </si>
  <si>
    <t>ituu tf sisa payment atau ppkm kakk hari xixixi</t>
  </si>
  <si>
    <t>@InfoVaksinDIY Pelayan vaksin untuk sekarang masih buka gak ya min?, soalnya PPKM.</t>
  </si>
  <si>
    <t>Pelayan vaksin untuk sekarang masih buka gak ya min?, soalnya PPKM.</t>
  </si>
  <si>
    <t>Walah kenapa bisa begini....❓❓❓
 Pernyataan Kabareskrim Bisa Bikin Ambyar PPKM Darurat https://t.co/sHtDqIMbZu</t>
  </si>
  <si>
    <t>Walah kenapa bisa begini....Pernyataan Kabareskrim Bisa Bikin Ambyar PPKM Darurat</t>
  </si>
  <si>
    <t>@republikaonline Ini berita klarifikasi atau ngeles? 
 Sdh jelas2 mereka datang saat PPKM.</t>
  </si>
  <si>
    <t>Ini berita klarifikasi atau ngeles? Sdh jelas2 mereka datang saat PPKM.</t>
  </si>
  <si>
    <t>@GrabID Min aku di Jaksel mau pergi ke bogor naik grab Car. Apa boleh selama PPKM ini? Mohon jawabannya ya... Makasih 🙏</t>
  </si>
  <si>
    <t>Min aku di Jaksel mau pergi ke bogor naik grab Car. Apa boleh selama PPKM ini? Mohon jawabannya ya... Makasih</t>
  </si>
  <si>
    <t>@moongcuwii Iya kali ya bisa jadi juga;( tapi aku heran kok boleh si masuk kesini tanpa swab dulu kan lagi ppkm</t>
  </si>
  <si>
    <t>Iya kali ya bisa jadi juga tapi aku heran kok boleh si masuk kesini tanpa swab dulu kan lagi ppkm</t>
  </si>
  <si>
    <t>Pemerintah selama tanggal 3-20 Juli akan memberikan 7 bansos dalam bentuk ; 
 1. BLT UKM
 2. PKH
 3. BLT Desa
 4. Kartu Sembako
 5. Kartu Prakerja 
 6. Bansos tunai
 7. Diskon tarif listrik
 Harapannya, bantuan ini bisa membantu masyarakat selama PPKM Darurat.</t>
  </si>
  <si>
    <t>Pemerintah selama tanggal $NUMBER$ Juli akan memberikan bansos dalam bentuk ; . BLT UKM2. PKH3. BLT Desa4. Kartu Sembako5. Kartu Prakerja . Bansos tunai7. Diskon tarif listrikHarapannya, bantuan ini bisa membantu masyarakat selama PPKM Darurat.</t>
  </si>
  <si>
    <t>semua takutnya klo kesna malah bwa virus kan.
 lalu, mlm tdi dikabarin tante yg di Serang jatoh di kmr mndi, dibwa ke rs ditolak semua krn penuh, smp akhirnya meninggal (tante pnya asem lambung jga). Lgi" kita ga bsa ksna krn lgi ppkm jga, jdi cma bsa vc-an sma yg dsna.</t>
  </si>
  <si>
    <t>semua takutnya klo kesna malah bwa virus kan.lalu, mlm tdi dikabarin tante yg di Serang jatoh di kmr mndi, dibwa ke rs ditolak semua krn penuh, smp akhirnya meninggal (tante pnya asem lambung jga). Lgi" kita ga bsa ksna krn lgi ppkm jga, jdi cma bsa vc-an sma yg dsna.</t>
  </si>
  <si>
    <t>@CNNIndonesia @DivHumas_Polri @ditjen_imigrasi @mohmahfudmd @RamliRizal @dr_koko28 @drpriono1 @AdamPrabata @tirta_hudhi serius nih ang ada prosedur boleh masuk ya warga asing 😔
 terasa sia-sia aja nakes, rakyat sipil &amp;amp; petugas pada PPKM</t>
  </si>
  <si>
    <t>serius nih ang ada prosedur boleh masuk ya warga asing terasa sia-sia aja nakes, rakyat sipil &amp;amp; petugas pada PPKM</t>
  </si>
  <si>
    <t>Dan agar penyalurannya tepat sasaran, Pemerintah sudah memperbaiki data penerima bantuan sosial untuk PPKM Darurat. Hal ini membuktikan bahwa kemensos tidak tinggal diam terhadap data ganda penerima bansos.</t>
  </si>
  <si>
    <t>Ppkm digalakan tapi masih nerimah turis keluar masuk indo 🎪 🤡 https://t.co/NGMPbwuBN1</t>
  </si>
  <si>
    <t>Ppkm digalakan tapi masih nerimah turis keluar masuk indo</t>
  </si>
  <si>
    <t>Pemerintah akan memberikan bantuan sosial kepada masyarakat selama PPKM Darurat. Bantuan tersebut ditargetkan ;
 - BTS (10 juta penerima bantuan)
 - BPNT (18,8 juta)
 - PKH (10 juta) https://t.co/lgErcuDgef</t>
  </si>
  <si>
    <t>Pemerintah akan memberikan bantuan sosial kepada masyarakat selama PPKM Darurat. Bantuan tersebut ditargetkan ;- BTS (10 juta penerima bantuan)- BPNT (18,8 juta)- PKH (10 juta)</t>
  </si>
  <si>
    <t>Perpanjangan bansos oleh Pemerintah selama PPKM Darurat bertujuan untuk membantu masyarakat miskin bertahan di tengah pandemi covid19.</t>
  </si>
  <si>
    <t>saat ppkm gini, selalu di omelin karena kerjaannya hp terus, ya gua harus apa? keluar gtu main, olahraga diluar gtu? kan protokol lgi kuat kuat nya pada saat ini</t>
  </si>
  <si>
    <t>Selamat pagi... ada kabar baik nih teman-teman. Selama PPKM Darurat, Pemerintah akan memberikan bantuan sosial hingga 6,1 Triliun. Simak threadnya sampai selesai ya... https://t.co/OehgdXl80l</t>
  </si>
  <si>
    <t>Selamat pagi... ada kabar baik nih teman-teman. Selama PPKM Darurat, Pemerintah akan memberikan bantuan sosial hingga Triliun. Simak threadnya sampai selesai ya...</t>
  </si>
  <si>
    <t>@azwarsiregar @jokowi PPKM (Pak Presiden Kapan Mundur)</t>
  </si>
  <si>
    <t>PPKM (Pak Presiden Kapan Mundur)</t>
  </si>
  <si>
    <t>Lrt malu gasih? Wkwk. Kek kebayang gitu komandannya bilang "gimana ini ppkm darurat, orang harus sudah di rumah jam 8, apa perlu kita takutin? Jadi pocong di jalan?" trus anggotanya "ide bagus ndan" wkwkwkwk</t>
  </si>
  <si>
    <t>Lrt malu gasih? Wkwk. Kek kebayang gitu komandannya bilang "gimana ini ppkm darurat, orang harus sudah di rumah jam , apa perlu kita takutin? Jadi pocong di jalan?" trus anggotanya "ide bagus ndan" wkwkwkwk</t>
  </si>
  <si>
    <t>PPKM gini, sarapan di malioboro masih bisa ga ya?</t>
  </si>
  <si>
    <t>Iptu M. Arif Rachman bersama Ipda Wawan,SE.,melaksanakan sosialisasi PPKM Darurat. https://t.co/OxM9tLw7W5</t>
  </si>
  <si>
    <t>Iptu M. Arif Rachman bersama Ipda Wawan,SE.,melaksanakan sosialisasi PPKM Darurat.</t>
  </si>
  <si>
    <t>@dymasprihandoko @detikcom Lah, di Jawa Barat sama Banten gak PPKM?</t>
  </si>
  <si>
    <t>Lah, di Jawa Barat sama Banten gak PPKM?</t>
  </si>
  <si>
    <t>Ppkm ini sungguh sangat....</t>
  </si>
  <si>
    <t>Ini aturan ambigu...dan penunjang hampir semua industri itu terkait disana, llu mrk ajukan ijin ke kemen indust pasti diijinkan operasi.Apa yg mau diperbuat utk PPKM Darurat ini. akhirnya aktivitas biasa sja kerumuman, mobilitas sperti sediakala. Mau selamatkan manusia atau uang? https://t.co/VmqPqfJv3l</t>
  </si>
  <si>
    <t>Ini aturan ambigu...dan penunjang hampir semua industri itu terkait disana, llu mrk ajukan ijin ke kemen indust pasti diijinkan operasi.Apa yg mau diperbuat utk PPKM Darurat ini. akhirnya aktivitas biasa sja kerumuman, mobilitas sperti sediakala. Mau selamatkan manusia atau uang?</t>
  </si>
  <si>
    <t>@V4r3zh_Dev Iya Bib @V4r3zh_Dev ga hbs pikir sm ini pemerintah,...PPKM diterapin,..rakyt mau mkn apa cb...emang mereka ngaseh mkn??..
 Ini udah sgt keterlaluan..</t>
  </si>
  <si>
    <t>Iya Bib ga hbs pikir sm ini pemerintah,...PPKM diterapin,..rakyt mau mkn apa cb...emang mereka ngaseh mkn??..Ini udah sgt keterlaluan..</t>
  </si>
  <si>
    <t>@KomatKamiit @jokowi Yuk disiplin prokes dan patuhi PPKM Darurat</t>
  </si>
  <si>
    <t>Yuk disiplin prokes dan patuhi PPKM Darurat</t>
  </si>
  <si>
    <t>PPKM kali ini beda bngt.
 Sekarang bukan lagi fighting tapi bertahan agar selalu waras &amp;amp; bahagia biar sehat, imun tubuh tetap terjaga. Semakin meyakini janji Tuhan, mengembalikan semua kepada-NYA. Tuhan akan memberikan pertolongan, tdk akan meninggalkan hamba-NYA.</t>
  </si>
  <si>
    <t>PPKM kali ini beda bngt.Sekarang bukan lagi fighting tapi bertahan agar selalu waras &amp;amp; bahagia biar sehat, imun tubuh tetap terjaga. Semakin meyakini janji Tuhan, mengembalikan semua kepada-NYA. Tuhan akan memberikan pertolongan, tdk akan meninggalkan hamba-NYA.</t>
  </si>
  <si>
    <t>Namun selama PPKM diisi dengan doa bersama secara virtual nantinya ya</t>
  </si>
  <si>
    <t>Pagi ini cocok banget buat cuddle, tahan dulu ya masih ppkm :)</t>
  </si>
  <si>
    <t>Pagi ini cocok banget buat cuddle, tahan dulu ya masih ppkm</t>
  </si>
  <si>
    <t>jog Alfam4rt buka jam piro yo ppkm gini?</t>
  </si>
  <si>
    <t>@desitawr Sebel bgt aku tu ngeliat orang msh keluyuran tp ngeluh ada ppkm, bodohnya ke ubun2 dut🥲🥲🥲🥲🥲🥲🥲🥲</t>
  </si>
  <si>
    <t>Sebel bgt aku tu ngeliat orang msh keluyuran tp ngeluh ada ppkm, bodohnya ke ubun2 dut</t>
  </si>
  <si>
    <t>yang pada pokoknya memerintahkan agar para kepala Kajati dan Kajari agar mengambil langkah-langkah yang diperlukan sesuai dengan tugas, fungsi, kewenangannya untuk memberi dukungan terhadap pelaksanaan kebijakan PPKM Darurat. ⁣</t>
  </si>
  <si>
    <t>yang pada pokoknya memerintahkan agar para kepala Kajati dan Kajari agar mengambil langkah-langkah yang diperlukan sesuai dengan tugas, fungsi, kewenangannya untuk memberi dukungan terhadap pelaksanaan kebijakan PPKM Darurat.</t>
  </si>
  <si>
    <t>@zarazettirazr Djemat dh menilai siapa angkat setuju terapkan PPKM Darurat banyak tidak sadar efek kepanjangan 👀</t>
  </si>
  <si>
    <t>Djemat dh menilai siapa angkat setuju terapkan PPKM Darurat banyak tidak sadar efek kepanjangan</t>
  </si>
  <si>
    <t>@GueChokY ini sequelnya nant, PPKM #2. Di bagian pertama miskin, bagian kedua mati. 
 #CeritadiWakanda</t>
  </si>
  <si>
    <t>ini sequelnya nant, PPKM . Di bagian pertama miskin, bagian kedua mati.</t>
  </si>
  <si>
    <t>Yang angkut barang dagangan, ngancurin lapak alasan razia PPKM itu gak punya rasa kemanusiaan...</t>
  </si>
  <si>
    <t>@polresleman @InfoVaksinDIY PPKM gini pelayanan vaksinnya untuk sekarang masih buka gak yaa min?,</t>
  </si>
  <si>
    <t>PPKM gini pelayanan vaksinnya untuk sekarang masih buka gak yaa min?,</t>
  </si>
  <si>
    <t>Jangan sia-siakan kerja keras semua aparat hukum n satgas PPKM Darurat.
 #TegasTegakkanPPKMDarurat https://t.co/Nmu0qi3CgK https://t.co/CPfx3HWsco</t>
  </si>
  <si>
    <t>Jangan sia-siakan kerja keras semua aparat hukum n satgas PPKM Darurat.</t>
  </si>
  <si>
    <t>Ppkm tapi bisa lewat jagakarsa muehehe</t>
  </si>
  <si>
    <t>PPKM = Pagi Pagi Kangen Melulu
 yha</t>
  </si>
  <si>
    <t>PPKM = Pagi Pagi Kangen Meluluyha</t>
  </si>
  <si>
    <t>Personil Polsek Solokanjeruk melaksanakan sosialisasi PPKM Darurat. https://t.co/ZKgRvt7ym3</t>
  </si>
  <si>
    <t>Personil Polsek Solokanjeruk melaksanakan sosialisasi PPKM Darurat.</t>
  </si>
  <si>
    <t>Wali Kota Bogor Bima Arya Akan Alokasikan Bantuan Logistik PPKM Darurat https://t.co/PaE4J03w77</t>
  </si>
  <si>
    <t>Wali Kota Bogor Bima Arya Akan Alokasikan Bantuan Logistik PPKM Darurat</t>
  </si>
  <si>
    <t>Faktanya PPKM kedok memaksakan vaksin pada rakyat karena persyaratan mobilitas warga menjadi persyaratan lolos razia PPKM .. 
 Apakah rezim jamin yg sudah vaksin bisa kebal covid dan lepas masker ? Upaya rezim sales vaksin gunakan kebijakan rezim .. https://t.co/bt94DEOVvV</t>
  </si>
  <si>
    <t>Faktanya PPKM kedok memaksakan vaksin pada rakyat karena persyaratan mobilitas warga menjadi persyaratan lolos razia PPKM .. Apakah rezim jamin yg sudah vaksin bisa kebal covid dan lepas masker ? Upaya rezim sales vaksin gunakan kebijakan rezim ..</t>
  </si>
  <si>
    <t>@DivHumas_Polri dokter tdk bisa dtg ke rumah sakit krn polisi yg terlalu 'tegas' dg aturan PPKM. Lah siapa yg mengobati pasien covid kalau tenaga medis dihalangi aksesnya? PPKM akan sia2 juga. https://t.co/cmxc0F86ms</t>
  </si>
  <si>
    <t>dokter tdk bisa dtg ke rumah sakit krn polisi yg terlalu 'tegas' dg aturan PPKM. Lah siapa yg mengobati pasien covid kalau tenaga medis dihalangi aksesnya? PPKM akan sia2 juga.</t>
  </si>
  <si>
    <t>@zarazettirazr Pak Pak Kapan Mundur (PPKM)</t>
  </si>
  <si>
    <t>Pak Pak Kapan Mundur (PPKM)</t>
  </si>
  <si>
    <t>@NUgarislucu PPKM
 Pagi Pagi Kopi Manis https://t.co/Idlgv57H4Y</t>
  </si>
  <si>
    <t>PPKMPagi Pagi Kopi Manis</t>
  </si>
  <si>
    <t>@CecepLagi PPKM
 Pertama Percaya Kemudian Menyesal</t>
  </si>
  <si>
    <t>PPKMPertama Percaya Kemudian Menyesal</t>
  </si>
  <si>
    <t>Pasti bisa dooongg..
 Yok ikuti aturan PPKM Darurat Gaes https://t.co/VC2qpM9948</t>
  </si>
  <si>
    <t>Pasti bisa dooongg..Yok ikuti aturan PPKM Darurat Gaes</t>
  </si>
  <si>
    <t>Yooook sllu taati PPKM... https://t.co/etZp8TbAzK</t>
  </si>
  <si>
    <t>Yooook sllu taati PPKM...</t>
  </si>
  <si>
    <t>Iya.. betul banget.
 Harusnya Lockdown, jangan PPKM Darurat.😭😭😭 https://t.co/zNXZjnq4vS</t>
  </si>
  <si>
    <t>Iya.. betul banget.Harusnya Lockdown, jangan PPKM Darurat.</t>
  </si>
  <si>
    <t>Masih ga setuju sm lockdown/ppkm/psbb yg skrg. Ga semua orang bisa survive di kondisi lockdown. Salah satu opsi untuk yg mau bekerja/berkegiatan sudah divaksinasi,</t>
  </si>
  <si>
    <t>@recehtapisayng Gasuka ppkm, sukanya tt km</t>
  </si>
  <si>
    <t>Gasuka ppkm, sukanya tt km</t>
  </si>
  <si>
    <t>@detikcom Hadehh sekelas Detik beritanya seperti ini. PPKM Jawa Bali, ini di Sulawesi boss</t>
  </si>
  <si>
    <t>Hadehh sekelas Detik beritanya seperti ini. PPKM Jawa Bali, ini di Sulawesi boss</t>
  </si>
  <si>
    <t>Kalian PPKM darurat gini ngirim ke luar kota giaman? kurirnya disuruh puter balik? @JNECare @sicepat_ekspres</t>
  </si>
  <si>
    <t>Kalian PPKM darurat gini ngirim ke luar kota giaman? kurirnya disuruh puter balik?</t>
  </si>
  <si>
    <t>@KomatKamiit Dukung PPKM Darurat Pulau Jawa Bali</t>
  </si>
  <si>
    <t>Dukung PPKM Darurat Pulau Jawa Bali</t>
  </si>
  <si>
    <t>PPKM (Para Penguasa Kehabisan Modal)</t>
  </si>
  <si>
    <t>Pemerintah resmi memberlakukan Pemberlakuan Pembatasan Kegiatan Masyarakat (PPKM) Darurat loh!</t>
  </si>
  <si>
    <t>Jalan menuju rsia jg byk yg ditutup. Rsia nya memang persis depan taman slamet, jd seharusnya byk jalan masuk, tapi ppkm darurat ini hanya bisa lewat jalan tertentu. Jd ngga rame.</t>
  </si>
  <si>
    <t>@seducctress ppkm,pengen pegang kemaluan mu,😂😂😂</t>
  </si>
  <si>
    <t>ppkm,pengen pegang kemaluan mu,</t>
  </si>
  <si>
    <t>TKA tiongkok datang pas PPKM ditindak juga gak sama teman2admin? https://t.co/DLLIroV3eV</t>
  </si>
  <si>
    <t>TKA tiongkok datang pas PPKM ditindak juga gak sama teman2admin?</t>
  </si>
  <si>
    <t>Masyarakat juge lah yg salah ni 🤣 lawak kali. Pikir la kenape masy ttp ada d jalanan. CARI DUIT PAK. Karantina wilayah pake ganti2 nama jd PPKM biar ga da kewajiban nanggung kebutuhan warga dan ternak. Bah! Mual lama2 aku https://t.co/FLRk7QkOaU</t>
  </si>
  <si>
    <t>Masyarakat juge lah yg salah ni lawak kali. Pikir la kenape masy ttp ada d jalanan. CARI DUIT PAK. Karantina wilayah pake ganti2 nama jd PPKM biar ga da kewajiban nanggung kebutuhan warga dan ternak. Bah! Mual lama2 aku</t>
  </si>
  <si>
    <t>Silahkan bagi yg ingin membaca.
 Percuma PPKM jika antibodi kalian lemah.
 Antibodi kalian kuat jika gizi, nutrisi, vitamin kalian tercukupi.
 Makan makanan bergizi, vitamin, serta olahraga rutin minimal setengah sampai satu jam perhari.
 Jangan takut, hiduplah seperti biasa.</t>
  </si>
  <si>
    <t>Silahkan bagi yg ingin membaca.Percuma PPKM jika antibodi kalian lemah.Antibodi kalian kuat jika gizi, nutrisi, vitamin kalian tercukupi.Makan makanan bergizi, vitamin, serta olahraga rutin minimal setengah sampai satu jam perhari.Jangan takut, hiduplah seperti biasa.</t>
  </si>
  <si>
    <t>Lagi PPKM 🙃 https://t.co/QdL2IrlsLG</t>
  </si>
  <si>
    <t>Lagi PPKM</t>
  </si>
  <si>
    <t>Mendagri Minta Kepala Daerah Tak Ragu Terapkan PPKM Darurat.
 #TegasTegakkanPPKMDarurat
 https://t.co/IBtXJswyqW</t>
  </si>
  <si>
    <t>Mendagri Minta Kepala Daerah Tak Ragu Terapkan PPKM Darurat.://</t>
  </si>
  <si>
    <t>Tindak tegas bagi pelanggar PPKM darurat https://t.co/oNoKmNLarr</t>
  </si>
  <si>
    <t>Tindak tegas bagi pelanggar PPKM darurat</t>
  </si>
  <si>
    <t>Gubernur Khofifah mengapresiasi Masjid Al Akbar dan AYSI, yang akan menggelar doa bersama virtual selama PPKM darurat</t>
  </si>
  <si>
    <t>@arya_figo Ppkm,pelan pelan kamu memikirkannya ..</t>
  </si>
  <si>
    <t>Ppkm,pelan pelan kamu memikirkannya ..</t>
  </si>
  <si>
    <t>@SakiinaQhiCO_33 Untuk kebaikan kita semua, dukung PPKM darurat</t>
  </si>
  <si>
    <t>Untuk kebaikan kita semua, dukung PPKM darurat</t>
  </si>
  <si>
    <t>@FanbasePemuda Lagi ppkm darurat sempet sempetnya senyum senyum</t>
  </si>
  <si>
    <t>Lagi ppkm darurat sempet sempetnya senyum senyum</t>
  </si>
  <si>
    <t>@ABSetyono @PlateJohnny @kemkominfo @KSPgoid @putrivio3 @Dennysiregar7 @vita_AVP @indonesiatechid Digital center untuk menyampaikan berbagai info Pemerintahl pada masyarakat selama PPKM darurat berlaku agar masyarakat tak jadi korban misinformasi dan hoaks. 
 @kemkominfo 
 @PlateJohnny</t>
  </si>
  <si>
    <t>Digital center untuk menyampaikan berbagai info Pemerintahl pada masyarakat selama PPKM darurat berlaku agar masyarakat tak jadi korban misinformasi dan hoaks.</t>
  </si>
  <si>
    <t>Dirumah saja.
 Ppkm = lockdown low bajet dgn kearifan lokal. https://t.co/7LbkrQQ3t8</t>
  </si>
  <si>
    <t>Dirumah saja.Ppkm = lockdown low bajet dgn kearifan lokal.</t>
  </si>
  <si>
    <t>@katzen_jammer Jalanan ditutup, aktifitas lalu lalang jd terhambat...Yg mengikuti aturan PPKM hanya pekerja kantoran yg bergaji bulanan, sementara bagi yg selain itu, setiap hari mereka hrs berjuang utk menafkahi keluarga ditengah kondisi ekonomi yg tdk menentu, kecuali mereka dinafkahi negara</t>
  </si>
  <si>
    <t>Jalanan ditutup, aktifitas lalu lalang jd terhambat...Yg mengikuti aturan PPKM hanya pekerja kantoran yg bergaji bulanan, sementara bagi yg selain itu, setiap hari mereka hrs berjuang utk menafkahi keluarga ditengah kondisi ekonomi yg tdk menentu, kecuali mereka dinafkahi negara</t>
  </si>
  <si>
    <t>Perum Bulog menjamin pasokan beras aman selama PPKM Darurat, sekaligus meminta seluruh jajarannya mewaspadai lonjakan tersebut. Masyarakat tidak perlu khawatir terkait akan kebutuhan beras.
 @jokowi lawan pandemi
 https://t.co/DrZPB0lo1p</t>
  </si>
  <si>
    <t>Perum Bulog menjamin pasokan beras aman selama PPKM Darurat, sekaligus meminta seluruh jajarannya mewaspadai lonjakan tersebut. Masyarakat tidak perlu khawatir terkait akan kebutuhan beras. lawan pandemi</t>
  </si>
  <si>
    <t>@BangBrew95 PPKM
 Pernah Percaya Kemudian Mengkhianati</t>
  </si>
  <si>
    <t>PPKMPernah Percaya Kemudian Mengkhianati</t>
  </si>
  <si>
    <t>Digital center untuk menyampaikan berbagai info Pemerintahl pada masyarakat selama PPKM darurat berlaku agar masyarakat tak jadi korban misinformasi dan hoaks. 
 @kemkominfo 
 @PlateJohnny https://t.co/aS8UnmIXJs</t>
  </si>
  <si>
    <t>PPKM
 Pelan-Pelan Kita Menjauh
 -masdalu-</t>
  </si>
  <si>
    <t>PPKMPelan-Pelan Kita Menjauh-masdalu-</t>
  </si>
  <si>
    <t>Nah lho. Udah males-malesan patuh lantas diperpanjang. Mending disiplin PPKM Darurat aja deh.
 #TegasTegakkanPPKMDarurat https://t.co/vb6HUzFoy2 https://t.co/ABnVTi6Dae</t>
  </si>
  <si>
    <t>Nah lho. Udah males-malesan patuh lantas diperpanjang. Mending disiplin PPKM Darurat aja deh.</t>
  </si>
  <si>
    <t>@idtodayco Lagi PPKM ada puluhan TKA China masuk ke Indonesia, mulutnya fh mingkem gak pernah nyalahin presiden, di matanya yg salah hanya Anies... Bencinya sama anies udh akut</t>
  </si>
  <si>
    <t>Lagi PPKM ada puluhan TKA China masuk ke Indonesia, mulutnya fh mingkem gak pernah nyalahin presiden, di matanya yg salah hanya Anies... Bencinya sama anies udh akut</t>
  </si>
  <si>
    <t>Patuhi Aturan PPKM
 Patuhi aturan PPKM darurat https://t.co/3JcYqlmrX3</t>
  </si>
  <si>
    <t>Patuhi Aturan PPKMPatuhi aturan PPKM darurat</t>
  </si>
  <si>
    <t>ppkm: pelan pelan kena mental.</t>
  </si>
  <si>
    <t>Ada diskon listrik juga dari Pemerintah selama PPKM darurat buat 32,6 juta pelanggan 450 VA dan 900 VA bersubsidi.
 Nah, tugas kita sebagai masyarakat adalah :
 Yuk, bantu kawal!
 Supaya semua amanah😊</t>
  </si>
  <si>
    <t>Ada diskon listrik juga dari Pemerintah selama PPKM darurat buat juta pelanggan VA dan VA bersubsidi.Nah, tugas kita sebagai masyarakat adalah :Yuk, bantu kawal!Supaya semua amanah</t>
  </si>
  <si>
    <t>Bansos dari pemerintah selama PPKM Darurat mengutamakan masyarakat lapisan terbawah agar teringankan bebannya.</t>
  </si>
  <si>
    <t>Penyaluran bansos dari pemerintah dilakukan via kantor pos dan himpunan bank negara diharapkan amanah sampai ke tangan masyarakat selama PPKM darurat. https://t.co/TgZAn4jwew</t>
  </si>
  <si>
    <t>Penyaluran bansos dari pemerintah dilakukan via kantor pos dan himpunan bank negara diharapkan amanah sampai ke tangan masyarakat selama PPKM darurat.</t>
  </si>
  <si>
    <t>Pemerintah Daerah setempat diminta percepat penyaluran bansos PPKM Darurat.</t>
  </si>
  <si>
    <t>Sanksi tegas untuk pelanggar prokes
 Patuhi Aturan PPKM https://t.co/tfkDB3zICp</t>
  </si>
  <si>
    <t>Sanksi tegas untuk pelanggar prokesPatuhi Aturan PPKM</t>
  </si>
  <si>
    <t>Pemerintah sinkronisasi data penerima bansos selama PPKM darurat dilakukan dengan Aplikasi Digital E-PKH https://t.co/hoWCPfz3cF</t>
  </si>
  <si>
    <t>Pemerintah sinkronisasi data penerima bansos selama PPKM darurat dilakukan dengan Aplikasi Digital E-PKH</t>
  </si>
  <si>
    <t>7 Bansos selama PPKM Darurat 3-20 Juli 2021 :
 1. BLT UKM
 2. Program Keluarga Harapan (PKH)
 3. BLT Desa
 4. Kartu Sembako
 5. Kartu Prakerja
 6. Bansos Tunai
 7. Diskon Tarif Listrik</t>
  </si>
  <si>
    <t>Bansos selama PPKM Darurat $NUMBER$ Juli :1. BLT UKM2. Program Keluarga Harapan (PKH)3. BLT Desa4. Kartu Sembako5. Kartu Prakerja6. Bansos Tunai7. Diskon Tarif Listrik</t>
  </si>
  <si>
    <t>Bansos Tunai bernilai Rp 300 ribu per bulan, dan disalurkan tiap awal bulan.
 Pemerintah juga berikan kartu Prakerja untuk 2,8 juta orang selama PPKM darurat Jawa-Bali. https://t.co/WnkOymf3St</t>
  </si>
  <si>
    <t>Bansos Tunai bernilai Rp ribu per bulan, dan disalurkan tiap awal bulan.Pemerintah juga berikan kartu Prakerja untuk juta orang selama PPKM darurat Jawa-Bali.</t>
  </si>
  <si>
    <t>Walaupun PPKM Darurat hanya berlaku untuk provinsi Jawa dan Bali tapi Pemerintah tetap menyalurkan bansos tunai ke 34 provinsi untuk warganya yang kurang mampu.</t>
  </si>
  <si>
    <t>Walaupun PPKM Darurat hanya berlaku untuk provinsi Jawa dan Bali tapi Pemerintah tetap menyalurkan bansos tunai ke provinsi untuk warganya yang kurang mampu.</t>
  </si>
  <si>
    <t>Pemerintah perpanjang Bansos selama PPKM Darurat bertujuan untuk membantu masyarakat miskin bertahan di tengah pandemi Covid-19. https://t.co/Qgw96FD974</t>
  </si>
  <si>
    <t>Pemerintah perpanjang Bansos selama PPKM Darurat bertujuan untuk membantu masyarakat miskin bertahan di tengah pandemi Covid-19.</t>
  </si>
  <si>
    <t>Patuhi Aturan PPKM 
 Pelanggar PPKM darurat harus diganjar sanksi berat https://t.co/So6ZYf502C</t>
  </si>
  <si>
    <t>Patuhi Aturan PPKM Pelanggar PPKM darurat harus diganjar sanksi berat</t>
  </si>
  <si>
    <t>Serius tanya : Pengetatan PPKM Mikro itu yg bagaimana ?</t>
  </si>
  <si>
    <t>Patuhi Aturan PPKM https://t.co/i6J2kPbIY8</t>
  </si>
  <si>
    <t>Patuhi Aturan PPKM</t>
  </si>
  <si>
    <t>@MkomEliya Nah itu uni,yg buruh kasar,harian lepas, pas mau survey ke lokasi ke PPKM kasihan</t>
  </si>
  <si>
    <t>Nah itu uni,yg buruh kasar,harian lepas, pas mau survey ke lokasi ke PPKM kasihan</t>
  </si>
  <si>
    <t>@KediriFess etdah perasaan ada menfess yg jelasin deh daripada nanya bolak balik bisa kok ketik di pencarian "kedirifess" trs masukin apa yg mau di cari, semua adaa :( misal kedirifess ppkm. ntr muncul tuh daripada nanya bolak balik woi heran dah</t>
  </si>
  <si>
    <t>etdah perasaan ada menfess yg jelasin deh daripada nanya bolak balik bisa kok ketik di pencarian "kedirifess" trs masukin apa yg mau di cari, semua adaa misal kedirifess ppkm. ntr muncul tuh daripada nanya bolak balik woi heran dah</t>
  </si>
  <si>
    <t>@wiriantowidjaya @luhutbinsarp Mas Wir silakan baca keterangan beliau, meskipun ppkm, orang asing, tka China boleh masuk. Begitu kebijakannya. Kalau saya jumpa dg beliau, saya akan usul, selama PPKM tutup dulu bandara internasional itu. Kalau dia setuju. Yg mikirin covid ini, bukan cuma dia. Kok buruk sangka?</t>
  </si>
  <si>
    <t>Mas Wir silakan baca keterangan beliau, meskipun ppkm, orang asing, tka China boleh masuk. Begitu kebijakannya. Kalau saya jumpa dg beliau, saya akan usul, selama PPKM tutup dulu bandara internasional itu. Kalau dia setuju. Yg mikirin covid ini, bukan cuma dia. Kok buruk sangka?</t>
  </si>
  <si>
    <t>@AgusNehemia @geloraco Yang sebelum PPKM ya..???</t>
  </si>
  <si>
    <t>Yang sebelum PPKM ya..???</t>
  </si>
  <si>
    <t>@tempodotco Situ waras pung?apa gunanya PPkm tapi bandara terbuka lebar buat TkA?jadi PPKM itu hanya berlaku buat rakyat kecil terutama umat islam bgtu? https://t.co/hA0ECILfP1</t>
  </si>
  <si>
    <t>Situ waras pung?apa gunanya PPkm tapi bandara terbuka lebar buat TkA?jadi PPKM itu hanya berlaku buat rakyat kecil terutama umat islam bgtu?</t>
  </si>
  <si>
    <t>@hidahidaan PPKM
 Pagi Pagi Kudu Mandi 
 Sesuai lagu.</t>
  </si>
  <si>
    <t>PPKMPagi Pagi Kudu Mandi Sesuai lagu.</t>
  </si>
  <si>
    <t>Inilah PPKM Jakarta... Ini masih di Plaza Kenari.. Di Jalan Matraman Raya Jakarta Pusat.. 
 Banyak... sangat banyak kerumunan di Jakarta... Bukan cuma Sudirman Thamrin doang yg Anies ribut2 itu.. eh malah salah labrak pula lagi.. Kan Dodol https://t.co/sQiwnwcHPs</t>
  </si>
  <si>
    <t>Inilah PPKM Jakarta... Ini masih di Plaza Kenari.. Di Jalan Matraman Raya Jakarta Pusat.. Banyak... sangat banyak kerumunan di Jakarta... Bukan cuma Sudirman Thamrin doang yg Anies ribut2 itu.. eh malah salah labrak pula lagi.. Kan Dodol</t>
  </si>
  <si>
    <t>@MAlaamale @dwikimic Daripada suka ppkm without pp</t>
  </si>
  <si>
    <t>Daripada suka ppkm without pp</t>
  </si>
  <si>
    <t>Kemaren PSBB sekarang PPKM sekalian aja besok PPKN , IPA, IPS, MATEMATIKA, AKIDAH AKHLAK, QUR'AN HADIS , ILMU TAFSIR 😑</t>
  </si>
  <si>
    <t>Kemaren PSBB sekarang PPKM sekalian aja besok PPKN , IPA, IPS, MATEMATIKA, AKIDAH AKHLAK, QUR'AN HADIS , ILMU TAFSIR</t>
  </si>
  <si>
    <t>Ppkm ini membuat smua rencana bubrah. Serah covid dah enaknya gmn. Sgeralah menghilang, minimal jd endemi</t>
  </si>
  <si>
    <t>@GarengHallu Beda pak,di USA warganya patuh pada Prokes pemerintah lha di negara+62? Warganya malah menolak PPKM DARURAT dan mendobrak beton segala, belum lagi tokoh agama memprovokasi dan memperburuk keadaan dgn mendiskreditkan pemerintah pusat.</t>
  </si>
  <si>
    <t>Beda pak,di USA warganya patuh pada Prokes pemerintah lha di negara+62? Warganya malah menolak PPKM DARURAT dan mendobrak beton segala, belum lagi tokoh agama memprovokasi dan memperburuk keadaan dgn mendiskreditkan pemerintah pusat.</t>
  </si>
  <si>
    <t>Halo @CommuterLine Kalau kita naik kereta di era PPKM gini, apa harus memberikan hasil test swab atau vaksin ? Terimakasih</t>
  </si>
  <si>
    <t>Halo Kalau kita naik kereta di era PPKM gini, apa harus memberikan hasil test swab atau vaksin ? Terimakasih</t>
  </si>
  <si>
    <t>PPKM (pengen peluk kamu mas)</t>
  </si>
  <si>
    <t>menu ppkm hari ke 4 😜 https://t.co/AypMCAhF6q</t>
  </si>
  <si>
    <t>menu ppkm hari ke</t>
  </si>
  <si>
    <t>Selama PPKM dimana perpanjangan SIM yg masih beroperasi normal?
 cc: @e100ss</t>
  </si>
  <si>
    <t>Selama PPKM dimana perpanjangan SIM yg masih beroperasi normal?cc:</t>
  </si>
  <si>
    <t>PPKM
 Pengen Peyuk KaMu 👉👈</t>
  </si>
  <si>
    <t>PPKMPengen Peyuk KaMu</t>
  </si>
  <si>
    <t>@tempodotco Opung ini menteri rasa presiden, main perintah seluruh rakyat negeri ini untuk manut, mbok ya bercermin di seluruh pelisok negeri ada ppkm, rakyat susah cari nafkah, ini seenak jidat TKA masuk indonesia tanpa pembatasan, sungguh luar biasa kebijakan negeri</t>
  </si>
  <si>
    <t>Opung ini menteri rasa presiden, main perintah seluruh rakyat negeri ini untuk manut, mbok ya bercermin di seluruh pelisok negeri ada ppkm, rakyat susah cari nafkah, ini seenak jidat TKA masuk indonesia tanpa pembatasan, sungguh luar biasa kebijakan negeri</t>
  </si>
  <si>
    <t>PPKM= pak plecident kapam mundur?</t>
  </si>
  <si>
    <t>MARAH BOLEH tapi cel faktanya dulu... 
 Ternyata Pemprov DKI obral surat izin WFO ke banyak perusahaan. Masak pak Anies gak tau❓❓Anak buah yang tidak mentaati aturan PPKM Darurat patut di tindak tegas. Bukan begitu pak Anies❓❓
 Tapi masa sigh Gubernur gk tau🤔🤔🤔 https://t.co/LOmMtFC78t</t>
  </si>
  <si>
    <t>MARAH BOLEH tapi cel faktanya dulu... Ternyata Pemprov DKI obral surat izin WFO ke banyak perusahaan. Masak pak Anies gak tauAnak buah yang tidak mentaati aturan PPKM Darurat patut di tindak tegas. Bukan begitu pak AniesTapi masa sigh Gubernur gk tau</t>
  </si>
  <si>
    <t>PPKM , PROGRAM PERSIAPAN KOMUNIS MENJAJAH https://t.co/s63fUgWOFe</t>
  </si>
  <si>
    <t>PPKM , PROGRAM PERSIAPAN KOMUNIS MENJAJAH</t>
  </si>
  <si>
    <t>Saran hero buat pusreg selama ppkm buat di ml sama dota?</t>
  </si>
  <si>
    <t>@susucapi Apakah presiden tidak berpikir bagaimana nasib mereka kalau usaha nya di larang Karna alasan PPKM?</t>
  </si>
  <si>
    <t>Apakah presiden tidak berpikir bagaimana nasib mereka kalau usaha nya di larang Karna alasan PPKM?</t>
  </si>
  <si>
    <t>kesel bat sama atasan ayah w ngapa sih nugasin tu keluar kota mulu, terus pemerintah buat ppkm tu buat apa..</t>
  </si>
  <si>
    <t>PPKM. Pagi Pagi Kepengen Makan.</t>
  </si>
  <si>
    <t>Ada gubernur yang acting marah2 kepada perusahaan swasta karena tetap beroperasi saat PPKM
 Tapi dia ga tau perusahaan tsb memang harus beroperasi selama PPKM darurat
 Gubernur kok suka ngelawak sih? 
 Niat pengen terlihat bekerja ehh malah ngetes otak dangkal sendiri 🤣</t>
  </si>
  <si>
    <t>Ada gubernur yang acting marah2 kepada perusahaan swasta karena tetap beroperasi saat PPKMTapi dia ga tau perusahaan tsb memang harus beroperasi selama PPKM daruratGubernur kok suka ngelawak sih? Niat pengen terlihat bekerja ehh malah ngetes otak dangkal sendiri</t>
  </si>
  <si>
    <t>Mulai hari ini, sebaiknya pak ⁦@aniesbaswedan⁩ mencari tau lebih banyak lagi mengenai perusahaan2 yg akan disidak, spy marah2nya nggak mubadzir...
 Tanggapan PT Equity Life Indonesia Kantornya Disidak Anies Saat PPKM Darurat | https://t.co/BVhuFLS7Zj https://t.co/miuRnB6X6W</t>
  </si>
  <si>
    <t>Mulai hari ini, sebaiknya pak mencari tau lebih banyak lagi mengenai perusahaan2 yg akan disidak, spy marah2nya nggak mubadzir...Tanggapan PT Equity Life Indonesia Kantornya Disidak Anies Saat PPKM Darurat |</t>
  </si>
  <si>
    <t>Mau nanya dong, yang dari Bandung bisa ke Jakarta ga sih lagi ppkm begini? Saya ada jadwal vaksin di jakarta soalnya Senin minggu depan. 
 Harusnya minggu ini, tapi mendadak diundur. Daftarnya juga udah jauh-jauh hari. Kalau cancel dan nunggu vaksin di Bandung belum jelas kapan--</t>
  </si>
  <si>
    <t>Mau nanya dong, yang dari Bandung bisa ke Jakarta ga sih lagi ppkm begini? Saya ada jadwal vaksin di jakarta soalnya Senin minggu depan. Harusnya minggu ini, tapi mendadak diundur. Daftarnya juga udah jauh-jauh hari. Kalau cancel dan nunggu vaksin di Bandung belum jelas kapan--</t>
  </si>
  <si>
    <t>Dan Ini dilakukannya semenjak diberlakukannya PPKM Darurat ya</t>
  </si>
  <si>
    <t>Karna ppkm pesen pagi di jdid biasanya malem atau besokan siang udah sampe, sepertinya akan terhambat😭</t>
  </si>
  <si>
    <t>Karna ppkm pesen pagi di jdid biasanya malem atau besokan siang udah sampe, sepertinya akan terhambat</t>
  </si>
  <si>
    <t>PPKM adalah singkatan yg ujungnya Pak Presiden Kapan Mundur? 
 Meminta Presiden kita Mundur dari jabatan yang belum selesai, 
 Jangankan dukungan 3 periode, sekarang blm selesai saja sebagian rakyat meminta baiknya Mundur saja. 
 Buang jauh2 hasrat 3 periode!!!!</t>
  </si>
  <si>
    <t>PPKM adalah singkatan yg ujungnya Pak Presiden Kapan Mundur? Meminta Presiden kita Mundur dari jabatan yang belum selesai, Jangankan dukungan periode, sekarang blm selesai saja sebagian rakyat meminta baiknya Mundur saja. Buang jauh2 hasrat periode!!!!</t>
  </si>
  <si>
    <t>Saat PPKM Darurat disesuaikan ibadahnya sprti berikut. Ini resmi dari MUI utk jadi panduan bagi umat Islam. 
 .
 Ingat ya. Covid-19 itu nyata dan kita wajib menghindarinya. Berupaya secara manusiasi sesuai anjuran medis seraya mendekatkan diri berdoa kpd Allah dan amal shaleh https://t.co/vCnZjajLx9</t>
  </si>
  <si>
    <t>Saat PPKM Darurat disesuaikan ibadahnya sprti berikut. Ini resmi dari MUI utk jadi panduan bagi umat Islam. .Ingat ya. Covid-19 itu nyata dan kita wajib menghindarinya. Berupaya secara manusiasi sesuai anjuran medis seraya mendekatkan diri berdoa kpd Allah dan amal shaleh</t>
  </si>
  <si>
    <t>@budiwidagdo2 @FKadrun Ppkm buat tedeng aling2 ngejarah rakyat, biadab</t>
  </si>
  <si>
    <t>Ppkm buat tedeng aling2 ngejarah rakyat, biadab</t>
  </si>
  <si>
    <t>PPKM : Pelan Pelan Kita Muve on</t>
  </si>
  <si>
    <t>@uusbiasaaja Dan itu kejadian yg dialami bapak ane sampe beliau wafat, dan ane ngga bisa ikut makamin gegara PPKM yg ga jelas, mohon do'a jg ya untuk bapak ane</t>
  </si>
  <si>
    <t>Dan itu kejadian yg dialami bapak ane sampe beliau wafat, dan ane ngga bisa ikut makamin gegara PPKM yg ga jelas, mohon do'a jg ya untuk bapak ane</t>
  </si>
  <si>
    <t>Hai kalian yang tetap ngeyel tidak mematuhi aturan PPKM Darurat, apakah kalian harus mati konyol dulu baru kalian bisa sadar bahwa kalian goblok? https://t.co/fOmssvESaf</t>
  </si>
  <si>
    <t>Hai kalian yang tetap ngeyel tidak mematuhi aturan PPKM Darurat, apakah kalian harus mati konyol dulu baru kalian bisa sadar bahwa kalian goblok?</t>
  </si>
  <si>
    <t>@republikaonline Kalo emang gak boleh dagang PAKE ATURAN LOCKDOWN ketentuan jelas kalo negara memberi segala kebutuhan rakyat....ini gak jelas banyak nama PPKM PSBB ... rakyat juga yang dipencet ... parah</t>
  </si>
  <si>
    <t>Kalo emang gak boleh dagang PAKE ATURAN LOCKDOWN ketentuan jelas kalo negara memberi segala kebutuhan rakyat....ini gak jelas banyak nama PPKM PSBB ... rakyat juga yang dipencet ... parah</t>
  </si>
  <si>
    <t>ANIES AKHIRNYA MARAH❗
 Tapi sayang salah kantor. Karena yang didatangi adalah Kantor asuransi. Dimana perusaan ini adalah perusahaan esensial yang boleh tetap buka meski PPKM. Ini sesuai dengan Instruksi Mendagri No. 15 tahun 2021.
 🙈🙈🙈🙈🙈🙈🙈 https://t.co/eGTaGvSr5A</t>
  </si>
  <si>
    <t>ANIES AKHIRNYA MARAHTapi sayang salah kantor. Karena yang didatangi adalah Kantor asuransi. Dimana perusaan ini adalah perusahaan esensial yang boleh tetap buka meski PPKM. Ini sesuai dengan Instruksi Mendagri No. tahun .</t>
  </si>
  <si>
    <t>nyatanya ppkm ah sudahlah</t>
  </si>
  <si>
    <t>Dari mulai psbb sampe sekarang ppkm baru pertama kali ngerasain antri masuk stasiun ._.</t>
  </si>
  <si>
    <t>Desa kembali memfungsikan pos jaga dan ruang isolasi untuk menunjang PPKM Darurat. 
 @jokowi 
 @halimiskandarnu 
 @kemendespdtt 
 @malik_haramain 
 @imansyukri 
 @yusradaridesa 
 @tppkemendes 
 @ChoirilAkbar6 
 @SukoyoKasekpro https://t.co/RlDHbMANz2</t>
  </si>
  <si>
    <t>Desa kembali memfungsikan pos jaga dan ruang isolasi untuk menunjang PPKM Darurat.</t>
  </si>
  <si>
    <t>@jakartaakeras Ya gimana yang lain?kan bukan cuman kalian aja yg merasa ter ppkm,tapi semuanya ckckckc</t>
  </si>
  <si>
    <t>Ya gimana yang lain?kan bukan cuman kalian aja yg merasa ter ppkm,tapi semuanya ckckckc</t>
  </si>
  <si>
    <t>Hamdalah refund travloka 100% karna ppkm</t>
  </si>
  <si>
    <t>Hamdalah refund travloka % karna ppkm</t>
  </si>
  <si>
    <t>@susucapi Dan beginilah suasana PPKM darurat di Wembley, London! Wkkww 😂 https://t.co/3E2toxcnvv</t>
  </si>
  <si>
    <t>Dan beginilah suasana PPKM darurat di Wembley, London! Wkkww</t>
  </si>
  <si>
    <t>Yuk dukung PPKM demi menekan angka penularan covid https://t.co/0soaXd7SCT</t>
  </si>
  <si>
    <t>Yuk dukung PPKM demi menekan angka penularan covid</t>
  </si>
  <si>
    <t>@RumaningsihCece PPKM pun boleh ya bikin hajatan..</t>
  </si>
  <si>
    <t>PPKM pun boleh ya bikin hajatan..</t>
  </si>
  <si>
    <t>Kemarin
 PSBB
 Sekarang
 PPKM
 Kemungkinan besok
 PPKN IPA IPS MTK😶</t>
  </si>
  <si>
    <t>KemarinPSBBSekarangPPKMKemungkinan besokPPKN IPA IPS MTK</t>
  </si>
  <si>
    <t>@kaumpaylater gak mas, kan ppkm</t>
  </si>
  <si>
    <t>gak mas, kan ppkm</t>
  </si>
  <si>
    <t>@MAbdulQohar2 @AAN02ALCATRAS @geloraco Dengan PPKM &amp;amp; embel2nya itu keputusan semua wewenang Satgas Covid-19 dan Pemulihan Ekonomi Nasional. Nggak seperti saat PSBB yang bisa diputuskan sendiri. karena Satgas tsb lebih mementingkan Ekonomi ya begini jadinya. Jangan lupa usulan Menkes dan Pak Anies diakhir Mei, ditolak</t>
  </si>
  <si>
    <t>Dengan PPKM &amp;amp; embel2nya itu keputusan semua wewenang Satgas Covid-19 dan Pemulihan Ekonomi Nasional. Nggak seperti saat PSBB yang bisa diputuskan sendiri. karena Satgas tsb lebih mementingkan Ekonomi ya begini jadinya. Jangan lupa usulan Menkes dan Pak Anies diakhir Mei, ditolak</t>
  </si>
  <si>
    <t>PPKM
 Pernah Pacaran Kemudian Musuhan</t>
  </si>
  <si>
    <t>PPKMPernah Pacaran Kemudian Musuhan</t>
  </si>
  <si>
    <t>PPKM ini bikin ngelu apalagi kalau pas gini ada urusan ke war kota. Hmm</t>
  </si>
  <si>
    <t>Oiya, ppkm😥</t>
  </si>
  <si>
    <t>Oiya, ppkm</t>
  </si>
  <si>
    <t>PPKM
 Pengen Disepong Kamu 😢</t>
  </si>
  <si>
    <t>PPKMPengen Disepong Kamu</t>
  </si>
  <si>
    <t>PPKM
 Penendang Penalti Kok Morata
 PPKM
 Paling Paling Kena Mental
 #PPKM 
 #ForzaAzzurri 
 #Juve 
 #madrit</t>
  </si>
  <si>
    <t>PPKMPenendang Penalti Kok MorataPPKMPaling Paling Kena Mental</t>
  </si>
  <si>
    <t>Kepada Yth.
 Bp. Gubernur DIY @SriSultanHBX 
 Di Yogyakarta
 “Pak kalau PPKM Darurat tidak menunjukan faedah per tgl 20 Juli selain jalan sepi krn ditutup, warung tutup, rakyat g kerja, ketakutan akan dipenjara dan masjid tutup, lalu apa yang harus kita lakukan tgl 21 Juli?”</t>
  </si>
  <si>
    <t>Kepada Yth.Bp. Gubernur DIY Di YogyakartaPak kalau PPKM Darurat tidak menunjukan faedah per tgl Juli selain jalan sepi krn ditutup, warung tutup, rakyat g kerja, ketakutan akan dipenjara dan masjid tutup, lalu apa yang harus kita lakukan tgl Juli?</t>
  </si>
  <si>
    <t>Jelesin dong ttg ppkm ni, w mo pulang ke bukitt🥺</t>
  </si>
  <si>
    <t>Jelesin dong ttg ppkm ni, w mo pulang ke bukitt</t>
  </si>
  <si>
    <t>@geloraco Gini Pung anda larang rakyat keluar rumah tapi para TKA China begitu leluasa masuk Indonesia dan selalu terjadi saat anda dan rezimmu melakukan PSBB dan saat ini PPKM.</t>
  </si>
  <si>
    <t>Gini Pung anda larang rakyat keluar rumah tapi para TKA China begitu leluasa masuk Indonesia dan selalu terjadi saat anda dan rezimmu melakukan PSBB dan saat ini PPKM.</t>
  </si>
  <si>
    <t>@tempodotco laah? kalo TKA CINA datang bawa penyakit, sama aja ente gak dukung PPKM DARURAT !!</t>
  </si>
  <si>
    <t>laah? kalo TKA CINA datang bawa penyakit, sama aja ente gak dukung PPKM DARURAT !!</t>
  </si>
  <si>
    <t>@NAurumn Kalau begini salah panitianya dan juga perangkat desa yg ga sosialisasi PPKM.</t>
  </si>
  <si>
    <t>Kalau begini salah panitianya dan juga perangkat desa yg ga sosialisasi PPKM.</t>
  </si>
  <si>
    <t>apa itu ppkm? hahaha</t>
  </si>
  <si>
    <t>Ppkm ppkm bgke</t>
  </si>
  <si>
    <t>@PanggilajaOscar @Arbn_Nathan @uusbiasaaja Bukannya itu intinya ppkm dan psbb kemaren? Biar bisa sosoan kaya lockdown tapi nggausah repot ngasih makan rakyat? Biar ya tau sendiri lah</t>
  </si>
  <si>
    <t>Bukannya itu intinya ppkm dan psbb kemaren? Biar bisa sosoan kaya lockdown tapi nggausah repot ngasih makan rakyat? Biar ya tau sendiri lah</t>
  </si>
  <si>
    <t>Potret nyata rakyat kecil dimasa PPKM Darurat: Di rumah kelaparan tanpa jaminan pemerintah sesuai UU. Keluar rumah cari rejeki dihadang dimana2 disuruh kembali ke rumah saja. Yg sudah terlanjur jualan makanan sprt tukang bubur, dagangan masih banyak dirazia &amp;amp; dijatuhi denda 5 jt?</t>
  </si>
  <si>
    <t>Potret nyata rakyat kecil dimasa PPKM Darurat: Di rumah kelaparan tanpa jaminan pemerintah sesuai UU. Keluar rumah cari rejeki dihadang dimana2 disuruh kembali ke rumah saja. Yg sudah terlanjur jualan makanan sprt tukang bubur, dagangan masih banyak dirazia &amp;amp; dijatuhi denda jt?</t>
  </si>
  <si>
    <t>@CNNIndonesia Rakyat sdh di suruh PPKM masih di minta sumbangan.. 
 Alamaakk</t>
  </si>
  <si>
    <t>Rakyat sdh di suruh PPKM masih di minta sumbangan.. Alamaakk</t>
  </si>
  <si>
    <t>Jadi ya kudu disabar2in deh, apalagi masa PPKM begini jalanan ditutup dan harus muter cari jalan lain.</t>
  </si>
  <si>
    <t>@cania53524418 @AlterSideFess wfh kah?ato semangat libur ppkm wkwk</t>
  </si>
  <si>
    <t>wfh kah?ato semangat libur ppkm wkwk</t>
  </si>
  <si>
    <t>Polisi indo ga berani mbubarin kerumunan #EURO2020 
 Katanya PPKM darurat!
 Italia vs Spanyol penalti 4-2 https://t.co/LcEaL4mK76</t>
  </si>
  <si>
    <t>Polisi indo ga berani mbubarin kerumunan Katanya PPKM darurat!Italia vs Spanyol penalti $NUMBER$</t>
  </si>
  <si>
    <t>disaat yg lain dilarang ketat dan ditindak, 
 tidak brlaku bagi walikota oslo yg punya previlage khusus.
 Luhut pun yg sbagai Ketua PPKM Darurat gak brani Tegur https://t.co/KiruQD7L25</t>
  </si>
  <si>
    <t>disaat yg lain dilarang ketat dan ditindak, tidak brlaku bagi walikota oslo yg punya previlage khusus.Luhut pun yg sbagai Ketua PPKM Darurat gak brani Tegur</t>
  </si>
  <si>
    <t>@puteriindonesya iya bener wehhh, kalo emang diberlakuin ppkm bole bole aja si, tapi diliat juga pedagang2, kalo mereka ngasi bantuan bahan pokok si gpp ya, lah ini ga samsekk</t>
  </si>
  <si>
    <t>iya bener wehhh, kalo emang diberlakuin ppkm bole bole aja si, tapi diliat juga pedagang2, kalo mereka ngasi bantuan bahan pokok si gpp ya, lah ini ga samsekk</t>
  </si>
  <si>
    <t>Kok miris yah liat negara sendiri
 Banyak dari masyarakat dalam negri merasakan bagaimana kasarnya penertiban PPKM. Tapi di sisi lain mereka yang dari luar negri dengan santainya mendarat di Indonesia
 LEKAS SEMBUH INDONESIAKU</t>
  </si>
  <si>
    <t>Kok miris yah liat negara sendiriBanyak dari masyarakat dalam negri merasakan bagaimana kasarnya penertiban PPKM. Tapi di sisi lain mereka yang dari luar negri dengan santainya mendarat di IndonesiaLEKAS SEMBUH INDONESIAKU</t>
  </si>
  <si>
    <t>PPKM ~ Pernah Pacaran Kemudian Mendua</t>
  </si>
  <si>
    <t>emang masih banyak yang bandel buat PPKM tapi ya mbok di edukasi orang orangnya cara jualan nya supaya melek teknologi, bukan malah di jarah</t>
  </si>
  <si>
    <t>@Faraxsan76 PPKM : Pengen Peluk Kamu Mas</t>
  </si>
  <si>
    <t>PPKM : Pengen Peluk Kamu Mas</t>
  </si>
  <si>
    <t>@monicaamon11 ppkm kakk</t>
  </si>
  <si>
    <t>ppkm kakk</t>
  </si>
  <si>
    <t>@Cobeh09 Kasian pedagang yg gak boleh jualan, gimana mau dapat penghasilan. Harusnya pemerintah ngasi biaya hidup selama PPKM Darurat ini</t>
  </si>
  <si>
    <t>Kasian pedagang yg gak boleh jualan, gimana mau dapat penghasilan. Harusnya pemerintah ngasi biaya hidup selama PPKM Darurat ini</t>
  </si>
  <si>
    <t>Ppkm ngapain ada pencegatan si, aku gabakal kemana² klo sama kamu🐊</t>
  </si>
  <si>
    <t>Ppkm ngapain ada pencegatan si, aku gabakal kemana klo sama kamu</t>
  </si>
  <si>
    <t>Gua kesel bat dah liat headline di berita judulnya "Banyak pelanggar PPKM"
 Seakan-akan yang salah tuh rakyat, biang dari lonjakan tuh rakyat, dan yang gak disiplin tuh rakyat</t>
  </si>
  <si>
    <t>Gua kesel bat dah liat headline di berita judulnya "Banyak pelanggar PPKM"Seakan-akan yang salah tuh rakyat, biang dari lonjakan tuh rakyat, dan yang gak disiplin tuh rakyat</t>
  </si>
  <si>
    <t>Mantap..msh ngeyel..mau melnggar PPKM darurat? https://t.co/n5VC0ShQch</t>
  </si>
  <si>
    <t>Mantap..msh ngeyel..mau melnggar PPKM darurat?</t>
  </si>
  <si>
    <t>Sejumlah kabupaten dan kota di pulau Sumatra akan melakukan pengetatan aturan PPKM mikro seperti yang ada di pulau Jawa dan Bali yang saat ini tengah melakukan PPKM darurat, beberapa aturan baru tersebut antara lain mall wajib tutup sementara selama PPKM mikro</t>
  </si>
  <si>
    <t>Kan ppkm ni kira2 paket yang dari jakarta atau pulau jawa tetep bisa dikirim kan ya?</t>
  </si>
  <si>
    <t>PPKM
 Pelan-Pelan Kamu Menghilang</t>
  </si>
  <si>
    <t>PPKMPelan-Pelan Kamu Menghilang</t>
  </si>
  <si>
    <t>PPKM ini mau ke Denpasar harus tunjukin surat masuk area ya☹</t>
  </si>
  <si>
    <t>PPKM ini mau ke Denpasar harus tunjukin surat masuk area ya</t>
  </si>
  <si>
    <t>Pemilik mall mah meskipun juga kena PPKM, tapi tabungannya di bank untuk membuka lahan, membangun mall lagi masih cukup</t>
  </si>
  <si>
    <t>@jogmfs Ppkm wey, tahan laah besok kalo udh kondusif monggo monggo aja</t>
  </si>
  <si>
    <t>Ppkm wey, tahan laah besok kalo udh kondusif monggo monggo aja</t>
  </si>
  <si>
    <t>PPKM it is mean Plis Pengen Kopitnya Mati!!!</t>
  </si>
  <si>
    <t>Bikin gerakan langgar PPKM darurat aja pak... Sekalian https://t.co/afs3CnIpjM</t>
  </si>
  <si>
    <t>Bikin gerakan langgar PPKM darurat aja pak... Sekalian</t>
  </si>
  <si>
    <t>Dibalik suntik vaksin ada 'harta karun' yang tersembunyi bagi mereka yang bermain didalamnya.
 PPKM: Presiden Pinokio Kapan Mundur.</t>
  </si>
  <si>
    <t>Dibalik suntik vaksin ada 'harta karun' yang tersembunyi bagi mereka yang bermain didalamnya.PPKM: Presiden Pinokio Kapan Mundur.</t>
  </si>
  <si>
    <t>@jogmfs PPKM tolong 😂</t>
  </si>
  <si>
    <t>PPKM tolong</t>
  </si>
  <si>
    <t>PPKM = Permisi Permisi Kena Mental</t>
  </si>
  <si>
    <t>Bandar lampung kena ppkm darurat, dan yg mau nyebrang ke lampung darat maupun udara kudu bawa surat swab antigen kalo ga disuruh puter balik.. Even temenku yg supir truk tadi bikin status info gitu, padahal dulu dia masa bodo sama hal kaya gini.</t>
  </si>
  <si>
    <t>@mylipxurlip Di daerah poncol ada tea house gitu... Tapi tutup gara gara ppkm :)</t>
  </si>
  <si>
    <t>Di daerah poncol ada tea house gitu... Tapi tutup gara gara ppkm</t>
  </si>
  <si>
    <t>Bogor-Palembang-Jambi-Palembang-Lampung-Palembang-Jambi. 
 Nasib anak yg ngikut hayu gini nih pas mau balik malah kena PPKM</t>
  </si>
  <si>
    <t>Bogor-Palembang-Jambi-Palembang-Lampung-Palembang-Jambi. Nasib anak yg ngikut hayu gini nih pas mau balik malah kena PPKM</t>
  </si>
  <si>
    <t>@PutraWadapi Tidak aneh itu Buat Luhut dan REZIM PENGKHIANAT. 
 Buat masyarakat jelas itu sesuatu yg aneh,krn masuknya WNA china ke Indonesia,disaat Jawa-Bali dilaksanakan PPKM.
 REZIM ini sdh Benar2 BANGSAT.</t>
  </si>
  <si>
    <t>Tidak aneh itu Buat Luhut dan REZIM PENGKHIANAT. Buat masyarakat jelas itu sesuatu yg aneh,krn masuknya WNA china ke Indonesia,disaat Jawa-Bali dilaksanakan PPKM.REZIM ini sdh Benar2 BANGSAT.</t>
  </si>
  <si>
    <t>@GuyonWaton @nikenbil Ga berani nerapin Lockdown karena ga sanggup biayain,tapi pakai istilah baru PPKM yang mirip sama Lockdown.</t>
  </si>
  <si>
    <t>Ga berani nerapin Lockdown karena ga sanggup biayain,tapi pakai istilah baru PPKM yang mirip sama Lockdown.</t>
  </si>
  <si>
    <t>Komisaris utama Telkomsel wisnutama memastikan jaringan WiFi di rumah anda, tidak lagi bermasalah atau tumbang pada saat anda melakukan work from home atau bekerja dari rumah dan ketika putra putri anda tengah melaksanakan pembelajaran secara daring atau online selama PPKM</t>
  </si>
  <si>
    <t>Rakyat sendiri dibatasi geraknya. TKA asing terus didatangkan tanpa batas. 
 Dalihnya : PPKM kan berlaku untuk Jawa - Bali saja.
 Memang Indonesia hanya seluas Jawa - Bali? 
 #IndonesiaKolaps 
 #IndonesiaKolaps 
 Kepentingan siapakah TKA terus didatangkan? Utk Negara atau pribadi?</t>
  </si>
  <si>
    <t>Rakyat sendiri dibatasi geraknya. TKA asing terus didatangkan tanpa batas. Dalihnya : PPKM kan berlaku untuk Jawa - Bali saja.Memang Indonesia hanya seluas Jawa - Bali? Kepentingan siapakah TKA terus didatangkan? Utk Negara atau pribadi?</t>
  </si>
  <si>
    <t>Kemarin PSBB sekarang PPKM bentar lagi PPKN, IPA, IPS, MTK, KIMIA, PAI dll.</t>
  </si>
  <si>
    <t>@kikitaksaka Cuma sama guling. Lagi ppkm soalnya</t>
  </si>
  <si>
    <t>Cuma sama guling. Lagi ppkm soalnya</t>
  </si>
  <si>
    <t>PPKM 
 ( Para Pemuda Kembali Mletre )</t>
  </si>
  <si>
    <t>PPKM ( Para Pemuda Kembali Mletre )</t>
  </si>
  <si>
    <t>@Dhee_jhe1203 PPKM, Pelan Pelan Komunis Menguasai, 🤔</t>
  </si>
  <si>
    <t>PPKM, Pelan Pelan Komunis Menguasai,</t>
  </si>
  <si>
    <t>@Bengkeltanah2 @rakyat_hanya PPKM Pengin Pansos Kurang Membaca</t>
  </si>
  <si>
    <t>PPKM Pengin Pansos Kurang Membaca</t>
  </si>
  <si>
    <t>PPKM= Pernah Pingsan Karena Mantan</t>
  </si>
  <si>
    <t>@Stevaniehuangg Ppkm itu kaya gini yak?dagangan rakyat dibawa kabur macam preman berseragam bgtu? https://t.co/MPReDQCbSG</t>
  </si>
  <si>
    <t>Ppkm itu kaya gini yak?dagangan rakyat dibawa kabur macam preman berseragam bgtu?</t>
  </si>
  <si>
    <t>Indihome pastikan jaringan internet di seluruh Jawa dan Bali selama pemberlakuan PPKM darurat aman dan pihaknya menjamin tidak akan ada lagi istilah tumbang seperti yang di keluhkan para pelanggan mereka selama harus melakukan work from home 100% terutama di DKI Jakarta.</t>
  </si>
  <si>
    <t>Indihome pastikan jaringan internet di seluruh Jawa dan Bali selama pemberlakuan PPKM darurat aman dan pihaknya menjamin tidak akan ada lagi istilah tumbang seperti yang di keluhkan para pelanggan mereka selama harus melakukan work from home % terutama di DKI Jakarta.</t>
  </si>
  <si>
    <t>Ganjar Sidak Ketaatan Masyarakat Dalam PPKM Darurat - Kompas TV https://t.co/JJpqaoBqBc https://t.co/9lBpn0E3kU</t>
  </si>
  <si>
    <t>Ganjar Sidak Ketaatan Masyarakat Dalam PPKM Darurat - Kompas TV</t>
  </si>
  <si>
    <t>@jokohand76 @msaid_didu Ada jg yg sibuk NGURUS agar TKA asing tetap bisa masuk dimasa PPKM😄</t>
  </si>
  <si>
    <t>Ada jg yg sibuk NGURUS agar TKA asing tetap bisa masuk dimasa PPKM</t>
  </si>
  <si>
    <t>@itzyvani Smoga bapaknya dpet pencerahan, karna ppkm jdi toko serpis pada tutup yg buka toko jual hp baru</t>
  </si>
  <si>
    <t>Smoga bapaknya dpet pencerahan, karna ppkm jdi toko serpis pada tutup yg buka toko jual hp baru</t>
  </si>
  <si>
    <t>@tempodotco Bisa jadi ada Tim yg sdg sibuk mencari Istilah baru Pengganti PPKM Darurat, Apakah PPKMD -1.2 atau PPKMD -2 terserah...mang hanya segitu kemampuannya</t>
  </si>
  <si>
    <t>Bisa jadi ada Tim yg sdg sibuk mencari Istilah baru Pengganti PPKM Darurat, Apakah PPKMD atau PPKMD terserah...mang hanya segitu kemampuannya</t>
  </si>
  <si>
    <t>@LsOwien Dok gimana nih kalo Indo demonstrasi di kala PPKM, sah gak ya?
 Kita liat di luar negeri, beberapa kota membara meraih kebebasan hidup dari cengkraman elit global..</t>
  </si>
  <si>
    <t>Dok gimana nih kalo Indo demonstrasi di kala PPKM, sah gak ya?Kita liat di luar negeri, beberapa kota membara meraih kebebasan hidup dari cengkraman elit global..</t>
  </si>
  <si>
    <t>Pemberlakuan Pembatasan Kegiatan Masyarakat (PPKM) Darurat pada 3 hingga 20 Juli 2021, bahkan akan memberi sanksi bagi yang melanggar, nyatanya TKA dengan mudah berdatangan. Mengapa hal ini terus berulang ?
 Simak di channel MMC!
 https://t.co/dgCZCViaMj https://t.co/i1uWhaEbSm</t>
  </si>
  <si>
    <t>Pemberlakuan Pembatasan Kegiatan Masyarakat (PPKM) Darurat pada hingga Juli , bahkan akan memberi sanksi bagi yang melanggar, nyatanya TKA dengan mudah berdatangan. Mengapa hal ini terus berulang ?Simak di channel MMC!</t>
  </si>
  <si>
    <t>@RamdaniAldi Untuk sepedaan selama PPKM tidak ada larangan khusus kang, tapi sebaiknya dibatasi dulu</t>
  </si>
  <si>
    <t>Untuk sepedaan selama PPKM tidak ada larangan khusus kang, tapi sebaiknya dibatasi dulu</t>
  </si>
  <si>
    <t>nunggu ppkm kelar lama bgt rasanya 🥲</t>
  </si>
  <si>
    <t>nunggu ppkm kelar lama bgt rasanya</t>
  </si>
  <si>
    <t>@imarabaya Dari semua kebijakan utk PPKM, mematikan lampu jalanan di malam hari itu yg paling konyol sih</t>
  </si>
  <si>
    <t>Dari semua kebijakan utk PPKM, mematikan lampu jalanan di malam hari itu yg paling konyol sih</t>
  </si>
  <si>
    <t>PPKM darurat ga berlaku sampe Eropa ya? Wkwkw https://t.co/JpgDubEzzd</t>
  </si>
  <si>
    <t>PPKM darurat ga berlaku sampe Eropa ya? Wkwkw</t>
  </si>
  <si>
    <t>Si Mulut Maniez marah-marah ke kantor yang termasuk usaha essensial yang nggak termasuk kategori dalam PPKM. Pingin cari simpati tapi salah. Dasar congor bosok! Mau jadi presiden?</t>
  </si>
  <si>
    <t>Sabar ya buat kawanku yang terimbas PPKM
 Karena ini bukan solusi untuk menurun angka kematian. Sebetulnya dulu juga banyak kematian tapi tidak dipublikasikan saja itu bedanya🥲 "yang kaya semakin kaya menikmati hartanya yang miskin semakin miskin untuk jadi bahan cobaan"</t>
  </si>
  <si>
    <t>Sabar ya buat kawanku yang terimbas PPKMKarena ini bukan solusi untuk menurun angka kematian. Sebetulnya dulu juga banyak kematian tapi tidak dipublikasikan saja itu bedanya "yang kaya semakin kaya menikmati hartanya yang miskin semakin miskin untuk jadi bahan cobaan"</t>
  </si>
  <si>
    <t>Aku suka PPKM tanpa PP</t>
  </si>
  <si>
    <t>ngacak-ngacak dagangan orang dengan dalih ketegasan ppkm adalah hal paling gak jelas. Arahan yang dibarengi sikap kasar, luarannya bakalan buruk dan lebih kasar. https://t.co/u4HiW9vtJ6</t>
  </si>
  <si>
    <t>ngacak-ngacak dagangan orang dengan dalih ketegasan ppkm adalah hal paling gak jelas. Arahan yang dibarengi sikap kasar, luarannya bakalan buruk dan lebih kasar.</t>
  </si>
  <si>
    <t>Pengen kerumah guru-guru sewaktu Mts tapi lagi ppkm gini, duh cepat kelar kek.</t>
  </si>
  <si>
    <t>Ngerti lah, Bang... 
 Jadi saat PPKM diberlakukan TKA China tetap boleh masuk. Gitukan...🤔
 *L4:LuLagiLuLagi
 https://t.co/HoabCsgdJA</t>
  </si>
  <si>
    <t>Ngerti lah, Bang... Jadi saat PPKM diberlakukan TKA China tetap boleh masuk. Gitukan...*L4:LuLagiLuLagi</t>
  </si>
  <si>
    <t>Wahai kalian, siapapun kalian yang isi kepala dan hatinya terus memprovokasi warga untuk melawan aturan PPKM Darurat ini, tolong berhentilah 2 minggu saja jd iblis. Tolong berubah jd malaikat, himbau warga ini dirumah saja, patuhi anjuran pemerintah..!
  https://t.co/abPqUGajp2</t>
  </si>
  <si>
    <t>Wahai kalian, siapapun kalian yang isi kepala dan hatinya terus memprovokasi warga untuk melawan aturan PPKM Darurat ini, tolong berhentilah minggu saja jd iblis. Tolong berubah jd malaikat, himbau warga ini dirumah saja, patuhi anjuran pemerintah..!</t>
  </si>
  <si>
    <t>@ellahadfina Sek ppkm mbak bromo ditutup palingan yoan</t>
  </si>
  <si>
    <t>Sek ppkm mbak bromo ditutup palingan yoan</t>
  </si>
  <si>
    <t>PPKM; Pengen Peluk Kamu Mulu</t>
  </si>
  <si>
    <t>@seterahdeh orang tua kalau ada tamu dipakein desinfektan dulu, orang orang kalau ada yang keluar (sebelum ppkm) pasti disemprot dulu, baju langsung masuk ke mesin cuci yang abis pake, nyuci pun pake masker, karena abang gue nakes jadi mak gue parno abis, untung anak nya masih boleh keluar</t>
  </si>
  <si>
    <t>orang tua kalau ada tamu dipakein desinfektan dulu, orang orang kalau ada yang keluar (sebelum ppkm) pasti disemprot dulu, baju langsung masuk ke mesin cuci yang abis pake, nyuci pun pake masker, karena abang gue nakes jadi mak gue parno abis, untung anak nya masih boleh keluar</t>
  </si>
  <si>
    <t>@liputan6dotcom Lebih baik dananya dialokasi untuk bagi bagi masker ke masyarakat, bagi bagi sembako ke masyarakat yg terdampak ppkm atau ke orang2 yg lagi isoman di rumah. Saya rasa itu lebih berdampak baik ke masyarakat.</t>
  </si>
  <si>
    <t>Lebih baik dananya dialokasi untuk bagi bagi masker ke masyarakat, bagi bagi sembako ke masyarakat yg terdampak ppkm atau ke orang2 yg lagi isoman di rumah. Saya rasa itu lebih berdampak baik ke masyarakat.</t>
  </si>
  <si>
    <t>tau sendiri kan, sekarang kasus covid-19 makin melonjak gila2an. 
 Maka.... vaksin satu juta orang per hari plus PPKM darurat diharapkan bisa menjadi solusi cespleng utk mengatasi lonjakan pandemi ini https://t.co/U2amJUoHyk</t>
  </si>
  <si>
    <t>tau sendiri kan, sekarang kasus covid-19 makin melonjak gila2an. Maka.... vaksin satu juta orang per hari plus PPKM darurat diharapkan bisa menjadi solusi cespleng utk mengatasi lonjakan pandemi ini</t>
  </si>
  <si>
    <t>@jogmfs Mending masak mie godhok wae ning omah, kan lagi ppkm tur adem bgt kan?</t>
  </si>
  <si>
    <t>Mending masak mie godhok wae ning omah, kan lagi ppkm tur adem bgt kan?</t>
  </si>
  <si>
    <t>@sleepinjiva mereka ga berfikir kalo ekonomi bakal oleng contohnya pekerja informal dg upah harian, pkl. Apalagi adanya ppkm ini, berapa kerugian perhari mall tenant dan toko2 yg dipaksa off, siapa yg menanggung biaya hidup pekerjanya? Sedangkan pekerjanya sendiri memiliki keluarga</t>
  </si>
  <si>
    <t>mereka ga berfikir kalo ekonomi bakal oleng contohnya pekerja informal dg upah harian, pkl. Apalagi adanya ppkm ini, berapa kerugian perhari mall tenant dan toko2 yg dipaksa off, siapa yg menanggung biaya hidup pekerjanya? Sedangkan pekerjanya sendiri memiliki keluarga</t>
  </si>
  <si>
    <t>Pemberlakuan Pembatasan Kegiatan Masyarakat (PPKM) Darurat pada 3 hingga 20 Juli 2021, bahkan akan memberi sanksi bagi yang melanggar, nyatanya TKA dengan mudah berdatangan. Mengapa hal ini terus berulang ?
 Simak jawabannya di channel MMC!
 https://t.co/ZRDoejPi3G https://t.co/gcU7i6OEeH</t>
  </si>
  <si>
    <t>Pemberlakuan Pembatasan Kegiatan Masyarakat (PPKM) Darurat pada hingga Juli , bahkan akan memberi sanksi bagi yang melanggar, nyatanya TKA dengan mudah berdatangan. Mengapa hal ini terus berulang ?Simak jawabannya di channel MMC!</t>
  </si>
  <si>
    <t>PPKM anjiglah,setiap mau mudik. 
 Berita sampah naik teruuussss. W</t>
  </si>
  <si>
    <t>PPKM anjiglah,setiap mau mudik. Berita sampah naik teruuussss. W</t>
  </si>
  <si>
    <t>@PRFMnews min kalo ppkm Sepedaan boleh ga?</t>
  </si>
  <si>
    <t>min kalo ppkm Sepedaan boleh ga?</t>
  </si>
  <si>
    <t>PokokeBukak Jam 8 tutup wkwkwkwkwk ajur sum sum , babat alas di babat karo PPKM suram suram https://t.co/vmyZzV1Q5R</t>
  </si>
  <si>
    <t>PokokeBukak Jam tutup wkwkwkwkwk ajur sum sum , babat alas di babat karo PPKM suram suram</t>
  </si>
  <si>
    <t>gabisa nonton black widow gara" ppkm is another level of pain</t>
  </si>
  <si>
    <t>Khofifah meminta agar wrga te2p patuh &amp;amp; disiplin protokol kesehatan di hari ketiga Pemberlakuan Pembatasan Kegiatan masyaralkat ( PPKM ) darurat</t>
  </si>
  <si>
    <t>@speechless__99 Lockdown, kalau PPKM ga dikasih makan 😂😂</t>
  </si>
  <si>
    <t>Lockdown, kalau PPKM ga dikasih makan</t>
  </si>
  <si>
    <t>Di Wembley PPKM nya sih jam brapa,,, https://t.co/rg4fV1rn3K</t>
  </si>
  <si>
    <t>Di Wembley PPKM nya sih jam brapa,,,</t>
  </si>
  <si>
    <t>Cuma mau tanya 3 hal:
 1. Perusahaan asuransi apakah termasuk sektor esensial?
 2. Jika Ya, bukan kah aturan PPKM utk sektor esensial WFH 50%?
 3. Jika Ya juga, kenapa ada perusahaan asuransi sudah WFH 75% disidak &amp;amp; dimaki maki?
 Tolong dijawab?</t>
  </si>
  <si>
    <t>Cuma mau tanya hal:1. Perusahaan asuransi apakah termasuk sektor esensial?2. Jika Ya, bukan kah aturan PPKM utk sektor esensial WFH %?3. Jika Ya juga, kenapa ada perusahaan asuransi sudah WFH % disidak &amp;amp; dimaki maki?Tolong dijawab?</t>
  </si>
  <si>
    <t>@tempodotco kalau sekedar standart rakyat juga vaksin, rakyat juga pakai Masker tapi tetap tidak boleh kemana2..
 ini bukan soal asas resiprokal atau apalah dalil Opung, 
 tapi justru tidak sesuai asas keadilan..
 apa sih urgensinya datangnya TKa ditengah PPKM seperti ini ?</t>
  </si>
  <si>
    <t>kalau sekedar standart rakyat juga vaksin, rakyat juga pakai Masker tapi tetap tidak boleh kemana2..ini bukan soal asas resiprokal atau apalah dalil Opung, tapi justru tidak sesuai asas keadilan..apa sih urgensinya datangnya TKa ditengah PPKM seperti ini ?</t>
  </si>
  <si>
    <t>@CNNIndonesia PPKM ini tdk logis..penyekatan Menimbulkan kerumunan dan kemacetan yg akan membuat Corona semakin membludak.. hrs di cari alternatif lain😷😷😷</t>
  </si>
  <si>
    <t>PPKM ini tdk logis..penyekatan Menimbulkan kerumunan dan kemacetan yg akan membuat Corona semakin membludak.. hrs di cari alternatif lain</t>
  </si>
  <si>
    <t>Thanks to brother... Makasih sudah mendukung semua jalan ninja q . Meski PPKM tetep Gas.... https://t.co/UUqH7jv0GZ</t>
  </si>
  <si>
    <t>Thanks to brother... Makasih sudah mendukung semua jalan ninja q . Meski PPKM tetep Gas....</t>
  </si>
  <si>
    <t>PPKM artinya adalah penindasan terhadap borjuis kecil dan kelas pekerja. Pekerja di tindas di pabrik, sementara Borjuis besar mengambil kesempatan ini untuk menyayingi atau menindas borjuis kecil dengan membatasi waktu berjualan yang pastinya mengancam finans borju kecil</t>
  </si>
  <si>
    <t>PPKM
 Pernah Perhatian Kini Menghilang</t>
  </si>
  <si>
    <t>PPKMPernah Perhatian Kini Menghilang</t>
  </si>
  <si>
    <t>@panca66 Virusnya bakal kena PPKM kalo berani masuk ke dalam tubuhnya</t>
  </si>
  <si>
    <t>Virusnya bakal kena PPKM kalo berani masuk ke dalam tubuhnya</t>
  </si>
  <si>
    <t>Heran bgt sama ppkm d serpong, kenapa coba jalan ditutup tuh pas lagi rame2 orang yg emang wfo ga wfh -_- ini pula berangkat pake jalan ditutup dan kudu muter lewat gading LITERALLY DI JAM ORANG OTW KERJA, keleatan banget ga sih. Orang mah tutup jalan pas jam 7 malam ke bawah gtu</t>
  </si>
  <si>
    <t>Heran bgt sama ppkm d serpong, kenapa coba jalan ditutup tuh pas lagi rame2 orang yg emang wfo ga wfh -_- ini pula berangkat pake jalan ditutup dan kudu muter lewat gading LITERALLY DI JAM ORANG OTW KERJA, keleatan banget ga sih. Orang mah tutup jalan pas jam malam ke bawah gtu</t>
  </si>
  <si>
    <t>@PemprovPapua Min, apa belum ada edaran Gubernur Papua terkait PPKM di Papua?</t>
  </si>
  <si>
    <t>Min, apa belum ada edaran Gubernur Papua terkait PPKM di Papua?</t>
  </si>
  <si>
    <t>Produktif yokk di masa ppkm mumpung dirumah aja</t>
  </si>
  <si>
    <t>@vroueskyy PPKM: Perbanyaklah Pergi Ke Masjid 🤗🤗🤗</t>
  </si>
  <si>
    <t>PPKM: Perbanyaklah Pergi Ke Masjid</t>
  </si>
  <si>
    <t>Walau PPKM Darurat, UMKM KitoShuko Muesti Semangat, Keadaan Sekarat,jgn patah Semangat, @PDemokrat berkoalisi dgn Rakyat,dorong agar musibah Minggat. @SartonoHutomo @DkiSantoso @AgusYudhoyono @FPD_DPR @ANDINURPATI3 @Andiarief__ @Edhie_Baskoro @lasmi_indaryani @YanHarahap https://t.co/77Yv4KL0uY</t>
  </si>
  <si>
    <t>Walau PPKM Darurat, UMKM KitoShuko Muesti Semangat, Keadaan Sekarat,jgn patah Semangat, berkoalisi dgn Rakyat,dorong agar musibah Minggat.</t>
  </si>
  <si>
    <t>@SiaranBolaLive Di wembley udh gak ppkm ya</t>
  </si>
  <si>
    <t>Di wembley udh gak ppkm ya</t>
  </si>
  <si>
    <t>Musim pancaroba,Hawane uadem, garai PPKM (Pengen Peluk Ka Mu). 
 Eyaa eyaaa😂😂😂.</t>
  </si>
  <si>
    <t>Musim pancaroba,Hawane uadem, garai PPKM (Pengen Peluk Ka Mu). Eyaa eyaaa.</t>
  </si>
  <si>
    <t>@EW1jaya Apa hubungannya ppkm darurat dengan mesjid</t>
  </si>
  <si>
    <t>Apa hubungannya ppkm darurat dengan mesjid</t>
  </si>
  <si>
    <t>PPKM, pernah perhatian kemudian menghilang :)</t>
  </si>
  <si>
    <t>PPKM, pernah perhatian kemudian menghilang</t>
  </si>
  <si>
    <t>@JatimPemprov @KhofifahIP @EmilDardak @dinkesjatim @KemenkesRI @bpbd_jatim @BNPB_Indonesia Ppkm Darurat Pemprov dan Pemda belum hadir, keramaian hanya turun 10%, tidak signifikan dgn namanya.</t>
  </si>
  <si>
    <t>Ppkm Darurat Pemprov dan Pemda belum hadir, keramaian hanya turun %, tidak signifikan dgn namanya.</t>
  </si>
  <si>
    <t>@beritajatimcom @JatimPemprov Pemberlakuan PPKM Darurat tiada arti apabila Aparat setempat sengaja ada pembiaran seorang warga peliharah ternak Ungas di Pinggir Kali lokasi rt. https://t.co/vu2B3QyP16,03.megare karang pilang barat. Belakang Gudang.
 @chofifahwati @KarangpilangPo1 @PolppJatim @BanggaSurabaya</t>
  </si>
  <si>
    <t>Pemberlakuan PPKM Darurat tiada arti apabila Aparat setempat sengaja ada pembiaran seorang warga peliharah ternak Ungas di Pinggir Kali lokasi rt. karang pilang barat. Belakang Gudang.</t>
  </si>
  <si>
    <t>PPKM: Longgar ke TKA, Ketat ke Warga Sendiri. Pemerintah Lebih Berpihak Pada Asing?| Serba Serbi MMC
 Lagi-lagi, kebijakan penguasa menjadi ironi bagi rakyatnya sendiri. 
 https://t.co/rCIHf2otqZ
 #PPKMDarurat https://t.co/cZG4THb05Z</t>
  </si>
  <si>
    <t>PPKM: Longgar ke TKA, Ketat ke Warga Sendiri. Pemerintah Lebih Berpihak Pada Asing?| Serba Serbi MMCLagi-lagi, kebijakan penguasa menjadi ironi bagi rakyatnya sendiri.</t>
  </si>
  <si>
    <t>@Minang_cyber @jokowi Pak @jokowi coba lah ditindak para WNA China yg datang pada masa PPKM Darurat, jgn cuma masyarakat sendiri aja yg ditindak tegas terus. Coba pikirkan juga solusi, gimana para pedagang yg gak boleh jualan, mau makan apa mereka utk hari esok ?</t>
  </si>
  <si>
    <t>Pak coba lah ditindak para WNA China yg datang pada masa PPKM Darurat, jgn cuma masyarakat sendiri aja yg ditindak tegas terus. Coba pikirkan juga solusi, gimana para pedagang yg gak boleh jualan, mau makan apa mereka utk hari esok ?</t>
  </si>
  <si>
    <t>Dampak PPKM, selain nonton drakor main hayday lagi nambahin kerjaanku rebahan dirumah 😂 https://t.co/a3yrWj6AN0</t>
  </si>
  <si>
    <t>Dampak PPKM, selain nonton drakor main hayday lagi nambahin kerjaanku rebahan dirumah</t>
  </si>
  <si>
    <t>menyesal sebelum ppkm gak ke gramed dulu</t>
  </si>
  <si>
    <t>@geloraco Mereka berdua duduk di kursi sejak 2014, jadi kondisi negeri seperti ini buah karya mereka, kok malah saling tunjuk jadi ketua PPKM. Negeri ini tidak akan berubah bahkan makin rusak parah kalo mereka tidak segera diganti.. 
 https://t.co/z9JgEsaZ5r</t>
  </si>
  <si>
    <t>Mereka berdua duduk di kursi sejak , jadi kondisi negeri seperti ini buah karya mereka, kok malah saling tunjuk jadi ketua PPKM. Negeri ini tidak akan berubah bahkan makin rusak parah kalo mereka tidak segera diganti..</t>
  </si>
  <si>
    <t>@detikcom Kalo lockdown mati semua jadi PPKM mati setengahnya ya pak ?</t>
  </si>
  <si>
    <t>Kalo lockdown mati semua jadi PPKM mati setengahnya ya pak ?</t>
  </si>
  <si>
    <t>@archery_008 Karena PPKM ya</t>
  </si>
  <si>
    <t>Karena PPKM ya</t>
  </si>
  <si>
    <t>@mjdmms0223 alhamdulillah ppkm ku ramai walau di rmh aja🥰</t>
  </si>
  <si>
    <t>alhamdulillah ppkm ku ramai walau di rmh aja</t>
  </si>
  <si>
    <t>Efek.PPKM darurat ,tanpa pengganti biaya hidup dari pemerintah 🤦🤦🥺 https://t.co/jtYomdoIcf</t>
  </si>
  <si>
    <t>Efek.PPKM darurat ,tanpa pengganti biaya hidup dari pemerintah</t>
  </si>
  <si>
    <t>Salah 1 mantan boss ku, ppkm, himbauan di rumah saja, eh dia masih muter lho. Tiap hari masih ngantor, terus meeting k ktr a, ke ktr b. Ga ada ngeri2 nya. Pdhal punya asma lho... pede krn uda vaksin 2x, n pernah kena virus juga and..... ga betah dirumah.....</t>
  </si>
  <si>
    <t>Salah mantan boss ku, ppkm, himbauan di rumah saja, eh dia masih muter lho. Tiap hari masih ngantor, terus meeting k ktr a, ke ktr b. Ga ada ngeri2 nya. Pdhal punya asma lho... pede krn uda vaksin x, n pernah kena virus juga and..... ga betah dirumah.....</t>
  </si>
  <si>
    <t>PPKM : Pengen Peluk Kamu Mulu 🥺</t>
  </si>
  <si>
    <t>PPKM : Pengen Peluk Kamu Mulu</t>
  </si>
  <si>
    <t>ppkm ni nunda skripsi ku ci ish🙂</t>
  </si>
  <si>
    <t>ppkm ni nunda skripsi ku ci ish</t>
  </si>
  <si>
    <t>Aku suka PPKM with spasi</t>
  </si>
  <si>
    <t>@andrigunardiii Ga bisa ketemu inget PPKM . wkwkwkws</t>
  </si>
  <si>
    <t>Ga bisa ketemu inget PPKM . wkwkwkws</t>
  </si>
  <si>
    <t>/wal aku handak ke surabaya nih, disana ppkm lah yo</t>
  </si>
  <si>
    <t>ada #MataDiTanahMelus juga nih! 
 Harga 59 ribu aja buat stok bacaan dan diskusi bersama bocah di rumah selama masa PPKM ❤📚
 Chat ke https://t.co/Bkgkinozqy ya bunda~ https://t.co/06ZqEbF26R</t>
  </si>
  <si>
    <t>ada juga nih! Harga ribu aja buat stok bacaan dan diskusi bersama bocah di rumah selama masa PPKM Chat ke ya bunda~</t>
  </si>
  <si>
    <t>Semoga PPKM :
 Pa prabowo kapan mundur? https://t.co/dSARVYiYsV</t>
  </si>
  <si>
    <t>Semoga PPKM a prabowo kapan mundur?</t>
  </si>
  <si>
    <t>@HisyamMochtar ingin melawan covid 19, spy hilang dari negeri tercinta ini. Tetapi niat itu tdk disertai kesungguhan, bercabang , tidak tegas dan jelas, bahkan cenderung jd seperti Arogan.
 PPKM DARURAT, rakyat disekat,Bandara buka. "Pelanggar" pencari nafkah, didenda,konpensasi tdk ada.</t>
  </si>
  <si>
    <t>ingin melawan covid , spy hilang dari negeri tercinta ini. Tetapi niat itu tdk disertai kesungguhan, bercabang , tidak tegas dan jelas, bahkan cenderung jd seperti Arogan.PPKM DARURAT, rakyat disekat,Bandara buka. "Pelanggar" pencari nafkah, didenda,konpensasi tdk ada.</t>
  </si>
  <si>
    <t>PPKM emang penting tapi, ngerusuhin orang dagang yg target marketnya aja kagak boleh keluyuran itu wadidaw sih.</t>
  </si>
  <si>
    <t>PPKM udah seperti jalan tak ber ujung rakyat sudah susah jangan bikin marah !!!</t>
  </si>
  <si>
    <t>@henrysubiakto MANA kritik-mu ke pejabat yang ketawa ketiwi, senam ubur-ubur, makan nasi kucing, virus Covid tak bertahan di Indonesia, saat awal Covid datang? Bahkan saat ini, ketika bandara masih buka untuk kedatangan internasional, sedang rakyat wajib PPKM Darurat, tanpa bansos? Cangkem Elek</t>
  </si>
  <si>
    <t>MANA kritik-mu ke pejabat yang ketawa ketiwi, senam ubur-ubur, makan nasi kucing, virus Covid tak bertahan di Indonesia, saat awal Covid datang? Bahkan saat ini, ketika bandara masih buka untuk kedatangan internasional, sedang rakyat wajib PPKM Darurat, tanpa bansos? Cangkem Elek</t>
  </si>
  <si>
    <t>Stay strong pejuang PPKM</t>
  </si>
  <si>
    <t>Dapet event di jakarta, client nya udah ngebet tp ppkm gabisa masuk jkt. Asu deh 😌</t>
  </si>
  <si>
    <t>Dapet event di jakarta, client nya udah ngebet tp ppkm gabisa masuk jkt. Asu deh</t>
  </si>
  <si>
    <t>PPKM : Perlahan Pasti Kamu Mau</t>
  </si>
  <si>
    <t>Ppkm kembali ke awal lagi 🙂</t>
  </si>
  <si>
    <t>Ppkm kembali ke awal lagi</t>
  </si>
  <si>
    <t>Plis, ppkm cuma tinggal 2 minggu kurang, gausa kemana² dulu. Capek banget liat bokap tiap hari ngurusin yang pada c-word :((
 Susah banget anjir manusia. Coba dah lu gantian sama bokap gue sini, ngurusin warga kena c word, bisa ga?? Kesel.</t>
  </si>
  <si>
    <t>Plis, ppkm cuma tinggal minggu kurang, gausa kemana dulu. Capek banget liat bokap tiap hari ngurusin yang pada c-word usah banget anjir manusia. Coba dah lu gantian sama bokap gue sini, ngurusin warga kena c word, bisa ga?? Kesel.</t>
  </si>
  <si>
    <t>Ya Allah 
 Pagi2 dpet chat bgini
 LG PPKM GK bisa pulang
 😭😭😭😭😭😭😭😭 https://t.co/qkbYNZvnH3</t>
  </si>
  <si>
    <t>Ya Allah Pagi2 dpet chat bginiLG PPKM GK bisa pulang</t>
  </si>
  <si>
    <t>Merasa bersalah aja gabisa jaga kesehatan , waktuku jadi lebih banyak istirahat daripada nemenin chatting/call , ppkm ini pekerjaanku jadi extra melelahkan yg biasanya stay ditoko jadi mondar mandir sana sini . At least aku masih bekerja dan aku harus mensyukuri itu</t>
  </si>
  <si>
    <t>PPKM: Longgar ke TKA, ketat ke Warga Sendiri. Pemerintah Lebih Berpihak ... https://t.co/b9XMAGwiiz</t>
  </si>
  <si>
    <t>PPKM: Longgar ke TKA, ketat ke Warga Sendiri. Pemerintah Lebih Berpihak ...</t>
  </si>
  <si>
    <t>PPKM kah namanya, PSBB, atau apapun itu, tetep aja intinya masjid² ditutup, dan mall² dibatasi jam operasinya, nda ada yg berubah itu.</t>
  </si>
  <si>
    <t>PPKM kah namanya, PSBB, atau apapun itu, tetep aja intinya masjid ditutup, dan mall dibatasi jam operasinya, nda ada yg berubah itu.</t>
  </si>
  <si>
    <t>PPKM Hari ke 6 pulang Jogja https://t.co/3tNLUbjuM9</t>
  </si>
  <si>
    <t>PPKM Hari ke pulang Jogja</t>
  </si>
  <si>
    <t>@Prambors #DGITM PPKM versi gua = Pagi Pagi Kerumah Mertua</t>
  </si>
  <si>
    <t>PPKM versi gua = Pagi Pagi Kerumah Mertua</t>
  </si>
  <si>
    <t>@KustiniKSP Krn dgn reward dan punishment akan mengedukasi para pemilik usaha dan pembeli mempraktekan pola hidup baru. Tgs dlm PPKM tanpa edukasi hsilnya terjadi loncatan pasca PPKM krn masyarakat abai dan merasa bebas stelah terkekang di PPKM. Mhn CB ptugas diperhatikan Bu...</t>
  </si>
  <si>
    <t>Krn dgn reward dan punishment akan mengedukasi para pemilik usaha dan pembeli mempraktekan pola hidup baru. Tgs dlm PPKM tanpa edukasi hsilnya terjadi loncatan pasca PPKM krn masyarakat abai dan merasa bebas stelah terkekang di PPKM. Mhn CB ptugas diperhatikan Bu...</t>
  </si>
  <si>
    <t>@yopras2 @republikaonline Benar sekali...
 secara disaat CoViD ini ngamuk...
 Siapa orangy yg mau nganggur?!?
 Apa lagi sekelas kalian di KSP yg kalian tahu apa?!? 
 Tahu orang Vaksin mesti berkerumun banyak berebutan dan berjubel?!?
 Tahu krn PPKM yg gag disubsidi kebutuhan pokok bikin gag bs makan?!?</t>
  </si>
  <si>
    <t>Benar sekali...secara disaat CoViD ini ngamuk...Siapa orangy yg mau nganggur?!?Apa lagi sekelas kalian di KSP yg kalian tahu apa?!? Tahu orang Vaksin mesti berkerumun banyak berebutan dan berjubel?!?Tahu krn PPKM yg gag disubsidi kebutuhan pokok bikin gag bs makan?!?</t>
  </si>
  <si>
    <t>@bbygurl2am @Orang_kly Iya .smwa jg tw kli itu hak ,dpt dri siapa ? Pemerintah toh, smua juga tau mbakkk ,covid ini serba salah ,sy juga gk tutup mata sma pedagang yg warungnya di tutup ,sy juga jualan kok, pmerintah emang gk tau apa klo apapun yg dia lakukan pasti dpt kritik ,ppkm / lokdown salah</t>
  </si>
  <si>
    <t>Iya .smwa jg tw kli itu hak ,dpt dri siapa ? Pemerintah toh, smua juga tau mbakkk ,covid ini serba salah ,sy juga gk tutup mata sma pedagang yg warungnya di tutup ,sy juga jualan kok, pmerintah emang gk tau apa klo apapun yg dia lakukan pasti dpt kritik ,ppkm / lokdown salah</t>
  </si>
  <si>
    <t>Dan barusan liat berita ada tukang bubur yg jualan di masa ppkm, kena denda 5jt. Cuman bisa ngelus dada sama hakim yg mutusin, apa dia g pernah berpikir dari sudut pandang orang kecil? Gmn kalau dia ada di posisi tukang bubur?</t>
  </si>
  <si>
    <t>Dan barusan liat berita ada tukang bubur yg jualan di masa ppkm, kena denda jt. Cuman bisa ngelus dada sama hakim yg mutusin, apa dia g pernah berpikir dari sudut pandang orang kecil? Gmn kalau dia ada di posisi tukang bubur?</t>
  </si>
  <si>
    <t>PPKM = Pelan-Pelan Kita Menikah.</t>
  </si>
  <si>
    <t>Jujur nanya : apa sih syaratnya jadi ustad? Pasti bukan hanya gaya berpakaian kan?Apa dong?
 Soalnya kalau Sdh disebut ustad itu spt punya kesaktian luar byasah
 Sindir PPKM, Ustad Ini Ngatain Presiden: Presiden Iblis Takuti Warganya, Provokator Banget! https://t.co/SYQewWudOX</t>
  </si>
  <si>
    <t>Jujur nanya : apa sih syaratnya jadi ustad? Pasti bukan hanya gaya berpakaian kan?Apa dong?Soalnya kalau Sdh disebut ustad itu spt punya kesaktian luar byasahSindir PPKM, Ustad Ini Ngatain Presiden: Presiden Iblis Takuti Warganya, Provokator Banget!</t>
  </si>
  <si>
    <t>@StarStation__ -dikarnakan keterbatasan ekonomi dan diperparah oleh pemberlakukan PPKM yang membuat bapakku gak bisa dagang. Semoga Kakak membaca rep-ku dan bersedia memberikan pahamify 1 bulan ke aku aku akan sangat berterima kasih.</t>
  </si>
  <si>
    <t>-dikarnakan keterbatasan ekonomi dan diperparah oleh pemberlakukan PPKM yang membuat bapakku gak bisa dagang. Semoga Kakak membaca rep-ku dan bersedia memberikan pahamify bulan ke aku aku akan sangat berterima kasih.</t>
  </si>
  <si>
    <t>@susipudjiastuti Mari kita focus pada kesehatan diri pribadi dan keluarga masing-masing, dengan mematuhi PPKM dengan disiplin tinggi.
 Selebihnya serahkan diri (tawakal) pada kuasa Allah SWT.
 Bencana ini memang menguji kesabaran umat manusia.</t>
  </si>
  <si>
    <t>Mari kita focus pada kesehatan diri pribadi dan keluarga masing-masing, dengan mematuhi PPKM dengan disiplin tinggi.Selebihnya serahkan diri (tawakal) pada kuasa Allah SWT.Bencana ini memang menguji kesabaran umat manusia.</t>
  </si>
  <si>
    <t>@ChusnulCh__ Tangkap g perlu klarifikasi2. Jelas itu menyebar hoax saat ppkm satu tahun penjara. Model gini cuma klarifikasi doang ujungnya 2 hari lahi jg ngoceh hoax lagi jualan agama</t>
  </si>
  <si>
    <t>Tangkap g perlu klarifikasi2. Jelas itu menyebar hoax saat ppkm satu tahun penjara. Model gini cuma klarifikasi doang ujungnya hari lahi jg ngoceh hoax lagi jualan agama</t>
  </si>
  <si>
    <t>Jubir Pemerintah Lawan COVID-19 Reisa Broto A mengatakan " Peran Serta kita semua dalam PPKM DARURAT sangat diperlukan. Baik sebagai Ayah, Ibu, Kakak, teman, sahabat semua berperan untuk memastikan kita semua patuhi PPKM DARURAT. 
 #TolongPatuhiAturanPPKM https://t.co/csttIVItAx</t>
  </si>
  <si>
    <t>Jubir Pemerintah Lawan COVID-19 Reisa Broto A mengatakan " Peran Serta kita semua dalam PPKM DARURAT sangat diperlukan. Baik sebagai Ayah, Ibu, Kakak, teman, sahabat semua berperan untuk memastikan kita semua patuhi PPKM DARURAT.</t>
  </si>
  <si>
    <t>@Widyarenee_ @lizaariani5 Gmn dgn wilayah Jokja, Jateng, Jatim dan Jabar yg banyak buruh harian lepasnya, yg setiap hr hrs menapkahi keluarganya, apa pemerintah pusat dan daerah mau membiayai hidup pr buruh itu slm ppkm darurat.</t>
  </si>
  <si>
    <t>Gmn dgn wilayah Jokja, Jateng, Jatim dan Jabar yg banyak buruh harian lepasnya, yg setiap hr hrs menapkahi keluarganya, apa pemerintah pusat dan daerah mau membiayai hidup pr buruh itu slm ppkm darurat.</t>
  </si>
  <si>
    <t>@dsuperboy Oh padang baru ppkm</t>
  </si>
  <si>
    <t>Oh padang baru ppkm</t>
  </si>
  <si>
    <t>Yg PPKM Darurat cuma daerah kemang mbak.... hehehe.... https://t.co/diLMhcSoME https://t.co/4MNPzf5cD0</t>
  </si>
  <si>
    <t>Yg PPKM Darurat cuma daerah kemang mbak.... hehehe....</t>
  </si>
  <si>
    <t>@tvOneNews Ppkm jgn menginjak ekonomi yg satu dan mengangkat ekonomi yg laen..klo tim satgas covid pnya keberanian tutup dong pt di kawaasan industri bekasi itu tempat kerumunan juga..jgn braninya ma usaha kecil doang..di tunggu keberaniannya para pejabat lawan pengusaha</t>
  </si>
  <si>
    <t>Ppkm jgn menginjak ekonomi yg satu dan mengangkat ekonomi yg laen..klo tim satgas covid pnya keberanian tutup dong pt di kawaasan industri bekasi itu tempat kerumunan juga..jgn braninya ma usaha kecil doang..di tunggu keberaniannya para pejabat lawan pengusaha</t>
  </si>
  <si>
    <t>PPKM. Pengen Peluk Kamu Mas :(</t>
  </si>
  <si>
    <t>PPKM. Pengen Peluk Kamu Mas</t>
  </si>
  <si>
    <t>Serda Sutarman anggota Koramil 01/Karanganyar Melaksanakan giat apel gabungan dalam rangka penyemprotan dan patroli operasi penegakan disiplin protokol kesehatan pada masa PPKM Darurat di wilayah Karanganyar dengan sasaran penyemprotan jln Raya matesih menuju Karangpandan https://t.co/Kg8ER0LLmC</t>
  </si>
  <si>
    <t>Serda Sutarman anggota Koramil /Karanganyar Melaksanakan giat apel gabungan dalam rangka penyemprotan dan patroli operasi penegakan disiplin protokol kesehatan pada masa PPKM Darurat di wilayah Karanganyar dengan sasaran penyemprotan jln Raya matesih menuju Karangpandan</t>
  </si>
  <si>
    <t>Kita msh brsyukur di Tangsel msh bebas n ppkm nggak ketat kyk di Jkt n Bdg.....</t>
  </si>
  <si>
    <t>Pagi
 Ingat PPKM...jalankan</t>
  </si>
  <si>
    <t>PagiIngat PPKM...jalankan</t>
  </si>
  <si>
    <t>@FachmiHEHE @nowjayb @AREAJULID Dari awal sudah paling gampang, pakai masker, jgn ngumpul. Hal yg mudah, tp pada abai, jd nya ya gini. Sama kaya pempus awal abai, dah ky gini tgl nunjuk rakyat yg salah, sperti org2 yg teriak2 saat ppkm, tp ga mau jaga prokes, sama2 manusia bgst egois.</t>
  </si>
  <si>
    <t>Dari awal sudah paling gampang, pakai masker, jgn ngumpul. Hal yg mudah, tp pada abai, jd nya ya gini. Sama kaya pempus awal abai, dah ky gini tgl nunjuk rakyat yg salah, sperti org2 yg teriak2 saat ppkm, tp ga mau jaga prokes, sama2 manusia bgst egois.</t>
  </si>
  <si>
    <t>PPKM berjalan -+ 6 hari , kemasifan aparat untuk melakukan penertiban semakin menjadi jadi tp dilain pihak kebijakan yg diberlakukan berjalan tanpa solusi pastii .... Sungguh miriss kondisi negeri kita saat ini https://t.co/YM4vkrNplP</t>
  </si>
  <si>
    <t>PPKM berjalan -+ hari , kemasifan aparat untuk melakukan penertiban semakin menjadi jadi tp dilain pihak kebijakan yg diberlakukan berjalan tanpa solusi pastii .... Sungguh miriss kondisi negeri kita saat ini</t>
  </si>
  <si>
    <t>@Prambors PPKM, Pura-Pura Kena Masalah</t>
  </si>
  <si>
    <t>PPKM, Pura-Pura Kena Masalah</t>
  </si>
  <si>
    <t>PPKM ternyata smakin meningkatkan korban covid dlm kondisi DARURAT
 PPKM Program Pemiskinan Keluarga Masarakat
 PPKM ternyata Program Peningkatan Keluarga Miskin.
 #BapakPresidenMenyerahlah
 #IndonesiaColaps</t>
  </si>
  <si>
    <t>PPKM ternyata smakin meningkatkan korban covid dlm kondisi DARURATPPKM Program Pemiskinan Keluarga MasarakatPPKM ternyata Program Peningkatan Keluarga Miskin.</t>
  </si>
  <si>
    <t>Tidak manusiawi jika pelanggar PPKM malah diberikan sanksi denda berjuta-juta. 
 Siapa tahu mereka keluar rumah terdesak mencari nafkah.
 Kalau sebentar-sebentar sanksi denda berjuta-juta, ini namanya pemalakan gaya baru !</t>
  </si>
  <si>
    <t>Tidak manusiawi jika pelanggar PPKM malah diberikan sanksi denda berjuta-juta. Siapa tahu mereka keluar rumah terdesak mencari nafkah.Kalau sebentar-sebentar sanksi denda berjuta-juta, ini namanya pemalakan gaya baru !</t>
  </si>
  <si>
    <t>Pemuda Karang Taruna Kota Jayapura Dukung Instruksi Presiden Terkait PPKM Darurat https://t.co/4YKSrOg713</t>
  </si>
  <si>
    <t>Pemuda Karang Taruna Kota Jayapura Dukung Instruksi Presiden Terkait PPKM Darurat</t>
  </si>
  <si>
    <t>PPKM (Pengen Pulang Ke pelukan Mantan)
 WKWKWK</t>
  </si>
  <si>
    <t>PPKM (Pengen Pulang Ke pelukan Mantan)WKWKWK</t>
  </si>
  <si>
    <t>PPKM : Para Pemerintah Kada Manusiawi
 PePe KaMu ya hey pemerintah</t>
  </si>
  <si>
    <t>PPKM : Para Pemerintah Kada ManusiawiPePe KaMu ya hey pemerintah</t>
  </si>
  <si>
    <t>@besokconge aahhh ppkm juga? tapi kek gak ppkm sih daerah rumahku wkwk</t>
  </si>
  <si>
    <t>aahhh ppkm juga? tapi kek gak ppkm sih daerah rumahku wkwk</t>
  </si>
  <si>
    <t>PPKM Atasi Covid
 https://t.co/2zx3x3ViOY
 TWK KPK Sah Konstitusiinal</t>
  </si>
  <si>
    <t>PPKM Atasi Covid KPK Sah Konstitusiinal</t>
  </si>
  <si>
    <t>Hari ini ppkm dimulai di Padang. Layanan bank masih buka kah?</t>
  </si>
  <si>
    <t>Baiklah PPKM ini saya maknai Pemuda Pemudi Kon Mabok</t>
  </si>
  <si>
    <t>Tokoh Masyarakat Papua Dukung Instruksi Presiden Terkait PPKM Darurat https://t.co/OJMKVAIDlN</t>
  </si>
  <si>
    <t>Tokoh Masyarakat Papua Dukung Instruksi Presiden Terkait PPKM Darurat</t>
  </si>
  <si>
    <t>Mau bekerja keras biar dikata abis ngepet darimana malah PPKM - edan teu</t>
  </si>
  <si>
    <t>PPKM = Pagi Pagi Kagak Makan https://t.co/YzfYqduT42</t>
  </si>
  <si>
    <t>PPKM = Pagi Pagi Kagak Makan</t>
  </si>
  <si>
    <t>- Keji ! Kejahatan PPKM jokowi !
 - Kejahatan PPKM trbongkar, luhut dijemput !
 -Turunkan jokowi sekarang juga, lebih cepat lebih baik!
 - Tumbangkan jokowi, selamatkan Indonesia !
 - Jokowi gagal total !!! Sah diseret paksa KELUAR ISTANA !
 https://t.co/cFjdxf4pax</t>
  </si>
  <si>
    <t>- Keji ! Kejahatan PPKM jokowi !- Kejahatan PPKM trbongkar, luhut dijemput !-Turunkan jokowi sekarang juga, lebih cepat lebih baik!- Tumbangkan jokowi, selamatkan Indonesia !- Jokowi gagal total !!! Sah diseret paksa KELUAR ISTANA !</t>
  </si>
  <si>
    <t>@KompasTV Kalau masa ppkm gini ? Kita memang ada bantuan ya bro and sis dari bansos? Maaf karena penasaran di tv dan di berita ada saya dengar ,apakah itu benar?</t>
  </si>
  <si>
    <t>Kalau masa ppkm gini ? Kita memang ada bantuan ya bro and sis dari bansos? Maaf karena penasaran di tv dan di berita ada saya dengar ,apakah itu benar?</t>
  </si>
  <si>
    <t>*GELOMBANG WNA MASUK INDONESIA, PPKM DARURAT SETENGAH HATI?*
 🟥 *SAKSIKAN KABAR PETANG KC NEWS*
 🎙️Bersama : *Luthfi Afandi* (Indonesia Justice Monitor)
 Host : *Azis Rohman*
 🗓️ *Rabu, 7 Juli 2021 (SORE INI)*
 ⏰ *17.00 WIB - Selesai*
 *KLIK LINK*DIBAWAH INI :
 https://t.co/lHAE1GYdS7 https://t.co/DkNlwcwwMA</t>
  </si>
  <si>
    <t>*GELOMBANG WNA MASUK INDONESIA, PPKM DARURAT SETENGAH HATI?* *SAKSIKAN KABAR PETANG KC NEWS*Bersama : *Luthfi Afandi* (Indonesia Justice Monitor)Host : *Azis Rohman* *Rabu, Juli (SORE INI)* *17.00 WIB - Selesai**KLIK LINK*DIBAWAH INI :</t>
  </si>
  <si>
    <t>Emang WHO perintahkan PpKM darurat? https://t.co/ecSdmg1AjA</t>
  </si>
  <si>
    <t>Emang WHO perintahkan PpKM darurat?</t>
  </si>
  <si>
    <t>Jangan ada yg dikorbankan, karena keduanya sama2 prioritas. Tidak apa jika perubahannya tidak terlalu signifikan, karena ada proses.. cb ingat lagi pencapaian kita sblm mudik ada.. covid di angka rendah dan perekonomian mulai naik walaupun tdk ada ppkm kan?</t>
  </si>
  <si>
    <t>@alisyarief @mohmahfudmd PPKM
 Peristiwa Pembantaian Kilo Meter 50</t>
  </si>
  <si>
    <t>PPKMPeristiwa Pembantaian Kilo Meter</t>
  </si>
  <si>
    <t>HAHAHAA, pas viral dan takut diciduk aja suruh jamaah taat PPKM, kemarin kok beda omongannya pak sofwan? Kelakuan 🤣 https://t.co/DxVuwI8K4R</t>
  </si>
  <si>
    <t>HAHAHAA, pas viral dan takut diciduk aja suruh jamaah taat PPKM, kemarin kok beda omongannya pak sofwan? Kelakuan</t>
  </si>
  <si>
    <t>Yamaha Jatim Terapkan Prokes Ketat Dan Patuhi Aturan Selama PPKM https://t.co/x1OFqpSi4w</t>
  </si>
  <si>
    <t>Yamaha Jatim Terapkan Prokes Ketat Dan Patuhi Aturan Selama PPKM</t>
  </si>
  <si>
    <t>@KakekHalal Di negeri +62 banyak yang menolak masjid di tutup karena PPKM, Di Saudi jangankan masuk dekat2 aja orang bisa di denda.... Di Pandemi ini Tuhan mau kita lebih menyayangi diri kita sendiri dan orang lain dan Tuhan itu ada dalam hati kita masing2...
 https://t.co/aRt27jqA2n</t>
  </si>
  <si>
    <t>Di negeri +62 banyak yang menolak masjid di tutup karena PPKM, Di Saudi jangankan masuk dekat2 aja orang bisa di denda.... Di Pandemi ini Tuhan mau kita lebih menyayangi diri kita sendiri dan orang lain dan Tuhan itu ada dalam hati kita masing2...</t>
  </si>
  <si>
    <t>Serma Kusaini dan Sertu Sukarmo Koramil 01/Karanganyar melaksanakan Giat pendampingan Vaksinasi Covid-19 bagi Lansia serta himbauan Prokes pada PPKM DARURAT bagi Kelurahan yang belum melaksanakan Vaksin, bertempat di Puskesmas Karanganyar https://t.co/gqRPNdgx52</t>
  </si>
  <si>
    <t>Serma Kusaini dan Sertu Sukarmo Koramil /Karanganyar melaksanakan Giat pendampingan Vaksinasi Covid-19 bagi Lansia serta himbauan Prokes pada PPKM DARURAT bagi Kelurahan yang belum melaksanakan Vaksin, bertempat di Puskesmas Karanganyar</t>
  </si>
  <si>
    <t>Kreativitas Trenggalek untuk jalankan Protokol Kesehatan ketika masa PPKM Darurat👍
 Konten dari: @Lantas_TGalek &amp;amp; @1trenggalek 
 #Trenggalek
 #Covid_19 
 #AyoVaksin https://t.co/LYfAYUax2B</t>
  </si>
  <si>
    <t>Kreativitas Trenggalek untuk jalankan Protokol Kesehatan ketika masa PPKM DaruratKonten dari: &amp;amp;</t>
  </si>
  <si>
    <t>@akunpermen_ @sendagurah lah kan lg konten itu. mbaknya cari yg bahas soal ppkm gih</t>
  </si>
  <si>
    <t>lah kan lg konten itu. mbaknya cari yg bahas soal ppkm gih</t>
  </si>
  <si>
    <t>@Telkomsel Pagi selama ppkm darurat apakah grapari di mall kelapa gading tetap buka?</t>
  </si>
  <si>
    <t>Pagi selama ppkm darurat apakah grapari di mall kelapa gading tetap buka?</t>
  </si>
  <si>
    <t>1. Junior: Bang, kalau di perusahaan karyawan ditanya kenapa tetap masuk kantor walaupun PPKM darurat, apa alasannya bang?
 Senior: karena diperintah masuk oleh perusahaan.
 Junior: kalau pengacara tetap bersidang ke pengadilan di masa PPKM Darurat, apa alasannya bang?</t>
  </si>
  <si>
    <t>. Junior: Bang, kalau di perusahaan karyawan ditanya kenapa tetap masuk kantor walaupun PPKM darurat, apa alasannya bang?Senior: karena diperintah masuk oleh perusahaan.Junior: kalau pengacara tetap bersidang ke pengadilan di masa PPKM Darurat, apa alasannya bang?</t>
  </si>
  <si>
    <t>Istana Konyol, Saya Usul Anies Baswedan Jadi Presiden Era Covid-19
 Komentar ini muncul setelah Gubernur DKI Jakarta usulkan Pemberlakuan PPKM Jawa Bali secara ketat sejak akhir Mei, namun usulan tsb tak diterima pemerintah pusat krn pertimbangan ekonomi.
 https://t.co/dyF8mRKBxI</t>
  </si>
  <si>
    <t>Istana Konyol, Saya Usul Anies Baswedan Jadi Presiden Era Covid-19Komentar ini muncul setelah Gubernur DKI Jakarta usulkan Pemberlakuan PPKM Jawa Bali secara ketat sejak akhir Mei, namun usulan tsb tak diterima pemerintah pusat krn pertimbangan ekonomi.</t>
  </si>
  <si>
    <t>@republikaonline Ppkm jgn menginjak ekonomi yg satu dan mengangkt ekonomi yg laen klo tim satgas covid brani tutup dong pt di kawasan industri di bekasi jgn brani ma orng kecil aja..ayo buktikan bp2 yg terhormat</t>
  </si>
  <si>
    <t>Ppkm jgn menginjak ekonomi yg satu dan mengangkt ekonomi yg laen klo tim satgas covid brani tutup dong pt di kawasan industri di bekasi jgn brani ma orng kecil aja..ayo buktikan bp2 yg terhormat</t>
  </si>
  <si>
    <t>Sugeng enjing lur, hari kesekian kita menikmati program berbentuk PPKM Semoga kita semua serta keluarga dan kawan" di berikan umur panjang dalam thoat kepada Allah, di pernahke Sedantenipun paling sae miturut Allah, di cukupke lan di selametke wonten dunyo dumugi akhirat..Aamiin</t>
  </si>
  <si>
    <t>Ppkm gk ppkm pancet gas kok🙈</t>
  </si>
  <si>
    <t>Ppkm gk ppkm pancet gas kok</t>
  </si>
  <si>
    <t>@mimiekirana1708 @katadalamspasi Ppkm, pernah perhatian kemudian menghilang</t>
  </si>
  <si>
    <t>Ppkm, pernah perhatian kemudian menghilang</t>
  </si>
  <si>
    <t>@jelmaandewi @tubirfess Tapi kan ppkm sekarang ga mengacu uu karantina, makanya ga seketat dulu pas lockdown, krn pemerintah kekurangan dana, alhasil krn ga mengacu uu karantina ya pemerintah ga punya kewajiban buat bansos lagi krn peraturannya ga ada kewajiban (disamping duitnya abis dikorupsi)</t>
  </si>
  <si>
    <t>Tapi kan ppkm sekarang ga mengacu uu karantina, makanya ga seketat dulu pas lockdown, krn pemerintah kekurangan dana, alhasil krn ga mengacu uu karantina ya pemerintah ga punya kewajiban buat bansos lagi krn peraturannya ga ada kewajiban (disamping duitnya abis dikorupsi)</t>
  </si>
  <si>
    <t>lagi musim PPKM (Pernah Prioritas Kemudian Menghilang) 👀</t>
  </si>
  <si>
    <t>lagi musim PPKM (Pernah Prioritas Kemudian Menghilang)</t>
  </si>
  <si>
    <t>Dulu viral tukang bubur naik haji sekarang viral di tasikmalaya tukang bubur kena denda 5 juta hanyanya sekedar nyambung hidup di saat PPKM 
 #BapakPresidenMenyerahl</t>
  </si>
  <si>
    <t>Dulu viral tukang bubur naik haji sekarang viral di tasikmalaya tukang bubur kena denda juta hanyanya sekedar nyambung hidup di saat PPKM</t>
  </si>
  <si>
    <t>Yang sayang sama Aksa.. Minta ucapan selamat pagi dong... Cz mau ke indomart atau alfamart pada tutup akibat Ppkm..</t>
  </si>
  <si>
    <t>@CNNIndonesia Ingat di Jokja, Jateng, Jatim dan Jabar itu banyak buruh harian lepas yg setiap hr hrs menapkahi keluarganya, apa pemerintah pusat dan daerah mau membiayai hidup pr buruh itu slm ppkm darurat.</t>
  </si>
  <si>
    <t>Ingat di Jokja, Jateng, Jatim dan Jabar itu banyak buruh harian lepas yg setiap hr hrs menapkahi keluarganya, apa pemerintah pusat dan daerah mau membiayai hidup pr buruh itu slm ppkm darurat.</t>
  </si>
  <si>
    <t>Nerapin aturan tolol ppkm darurat itu sama dengan lokdon jurig! Nyuruh dirumah aja.Nyuruh tetap dirumah aja.Nyuruh diam dirumah aja.Tapi ga ngasih bantuan kebutuhan pokok makanan secara continue itu bgst namanya.Warga disuruh patungan sendiri buat bantu sesama.Pemerintahan Jurig!</t>
  </si>
  <si>
    <t>PPKM sih PPKM, lhaa tapi rezim juga harus berpikir untuk MENAFKAHI rakyat.
 Kemana uang pajak yang setiap hari ditarik dari rakyat?
 Kami tidak ridho dicurangi negara !!!</t>
  </si>
  <si>
    <t>PPKM sih PPKM, lhaa tapi rezim juga harus berpikir untuk MENAFKAHI rakyat.Kemana uang pajak yang setiap hari ditarik dari rakyat?Kami tidak ridho dicurangi negara !!!</t>
  </si>
  <si>
    <t>@dwiki_mumtaz Pinter ya, segala daya upaya mereka lakukan demi meredam rasa malu dan pertanyaan masyarakat, mereka ciptakan PPKM. Selain dari itu demi menutupi kepanikan akibat ancaman mahasiswa jg membawa dampak diciptakanya PPKM. 
 Ini sudah seharusnya kita teriakan #BapakPresidenMenyerahlah</t>
  </si>
  <si>
    <t>Pinter ya, segala daya upaya mereka lakukan demi meredam rasa malu dan pertanyaan masyarakat, mereka ciptakan PPKM. Selain dari itu demi menutupi kepanikan akibat ancaman mahasiswa jg membawa dampak diciptakanya PPKM. Ini sudah seharusnya kita teriakan</t>
  </si>
  <si>
    <t>@CommuterLine Min, lapor
 Tolong prokes semakin diperketat di stasiun stasiun transit.
 H-1 sebelum PPKM saya transit di Manggarai, tidak ada jaga jarak dan ada bbrp yg melepas maskernya.</t>
  </si>
  <si>
    <t>Min, laporTolong prokes semakin diperketat di stasiun stasiun transit.H-1 sebelum PPKM saya transit di Manggarai, tidak ada jaga jarak dan ada bbrp yg melepas maskernya.</t>
  </si>
  <si>
    <t>@AhmadWarisah @republikaonline Ketika mencuat Missi tak percaya rela maupun secara terpaksa harus angkat kaki dari istana itulah penomena yang terformat efek PPKM bermuara Pertemuan Pembahasan Kapan Mundur efek #sila1!? sila lain sempoyongan semua https://t.co/VACYBVHg0D</t>
  </si>
  <si>
    <t>Ketika mencuat Missi tak percaya rela maupun secara terpaksa harus angkat kaki dari istana itulah penomena yang terformat efek PPKM bermuara Pertemuan Pembahasan Kapan Mundur efek !? sila lain sempoyongan semua</t>
  </si>
  <si>
    <t>Presiden @jokowi : "Saya juga minta kepada seluruh gubernur, bupati, dan wali kota baik yang berada di Pulau Jawa dan Pulau Bali maupun di luar Pulau Jawa, semuanya untuk terus turun ke bawah, mengecek lapangan &amp;amp; kesediaan alkes." #AyoVaksin #ppkm #6M
 https://t.co/ENGJUFY7ll</t>
  </si>
  <si>
    <t>Presiden : "Saya juga minta kepada seluruh gubernur, bupati, dan wali kota baik yang berada di Pulau Jawa dan Pulau Bali maupun di luar Pulau Jawa, semuanya untuk terus turun ke bawah, mengecek lapangan &amp;amp; kesediaan alkes." ://</t>
  </si>
  <si>
    <t>@tempodotco Pernyataan blunder lagi...ngapain ada ppkm kalau tutup perbatasan gak ada..</t>
  </si>
  <si>
    <t>Pernyataan blunder lagi...ngapain ada ppkm kalau tutup perbatasan gak ada..</t>
  </si>
  <si>
    <t>@PRFMnews min ari rute Damri dr Cibiru/Cicaheum ke arah Cibereum teh rute PPKM kemana aja?</t>
  </si>
  <si>
    <t>min ari rute Damri dr Cibiru/Cicaheum ke arah Cibereum teh rute PPKM kemana aja?</t>
  </si>
  <si>
    <t>@FerdinandHaean3 rakyat di ppkm wna bebas masuk koplak lu... npa li ngk himbau aja sama pemerintah tuk tutup bandara dan wna masuk Indonesia..... ujung2 nya masjid di tutup.....sungguh mengundang laknat...</t>
  </si>
  <si>
    <t>rakyat di ppkm wna bebas masuk koplak lu... npa li ngk himbau aja sama pemerintah tuk tutup bandara dan wna masuk Indonesia..... ujung2 nya masjid di tutup.....sungguh mengundang laknat...</t>
  </si>
  <si>
    <t>@detikcom PPKM= Pak Pinokio Kerjanya Menipu</t>
  </si>
  <si>
    <t>PPKM= Pak Pinokio Kerjanya Menipu</t>
  </si>
  <si>
    <t>@InSrikandi_____ @P4sop4ti2323 @fahiraidris @RamliRizal @fadlizon @msaid_didu @nugraha_agusti @Sebastian_1702g @faisal555 @StalistS @yudi_bhakti Pemimpin Penuh Kebijakan Mendua (PPKM) ini sdh Waktunya di Akhiri krna stiap Kebijakan yg Berkaitan dgn Pandemi Covid 19 slalu Menekan Rakyat Sendiri tapi bebaskan TKA China Tetap Masuk hingga di Anggap Tak Mampu Berlaku Adil.
 #BapakPresidenMenyerahlah
 #BapakPresidenMenyerahlah</t>
  </si>
  <si>
    <t>Pemimpin Penuh Kebijakan Mendua (PPKM) ini sdh Waktunya di Akhiri krna stiap Kebijakan yg Berkaitan dgn Pandemi Covid slalu Menekan Rakyat Sendiri tapi bebaskan TKA China Tetap Masuk hingga di Anggap Tak Mampu Berlaku Adil.</t>
  </si>
  <si>
    <t>@detikcom PPKM = Plonga Plongo Kapan Mundur</t>
  </si>
  <si>
    <t>PPKM = Plonga Plongo Kapan Mundur</t>
  </si>
  <si>
    <t>PPKM Atasi Covid
 Dukung PON XX ditanah Papua
 https://t.co/9jS6GUgefl</t>
  </si>
  <si>
    <t>PPKM Atasi CovidDukung PON XX ditanah Papua</t>
  </si>
  <si>
    <t>ppkm = pengen peluk kamu mas</t>
  </si>
  <si>
    <t>PPKM pagi pagi kangen mark https://t.co/SJrzzIVbpI</t>
  </si>
  <si>
    <t>PPKM pagi pagi kangen mark</t>
  </si>
  <si>
    <t>Siapun anak bekasi yang liat ini, jalan yang aman menuju jakarta (duren sawit) via motor lewat mana ya??? Pleasee bgt bukannya mau melanggar ppkm, tapi ini penting bgt gue harus keluar😭</t>
  </si>
  <si>
    <t>Siapun anak bekasi yang liat ini, jalan yang aman menuju jakarta (duren sawit) via motor lewat mana ya??? Pleasee bgt bukannya mau melanggar ppkm, tapi ini penting bgt gue harus keluar</t>
  </si>
  <si>
    <t>jika tdk ada keadilan bagi rakyat, biarlah tdk ada kedamaian bagi pemerintah
 Imbas PPKM Darurat, PA 212 Salahkan Menag “Haji Dibatalkan Sekarang Sholat Idul Adha Ditiadakan” https://t.co/FswurJyfsn
 #MundurAjaPakde
 #MundurAjaPakde</t>
  </si>
  <si>
    <t>jika tdk ada keadilan bagi rakyat, biarlah tdk ada kedamaian bagi pemerintahImbas PPKM Darurat, PA Salahkan Menag Haji Dibatalkan Sekarang Sholat Idul Adha Ditiadakan</t>
  </si>
  <si>
    <t>Sinergitas Banser Blora bersama Polres Blora dalam Rangka penerapan PPKM Darurat, jalan protokol jam 20.00 wib penerangan jalan di off kan. 
 #ansorblora #banserblora #ansorjateng #banserjateng #KitaIniSama #ansorbanserblora #ppkmdarurat #polresblora #satlantaspolresblora https://t.co/pDpSZCdSPh</t>
  </si>
  <si>
    <t>Sinergitas Banser Blora bersama Polres Blora dalam Rangka penerapan PPKM Darurat, jalan protokol jam wib penerangan jalan di off kan.</t>
  </si>
  <si>
    <t>@ciyennnn Yuk, mumpung lagi PPKM</t>
  </si>
  <si>
    <t>Yuk, mumpung lagi PPKM</t>
  </si>
  <si>
    <t>Kalo akses kota ditutup, trus distribusi barang dari perusahaan/pabrik bgmn? Gabisa dong, kan dikunci total.. akhirnya molor, nunggu ppkm selesai. Produktivitasnya terhambat dong. Bayangkan banyaknya kerugiannya</t>
  </si>
  <si>
    <t>Hidup bukan tentang siapa yang berbuat baik,
 Namun tentang siapa yang bisa menyikapi perbuatan buruk dengan fikiran positif.
 ~Selamat pagi PPKM day 6</t>
  </si>
  <si>
    <t>Hidup bukan tentang siapa yang berbuat baik,Namun tentang siapa yang bisa menyikapi perbuatan buruk dengan fikiran positif.~Selamat pagi PPKM day</t>
  </si>
  <si>
    <t>@forkji88 Yoklah abis ppkm!!!</t>
  </si>
  <si>
    <t>Yoklah abis ppkm!!!</t>
  </si>
  <si>
    <t>Lg ppkm yg kantoran mah wfh dpt gaji, yg sehari2nya jualan? Ga boleh jualan, nekat, didenda 5 juta. MASIH NYURUH MASYARAKAT NYUMBANG? LUAR BIASA
 kalian aj nyumbang. https://t.co/EXwfyl3I28</t>
  </si>
  <si>
    <t>Lg ppkm yg kantoran mah wfh dpt gaji, yg sehari2nya jualan? Ga boleh jualan, nekat, didenda juta. MASIH NYURUH MASYARAKAT NYUMBANG? LUAR BIASAkalian aj nyumbang.</t>
  </si>
  <si>
    <t>@Mels1718 Klo tiba2 keluar keputusan PPKM, berarti semua online pulang lah?</t>
  </si>
  <si>
    <t>Klo tiba2 keluar keputusan PPKM, berarti semua online pulang lah?</t>
  </si>
  <si>
    <t>PPKM Darurat Efektifkah?@blogdokter @drpriono1 @LaporCovid @aik_arif @septian @ProfesorZubairi @DokterAri @sociotalker @ferdiriva @bdm2502 https://t.co/MfhERMFOGp</t>
  </si>
  <si>
    <t>PPKM Darurat Efektifkah?</t>
  </si>
  <si>
    <t>Padang akhirnya ppkm juga..
 Baguslah mengingat angka cvd lagi naik jg disini, plus masyarakatnya yg buaandeeeel minta ampun 😣
 Yuk kalo ga penting2 banget atau terpaksa stay at home aja yaa dan tetap jalankan prokes 🙏🏻</t>
  </si>
  <si>
    <t>Padang akhirnya ppkm juga..Baguslah mengingat angka cvd lagi naik jg disini, plus masyarakatnya yg buaandeeeel minta ampun Yuk kalo ga penting2 banget atau terpaksa stay at home aja yaa dan tetap jalankan prokes</t>
  </si>
  <si>
    <t>@Prambors #DGITM PPKM versi gw itu Pengen Pergi Kemanapun Makamu</t>
  </si>
  <si>
    <t>PPKM versi gw itu Pengen Pergi Kemanapun Makamu</t>
  </si>
  <si>
    <t>yang masih minta uang sama bapak ibu nya mana paham dampak ppkm ..</t>
  </si>
  <si>
    <t>Mulai dari artikel gejala batuk pilek COVID-19 pada anak hingga Anies mengamuk karena ibu hamil masih ke kantor saat PPKM darurat jadi yang terpopuler, Bunda. https://t.co/mfS7ukMId3</t>
  </si>
  <si>
    <t>Mulai dari artikel gejala batuk pilek COVID-19 pada anak hingga Anies mengamuk karena ibu hamil masih ke kantor saat PPKM darurat jadi yang terpopuler, Bunda.</t>
  </si>
  <si>
    <t>@Prambors PPKM = Pagi Pagi Kena Maki
 Sekian</t>
  </si>
  <si>
    <t>PPKM = Pagi Pagi Kena MakiSekian</t>
  </si>
  <si>
    <t>Harusnya para komisaris BUMN dipotong penghasilannya 50% selama 6-10bulan kedepan untuk disumbangkan ke NAKES
 Bukan malah masyarakat yg lg susah karna pandemi ditambah lagi PPKM ini,, https://t.co/Yy57ZeuCW2</t>
  </si>
  <si>
    <t>Harusnya para komisaris BUMN dipotong penghasilannya % selama $NUMBER$bulan kedepan untuk disumbangkan ke NAKESBukan malah masyarakat yg lg susah karna pandemi ditambah lagi PPKM ini,,</t>
  </si>
  <si>
    <t>- Kejahatan PPKM trbongkar, luhut dijemput !
 -Turunkan jokowi sekarang juga, lebih cepat lebih baik!
 - Tumbangkan jokowi, selamatkan Indonesia !
 - Jokowi gagal total !!! Sah diseret paksa KELUAR ISTANA !
 - Mahasiswa n rakyat akan seret paksa KELUAR ISTANA
 https://t.co/AgZiMnaK3b</t>
  </si>
  <si>
    <t>- Kejahatan PPKM trbongkar, luhut dijemput !-Turunkan jokowi sekarang juga, lebih cepat lebih baik!- Tumbangkan jokowi, selamatkan Indonesia !- Jokowi gagal total !!! Sah diseret paksa KELUAR ISTANA !- Mahasiswa n rakyat akan seret paksa KELUAR ISTANA</t>
  </si>
  <si>
    <t>@conspiracii beres ppkm</t>
  </si>
  <si>
    <t>beres ppkm</t>
  </si>
  <si>
    <t>@dsyrlKim_ @taro_milktea_ Ayolaahhh gaskeeeuunnn 
 Semoga pas albumnya sampe ppkm udah selesaii 😌</t>
  </si>
  <si>
    <t>Ayolaahhh gaskeeeuunnn Semoga pas albumnya sampe ppkm udah selesaii</t>
  </si>
  <si>
    <t>Ppkm {pelan pelan ku merelakan mu} :( https://t.co/sD9anJ2zP5</t>
  </si>
  <si>
    <t>Ppkm {pelan pelan ku merelakan mu}</t>
  </si>
  <si>
    <t>#TolongPatuhiAturanPPKM
 Sudah waktunya negara tegakjan hukum bagi pelanggar PPKM Darurat. PPKM daeurat dbuat utk tekan lonjakan kopit. Bantu para nakes dengan patuhi prokes dn ikut vaksin. Yuk bersama kita bs lewati krisis ini https://t.co/uUbnqE8qvx</t>
  </si>
  <si>
    <t>waktunya negara tegakjan hukum bagi pelanggar PPKM Darurat. PPKM daeurat dbuat utk tekan lonjakan kopit. Bantu para nakes dengan patuhi prokes dn ikut vaksin. Yuk bersama kita bs lewati krisis ini</t>
  </si>
  <si>
    <t>#TolongPatuhiAturanPPKM Darurat, dan gw yakin dgn PPKM darurat lonjakan pnularan bs dtekan. Atuhi saja prokesny! https://t.co/0OjrMIsuYA</t>
  </si>
  <si>
    <t>Darurat, dan gw yakin dgn PPKM darurat lonjakan pnularan bs dtekan. Atuhi saja prokesny!</t>
  </si>
  <si>
    <t>@kompascom Nasib rakyat kecil sllu jadi korban kebijakan pemerintah. Mereka cuma bisa bikin peraturan tapu tdk tau aturan. Para pegawai dan pejabat enak mau 1 thn juga PPKM gaji mrka ttp ngalir, tukang bubur 3 hari gak jualan bisa tdk makan, apalagi konvensasi dri pmrnth tdk mmadai &amp;amp; merata</t>
  </si>
  <si>
    <t>Nasib rakyat kecil sllu jadi korban kebijakan pemerintah. Mereka cuma bisa bikin peraturan tapu tdk tau aturan. Para pegawai dan pejabat enak mau thn juga PPKM gaji mrka ttp ngalir, tukang bubur hari gak jualan bisa tdk makan, apalagi konvensasi dri pmrnth tdk mmadai &amp;amp; merata</t>
  </si>
  <si>
    <t>@FirstMediaCares @FirstMediaWorld ini firstmedia BODOHNYA kebangetan dan nyusahin ya! Udah tau ppkm darurat..disuruh wfh semua, pake bikin jadwal maintenance di HARI KERJA DAN SEHARIAN. Ganggu jam kerja! Perlu ditindak sudah menyusahkan. Cc: @kemkominfo @PlateJohnny @jokowi https://t.co/1hOnC10C4r</t>
  </si>
  <si>
    <t>ini firstmedia BODOHNYA kebangetan dan nyusahin ya! Udah tau ppkm darurat..disuruh wfh semua, pake bikin jadwal maintenance di HARI KERJA DAN SEHARIAN. Ganggu jam kerja! Perlu ditindak sudah menyusahkan. Cc:</t>
  </si>
  <si>
    <t>Aku gphm knp sasaran ppkm jadinya urusan lalu lintas? Bukannya dalam mencegah penularan covid19 itu lebih ke interaksi antar-manusianya yah?? Apa iya interaksi antar-kendaraan juga bisa memicu penularan covid??? Varian covid apa lagi ini?</t>
  </si>
  <si>
    <t>Terima kasih rekan2 atas partisipasinya. Alhamdulillah donasi dari rekan2 sudah kami realisasikan untuk pembelian sarana pendampingan pendidikan anak. Mengingat kondisi saat ini dalam masa PPKM, kegiatan pendampingan ditunda sementara sampai tanggal 20 juli 2021. #SalingJaga https://t.co/ibUEnkMWQb https://t.co/OtiYlxYr3D</t>
  </si>
  <si>
    <t>Terima kasih rekan2 atas partisipasinya. Alhamdulillah donasi dari rekan2 sudah kami realisasikan untuk pembelian sarana pendampingan pendidikan anak. Mengingat kondisi saat ini dalam masa PPKM, kegiatan pendampingan ditunda sementara sampai tanggal juli .</t>
  </si>
  <si>
    <t>@FOOD_FESS Udah dari jam 3 buka nya, tapi gatau kalo ppkm gini</t>
  </si>
  <si>
    <t>Udah dari jam buka nya, tapi gatau kalo ppkm gini</t>
  </si>
  <si>
    <t>@abang_ide PPKM Darurat bang?</t>
  </si>
  <si>
    <t>PPKM Darurat bang?</t>
  </si>
  <si>
    <t>saat ini ga ada Dilan yg ngomong, "covid itu beraat.. biar aku saja yg covid..."
 smua kita kena imbas pandemi inilah saatnya kita bersama2 bergandeng tngn melawan covid
 met pagi, ttp sehat taat PPKM
 ~utkmu lg berjuang disana ttp kuat ya sekuat rindu kita ❤
 nGopi ah 😜☕🇮🇩 https://t.co/k7o0GfFTXO</t>
  </si>
  <si>
    <t>saat ini ga ada Dilan yg ngomong, "covid itu beraat.. biar aku saja yg covid..."smua kita kena imbas pandemi inilah saatnya kita bersama2 bergandeng tngn melawan covidmet pagi, ttp sehat taat PPKM~utkmu lg berjuang disana ttp kuat ya sekuat rindu kita nGopi ah</t>
  </si>
  <si>
    <t>@otakotakkk Berarti udah selesai PPKM nya qi wkwkw</t>
  </si>
  <si>
    <t>Berarti udah selesai PPKM nya qi wkwkw</t>
  </si>
  <si>
    <t>Kebijakan PPKM Darurat dinilai untuk mengurangi kerumunan yang memungkinkan penyebaran Covid-19 secara masif. Terlebih lagi, saat ini tengah berkembang Covid-19 varian delta yang diketahui penyebarannya jauh lebih mudah.
 #TolongPatuhiAturanPPKM https://t.co/z0OJB9zWXe</t>
  </si>
  <si>
    <t>Kebijakan PPKM Darurat dinilai untuk mengurangi kerumunan yang memungkinkan penyebaran Covid-19 secara masif. Terlebih lagi, saat ini tengah berkembangCovid-19varian delta yang diketahui penyebarannya jauh lebih mudah.</t>
  </si>
  <si>
    <t>@MediaKomando Ukuran PPKM berhasil lalulintas lancar.. Ckckcckck</t>
  </si>
  <si>
    <t>Ukuran PPKM berhasil lalulintas lancar.. Ckckcckck</t>
  </si>
  <si>
    <t>madura sebelum ada ppkm kasus covid nya dikit pas ada ppkm jd meningkat, aneh https://t.co/aRMvyDcp5e</t>
  </si>
  <si>
    <t>madura sebelum ada ppkm kasus covid nya dikit pas ada ppkm jd meningkat, aneh</t>
  </si>
  <si>
    <t>Tidak susah untuk Patuh pada kebijakan Pemerintah PPKM Darurat. Hal ini juga beanfaat, dan bisa menyelamatkan jutaan nyawa manusia, agar tidak tertular Varian Bari Cobie 19.
 #TolongPatuhiAturanPPKM https://t.co/rmZ9ET8Pfn</t>
  </si>
  <si>
    <t>Tidak susah untuk Patuh pada kebijakan Pemerintah PPKM Darurat. Hal ini juga beanfaat, dan bisa menyelamatkan jutaan nyawa manusia, agar tidak tertular Varian Bari Cobie .</t>
  </si>
  <si>
    <t>Pelan Pelan Kok Masuknya (PPKM)</t>
  </si>
  <si>
    <t>@FPolitik @jokowi Dan banyak hal semacam itu, terjebak PPKM DARURAT, tanpa bs apa apa</t>
  </si>
  <si>
    <t>Dan banyak hal semacam itu, terjebak PPKM DARURAT, tanpa bs apa apa</t>
  </si>
  <si>
    <t>PPKM Darurat cara terbaik menghentikan penyebaran COVID-19.
 Kebijakan pemerintah terkait PPKM Darurat sudah sangat tepat.
 #TolongPatuhiAturanPPKM https://t.co/oIgldz1vsc</t>
  </si>
  <si>
    <t>PPKM Darurat cara terbaik menghentikan penyebaran COVID-19.Kebijakan pemerintah terkait PPKM Darurat sudah sangat tepat.</t>
  </si>
  <si>
    <t>Mari bersama kita cegah penularan Covid-19 dengan patuhi kebijakan PPKM Darurat.
 Kita harus waspada terhadap penyebaran COVID-19, akan tetapi dengan tetap menjalankan ProKes maka kita akan terbebas dari Covid-19.
 #TolongPatuhiAturanPPKM https://t.co/UaTBeAf0KL</t>
  </si>
  <si>
    <t>Mari bersama kita cegah penularan Covid-19 dengan patuhi kebijakan PPKM Darurat.Kita harus waspada terhadap penyebaran COVID-19, akan tetapi dengan tetap menjalankan ProKes maka kita akan terbebas dari Covid-19.</t>
  </si>
  <si>
    <t>@Ichaayureal0806 Main Pijat Pijatan .....biar kalau Uda selesai PPKM kan Uda GEDE .....Ichaayu</t>
  </si>
  <si>
    <t>Main Pijat Pijatan .....biar kalau Uda selesai PPKM kan Uda GEDE .....Ichaayu</t>
  </si>
  <si>
    <t>#TolongPatuhiAturanPPKM
 https://t.co/sWjKdC1b2t
 Penerapan PPKM Darurat yang diatur dalam Perwali nomor 41 tahun 2021 tentang Pembatasan Kegiatan Masyarakat harus ditaati oleh seluruh masyarakat kota semarang untuk menekan penyebaran Covid-19 .
 @jokowi lawan pandemi</t>
  </si>
  <si>
    <t>:// PPKM Darurat yang diatur dalam Perwali nomor tahun tentang Pembatasan Kegiatan Masyarakat harus ditaati oleh seluruh masyarakat kota semarang untuk menekan penyebaran Covid-19. lawan pandemi</t>
  </si>
  <si>
    <t>keberhasilan PPKM darurat dalam menekan laju penyebaran covid-19
 #PPKM
 #PPKMDarurat
 #BersatuLawanCovid19
 #NegeriPulihDenganVaksin
 #LawanCOVID19
 #Vaksin
 #NewNormal https://t.co/0dHvo2Wye3</t>
  </si>
  <si>
    <t>keberhasilan PPKM darurat dalam menekan laju penyebaran covid-19</t>
  </si>
  <si>
    <t>PPKM DARURAT 
 TANGGAL 3 - 20 Juli 2021
 - Penyekatan di pintu tol madyopuro / karanglo.
 - Melakukan pembatasan mobilitas kegiatan masyarakat mulai pukul 20. 00 Wib dan memberlakukan jam malam.
 - operasi yustisi dilakukan pada pagi, siang, dan malam hari. https://t.co/VcrgA01QrK</t>
  </si>
  <si>
    <t>PPKM DARURAT TANGGAL - Juli - Penyekatan di pintu tol madyopuro / karanglo.- Melakukan pembatasan mobilitas kegiatan masyarakat mulai pukul . Wib dan memberlakukan jam malam.- operasi yustisi dilakukan pada pagi, siang, dan malam hari.</t>
  </si>
  <si>
    <t>Di situasi seperti ini dan di saat PPKM Darurat baiknya kita bersatu untuk saling membantu #BersamaUntukWarga https://t.co/dyvbhOsX68</t>
  </si>
  <si>
    <t>Di situasi seperti ini dan di saat PPKM Darurat baiknya kita bersatu untuk saling membantu</t>
  </si>
  <si>
    <t>selamat pagi semuanya 😊🙏
 jaga sehatmu, keluargamu &amp;amp; orang2 terkasih dari ganasnya covid saat ini, patuhi prokes &amp;amp; ppkm,
 berdiam diri dirumah saat ini lebih baik, sesalmu nanti tiada arti. 🙏
 semoga bangsa 🇮🇩 &amp;amp; kita semua diberikan sehat, selamat &amp;amp; kebaikan, Aamiin🤲🤲</t>
  </si>
  <si>
    <t>selamat pagi semuanya jaga sehatmu, keluargamu &amp;amp; orang2 terkasih dari ganasnya covid saat ini, patuhi prokes &amp;amp; ppkm,berdiam diri dirumah saat ini lebih baik, sesalmu nanti tiada arti. semoga bangsa &amp;amp; kita semua diberikan sehat, selamat &amp;amp; kebaikan, Aamiin</t>
  </si>
  <si>
    <t>Kebijakan pemerintah untuk memberlakukan PPKM Darurat adalah ikhtiar terbaik menghentikan penyebaran Covid-19
 #TolongPatuhiAturanPPKM
 manfaatkan dengan cari info daftar dan ikuti vaksinasi gratis sekitar tempat tinggal kita.
 dan berdoa pandemi pasti berakhir
 🙏 https://t.co/fXETSXDGR5</t>
  </si>
  <si>
    <t>Kebijakan pemerintah untuk memberlakukan PPKM Darurat adalah ikhtiar terbaik menghentikan penyebaran Covid-19 dengan cari info daftar dan ikuti vaksinasi gratis sekitar tempat tinggal kita.dan berdoa pandemi pasti berakhir</t>
  </si>
  <si>
    <t>#TolongPatuhiAturanPPKM
 Tuips, yuk kita patuhi aturan PPKM Darurat agar kita semua terlindung dari Virus KOVID-19. Langkah kecil yg kita lakukn akn berarti besar krn ikut andil dlm menghambat penyebaran virus. Kalau kita selalu disiplin pasti resiko tertular juga semakin kecil. https://t.co/PUHtTtU9HZ</t>
  </si>
  <si>
    <t>, yuk kita patuhi aturan PPKM Darurat agar kita semua terlindung dari Virus KOVID-19. Langkah kecil yg kita lakukn akn berarti besar krn ikut andil dlm menghambat penyebaran virus. Kalau kita selalu disiplin pasti resiko tertular juga semakin kecil.</t>
  </si>
  <si>
    <t>Kami meminta kepada Gubernur untuk menyampaikan imbauan kepada pengusaha/pemimpin perusahaan agar mengoptimalkan PPKM Rencana Keberlangsungan Usaha dalam Menghadapi Pandemi COVID-19 
 #TolongPatuhiAturanPPKM https://t.co/8F1edwaInY</t>
  </si>
  <si>
    <t>Kami meminta kepada Gubernur untuk menyampaikan imbauan kepada pengusaha/pemimpin perusahaan agar mengoptimalkan PPKM Rencana Keberlangsungan Usaha dalam Menghadapi Pandemi COVID-19</t>
  </si>
  <si>
    <t>Presiden Joko Widodo (Jokowi) telah menetapkan PPKM Darurat khususnya di pulau Jawa dan Bali. 
 Kebijakan ini diambil sebagai salah satu upaya memutus rantai penyebaran Covid-19 yang terus meningkat.
 #TolongPatuhiAturanPPKM
 demi negara
 demi bangsa
 demi nyawa orang2 tercinta 
 🙏 https://t.co/KcT4juThPv</t>
  </si>
  <si>
    <t>Presiden Joko Widodo (Jokowi) telah menetapkan PPKM Darurat khususnya di pulau Jawa dan Bali. Kebijakan ini diambil sebagai salah satu upaya memutus rantai penyebaran Covid-19 yang terus meningkat. negarademi bangsademi nyawa orang2 tercinta</t>
  </si>
  <si>
    <t>Sebagai warga negara yang baik kita harus mendukung kebijakan pemerintah tentang PPKM Darurat karena kita sama-sama tidak mau korban sakit dan meninggal dunia gara-gara COVID-19 ini terus bertambah.
 #TolongPatuhiAturanPPKM https://t.co/4jMvDrOawi</t>
  </si>
  <si>
    <t>Sebagai warga negara yang baik kita harus mendukung kebijakan pemerintah tentang PPKM Darurat karena kita sama-sama tidak mau korban sakit dan meninggal dunia gara-gara COVID-19 ini terus bertambah.</t>
  </si>
  <si>
    <t>Ini cara terbaik, kita sebagai masyarakat tinggal mematuhi seluruh arahan pemerintah agar menjaga kesehatan dengan protokol kesehatan yg sudah disampaikan oleh pemerintah.
 Jangan bawel ya.., PPKM ini cara terbaik welawan Cvd19. Sama2 kita lawan kor0na ok.👍🏽#TolongPatuhiAturanPPKM https://t.co/euSIjju9QN</t>
  </si>
  <si>
    <t>Ini cara terbaik, kita sebagai masyarakat tinggal mematuhi seluruh arahan pemerintah agar menjaga kesehatan dengan protokol kesehatan yg sudah disampaikan oleh pemerintah.Jangan bawel ya.., PPKM ini cara terbaik welawan Cvd19. Sama2 kita lawan kor0na ok.</t>
  </si>
  <si>
    <t>PPKM Darurat merupakan salah satu upaya tepat untuk menekan penyebaran virus COVID-19. Terlebih saat ini, kasus COVID-19 kian melonjak setiap harinya.
 #TolongPatuhiAturanPPKM https://t.co/UoS5hfaKH7</t>
  </si>
  <si>
    <t>PPKM Darurat merupakan salah satu upaya tepat untuk menekan penyebaran virus COVID-19. Terlebih saat ini, kasus COVID-19 kian melonjak setiap harinya.</t>
  </si>
  <si>
    <t>#BersamaUntukWarga 
 Saling bantu ditengah Pandemi n PPKM Darurat! https://t.co/HWHO73hab7</t>
  </si>
  <si>
    <t>Saling bantu ditengah Pandemi n PPKM Darurat!</t>
  </si>
  <si>
    <t>Mari bersama kita cegah penularan Covid-19 dengan patuhi kebijakan PPKM Darurat
 Masyarakat harus taat dan patuh terhadap protokol kesehatan, serta berbagai macam kebijakan dan aturan dari pemerintah agar Indonesia segera bebas dari Covid-19.
 #TolongPatuhiAturanPPKM https://t.co/OEYFyP6k2C</t>
  </si>
  <si>
    <t>Mari bersama kita cegah penularan Covid-19 dengan patuhi kebijakan PPKM DaruratMasyarakat harus taat dan patuh terhadap protokol kesehatan, serta berbagai macam kebijakan dan aturan dari pemerintah agar Indonesia segera bebas dari Covid-19.</t>
  </si>
  <si>
    <t>@wong_ndeso333 @DivHumas_Polri @CCICPolri itu video kapan pak? itu video lama. gak ada hubungannya ama PPKM.</t>
  </si>
  <si>
    <t>itu video kapan pak? itu video lama. gak ada hubungannya ama PPKM.</t>
  </si>
  <si>
    <t>@DkiSantoso @jokowi Utamakan ppkm dan prokes..</t>
  </si>
  <si>
    <t>Utamakan ppkm dan prokes..</t>
  </si>
  <si>
    <t>@FirzaHusain tapi ini kasus apa? itu polisi juga ga pakai masker. Kayanya bukan melanggar PPKM sepertinya.</t>
  </si>
  <si>
    <t>tapi ini kasus apa? itu polisi juga ga pakai masker. Kayanya bukan melanggar PPKM sepertinya.</t>
  </si>
  <si>
    <t>@jokowi Uang sudah habis PPKM masih terus berlangsung kabarnya sampe akhir bulan Juli buku sekolah anak harus dibeli makan harus tetap makan kerjaan udah gk kerja hadeuuh ya Allah gini amat ya hidup 😔</t>
  </si>
  <si>
    <t>Uang sudah habis PPKM masih terus berlangsung kabarnya sampe akhir bulan Juli buku sekolah anak harus dibeli makan harus tetap makan kerjaan udah gk kerja hadeuuh ya Allah gini amat ya hidup</t>
  </si>
  <si>
    <t>@witaoctvia @NarasiNewsroom @MataNajwa Yg sakit &amp;amp; meninggal selama PPKM mayoritas pasti tertular sebelum PPKM
 Dgn adanya PPKM diharapkan ada penurunan jumlah penularan, efeknya ya baru kliatan bbrp minggu setelah PPKM.</t>
  </si>
  <si>
    <t>Yg sakit &amp;amp; meninggal selama PPKM mayoritas pasti tertular sebelum PPKMDgn adanya PPKM diharapkan ada penurunan jumlah penularan, efeknya ya baru kliatan bbrp minggu setelah PPKM.</t>
  </si>
  <si>
    <t>Ppkm efektif? KAGA</t>
  </si>
  <si>
    <t>@Prasety72595950 @shantysya Siapa yg lebih masuk akal berontak PPKM?
 rakyat yang diajarin becandain pandemi dengan nasi kucing?
 Atau rakyat yang sejak awal tahun minta tutup penerbangan dari cina, spy virus gak masuk?</t>
  </si>
  <si>
    <t>Siapa yg lebih masuk akal berontak PPKM?rakyat yang diajarin becandain pandemi dengan nasi kucing?Atau rakyat yang sejak awal tahun minta tutup penerbangan dari cina, spy virus gak masuk?</t>
  </si>
  <si>
    <t>Aliansi pedagang Bandung: BUNUH KAMI SEKALIANNPAK KALO ADA PPKM JILID 2 😭😭😭
 https://t.co/UZlNoP4Ynr https://t.co/PUf8UgxIIp</t>
  </si>
  <si>
    <t>Aliansi pedagang Bandung: BUNUH KAMI SEKALIANNPAK KALO ADA PPKM JILID</t>
  </si>
  <si>
    <t>@rfiqnafeedha @liradianta Waaahh nungguin nasgor toh, ini loh biar sama masmu dulu aja kalo gitu @liradianta 😂
 Kelar ppkm kalo aku ksana baru dah dari aku wkwkwk</t>
  </si>
  <si>
    <t>Waaahh nungguin nasgor toh, ini loh biar sama masmu dulu aja kalo gitu Kelar ppkm kalo aku ksana baru dah dari aku wkwkwk</t>
  </si>
  <si>
    <t>Ppkm dipercepat kek, mo jalan jalan😩</t>
  </si>
  <si>
    <t>Ppkm dipercepat kek, mo jalan jalan</t>
  </si>
  <si>
    <t>PPKM : Penyanyi Pemusik Kangen Manggung
 Throwback to one year ago in Atmosphere Bandung.
 "Seperti Yang Kau Pinta" - Chrisye https://t.co/oihuR2S9GP</t>
  </si>
  <si>
    <t>PPKM : Penyanyi Pemusik Kangen ManggungThrowback to one year ago in Atmosphere Bandung."Seperti Yang Kau Pinta" - Chrisye</t>
  </si>
  <si>
    <t>PPKM aje pade bangkrut
 rangOrang pade sewot
 gimane LOCKDOWN? https://t.co/HJ5i5GMIsI</t>
  </si>
  <si>
    <t>PPKM aje pade bangkrutrangOrang pade sewotgimane LOCKDOWN?</t>
  </si>
  <si>
    <t>@Dennysiregar7 ppkm darurat aja kasus meroket terus gmn klo ppkm biasa yg udah terbukti gagal...ya gni klo pnangann pandemi d serahkn kpd yg bukan ahlix</t>
  </si>
  <si>
    <t>ppkm darurat aja kasus meroket terus gmn klo ppkm biasa yg udah terbukti gagal...ya gni klo pnangann pandemi d serahkn kpd yg bukan ahlix</t>
  </si>
  <si>
    <t>@ucantsye siap kalo ppkm kelar wkwk</t>
  </si>
  <si>
    <t>siap kalo ppkm kelar wkwk</t>
  </si>
  <si>
    <t>@Dennysiregar7 TAHAP AWAL ini …. KOMISARIS sebentar lagi di CAPAI 
 ayo Denny KAMU BISA
 PPKM - Pelan Pelan KITA MATI</t>
  </si>
  <si>
    <t>TAHAP AWAL ini . KOMISARIS sebentar lagi di CAPAI ayo Denny KAMU BISAPPKM - Pelan Pelan KITA MATI</t>
  </si>
  <si>
    <t>Lah ini PPKM dperpanjang lg....peler dperpanjang sih enak.. lah inj PPKM ..ga bs kemana mana jadinya.</t>
  </si>
  <si>
    <t>@aniesbaswedan Tumben foto stok lama Pak… bulan juni itu sebelum PPKM darurat bukan ?</t>
  </si>
  <si>
    <t>Tumben foto stok lama Pak bulan juni itu sebelum PPKM darurat bukan ?</t>
  </si>
  <si>
    <t>PSBB blm bsa slsaikan wabah,muncul PPKM,konspnya sma aj,jdi kita tuh kya mnghrpkan different result dgn cra yg sma,korbannya ursan perut lgi,mngkn yg pnya monthly payroll gatrlalu kna dampk,tpi utk pdagang kya sya ngeri dah,kya ditawarin "mti krn wabah atau mti krna klparan?" 😂</t>
  </si>
  <si>
    <t>PSBB blm bsa slsaikan wabah,muncul PPKM,konspnya sma aj,jdi kita tuh kya mnghrpkan different result dgn cra yg sma,korbannya ursan perut lgi,mngkn yg pnya monthly payroll gatrlalu kna dampk,tpi utk pdagang kya sya ngeri dah,kya ditawarin "mti krn wabah atau mti krna klparan?"</t>
  </si>
  <si>
    <t>@SenjaPergi Saat ini apabila ingin melakukan perjalanan KA Jarak Jauh pada masa Pemberlakuan Pembatasan Kegiatan Masyarakat (PPKM) darurat tanggal 5-20 Juli 2021, maka tetap wajib menunjukkan kartu vaksin pertama. Namun, khusus bagi calon penumpang yang tidak diizinkan |1</t>
  </si>
  <si>
    <t>Saat ini apabila ingin melakukan perjalanan KA Jarak Jauh pada masa Pemberlakuan Pembatasan Kegiatan Masyarakat (PPKM) darurat tanggal $NUMBER$ Juli , maka tetap wajib menunjukkan kartu vaksin pertama. Namun, khusus bagi calon penumpang yang tidak diizinkan |1</t>
  </si>
  <si>
    <t>@winesrnty Gue menunggu apdetan drakor,id 😂 tp telat biasanya.
 Klo libur 3 mingguan kenapa dah lama amat kek ppkm 😭</t>
  </si>
  <si>
    <t>Gue menunggu apdetan drakor,id tp telat biasanya.Klo libur mingguan kenapa dah lama amat kek ppkm</t>
  </si>
  <si>
    <t>@Passhijab1 Ia heheh ppkm dperpanjanglg</t>
  </si>
  <si>
    <t>Ia heheh ppkm dperpanjanglg</t>
  </si>
  <si>
    <t>Pas PPKM kaya gini malah pengen Burung Goreng Siantar</t>
  </si>
  <si>
    <t>ppkm ni sebenernya mindahin macet kejalan yg lebih kecil aja 🙄</t>
  </si>
  <si>
    <t>ppkm ni sebenernya mindahin macet kejalan yg lebih kecil aja</t>
  </si>
  <si>
    <t>PPKM diperpanjang, tolong lah gua pengen ngerasain ke dufan asli belom pernah</t>
  </si>
  <si>
    <t>InsyaaAllah setelah keluar dari tahanan dagangannya makin laku keras.. boleh namanya ganti jadi Asep PPKM 🤭 https://t.co/eK2pBrr3Zm</t>
  </si>
  <si>
    <t>InsyaaAllah setelah keluar dari tahanan dagangannya makin laku keras.. boleh namanya ganti jadi Asep PPKM</t>
  </si>
  <si>
    <t>PPKM diperpanjang, katanya biar ga ke jangkit imun harus kuat, biar imun kuat harus bahagia. Trus apa kabar sama orng orng yg kena PHK dirumah, jualan dibubarin mereka stress, bingung,pusing bertahan hidup ga bahagia. oalah pantes bnyk yg positif.</t>
  </si>
  <si>
    <t>@alterxjogja Gimana ppkm ga diperpanjang isi otaknya begini...??</t>
  </si>
  <si>
    <t>Gimana ppkm ga diperpanjang isi otaknya begini...??</t>
  </si>
  <si>
    <t>ppkm kabupaten malang</t>
  </si>
  <si>
    <t>Bangun pagi dapet kabar 3 jobs cancel dulu karena ppkm, tetap bersyukur otw pengadaian pakai masker</t>
  </si>
  <si>
    <t>Bangun pagi dapet kabar jobs cancel dulu karena ppkm, tetap bersyukur otw pengadaian pakai masker</t>
  </si>
  <si>
    <t>@CommuterLine Halo min, update kebijakan KAI Commuter selama ppkm yang diperpanjang ini dong, apakah masih sama dengan kebijakan sebelumnya?</t>
  </si>
  <si>
    <t>Halo min, update kebijakan KAI Commuter selama ppkm yang diperpanjang ini dong, apakah masih sama dengan kebijakan sebelumnya?</t>
  </si>
  <si>
    <t>@TenguLawaxx Kwkwkwkww sama persis keadaan nya ama PPKM - PUSING PALA KAMI MUTER2 🤣</t>
  </si>
  <si>
    <t>Kwkwkwkww sama persis keadaan nya ama PPKM - PUSING PALA KAMI MUTER2</t>
  </si>
  <si>
    <t>@alterxjogja Lagi ppkm</t>
  </si>
  <si>
    <t>Lagi ppkm</t>
  </si>
  <si>
    <t>Saat rakyat dilema dengan kebijakan PPKM, pejabat asyik nonton sinetron ??
 @dakwah_wonosobo https://t.co/XpcLWOWb7a</t>
  </si>
  <si>
    <t>Saat rakyat dilema dengan kebijakan PPKM, pejabat asyik nonton sinetron ??</t>
  </si>
  <si>
    <t>Gimana PPKM nya? Ekonomi anda masih baik baik saja?
 Lalu, infonya PPKM mau di perpanjang 6 minggu lagi.
 Kesehatan kami, engkau perhatikan
 Tolong ekonomi kami, juga solusi dicarikan.</t>
  </si>
  <si>
    <t>Gimana PPKM nya? Ekonomi anda masih baik baik saja?Lalu, infonya PPKM mau di perpanjang minggu lagi.Kesehatan kami, engkau perhatikanTolong ekonomi kami, juga solusi dicarikan.</t>
  </si>
  <si>
    <t>lu dukung ppkm karna lu kaya harta jing, sesetresnya lu diem dirumah lu masih bisa pilih lu mau makan apa sat! kalo ga suka sama orang yg melanggar minimal diem tot! kecuali itu orng lu kasih makan baru deh terserah lu mau tendang sampe lampung juga silahkan</t>
  </si>
  <si>
    <t>@Pai_C1 @asakusachacha Demo agar vaksin gratis, eh udah dikasih gratis malah gak mau divaksin, tereak2 lockdown, eh baru PPKM aja udah marah2...😁</t>
  </si>
  <si>
    <t>Demo agar vaksin gratis, eh udah dikasih gratis malah gak mau divaksin, tereak2 lockdown, eh baru PPKM aja udah marah2...</t>
  </si>
  <si>
    <t>1.buka melebihi jam ppkm
 2.ditegor malah marah, kemudian lempar petugas mk pisau
 3.di tes kehamilan ga mau
 4.nyerang petugas, petugas kepancing terus mukul si ibu https://t.co/WFeeoGP6il</t>
  </si>
  <si>
    <t>.buka melebihi jam ppkm2.ditegor malah marah, kemudian lempar petugas mk pisau3.di tes kehamilan ga mau4.nyerang petugas, petugas kepancing terus mukul si ibu</t>
  </si>
  <si>
    <t>@Hilmi28 Anda menetapkan dan mebatasi mobilitas warga negara sedang anda dalam keadaan berkecukupan tapi bagaimana posisi anda di posisi yg paling sulit untuk mencukupi kebutuhan keluarga sehari-hari sangat sulit anda bayangkan itu , itulah keadaan kami yg sebnrnya ketika ppkm di brlkukan</t>
  </si>
  <si>
    <t>Anda menetapkan dan mebatasi mobilitas warga negara sedang anda dalam keadaan berkecukupan tapi bagaimana posisi anda di posisi yg paling sulit untuk mencukupi kebutuhan keluarga sehari-hari sangat sulit anda bayangkan itu , itulah keadaan kami yg sebnrnya ketika ppkm di brlkukan</t>
  </si>
  <si>
    <t>@rockygerung_rg Lebih rela bayar BuzzeRp dari pada menanggung biaya keseharian rakyat semasa ppkm</t>
  </si>
  <si>
    <t>Lebih rela bayar BuzzeRp dari pada menanggung biaya keseharian rakyat semasa ppkm</t>
  </si>
  <si>
    <t>Hadeuhhh PPKM katanya sampai akhir bulan Juli uang udah gk ada ya Allah gini amat hidup</t>
  </si>
  <si>
    <t>Bar PSBB (Pernah Sefrekuensi Berujung Bubaran) saiki malah PPKM (Pernah Perhatian Kemudian Menghilang)</t>
  </si>
  <si>
    <t>@AREAJULID ga boleh ngelarang gmn deh? sekarang lagi PPKM trs lo ngelanggar itu udh aneh bgt. kalo keluar emg lg urgent ya silakan, tp keluar cuma utk nongkrong? waduh mending di rumah deh kalo cuma sekedar main sama temen. dah mba patuhin peraturan skrg aja dulu jgn banyak tingkah kau babi</t>
  </si>
  <si>
    <t>ga boleh ngelarang gmn deh? sekarang lagi PPKM trs lo ngelanggar itu udh aneh bgt. kalo keluar emg lg urgent ya silakan, tp keluar cuma utk nongkrong? waduh mending di rumah deh kalo cuma sekedar main sama temen. dah mba patuhin peraturan skrg aja dulu jgn banyak tingkah kau babi</t>
  </si>
  <si>
    <t>@Reiza_Patters Ppkm mllu, trus wna China yg berdatangan ke Indonesia gmn..?</t>
  </si>
  <si>
    <t>Ppkm mllu, trus wna China yg berdatangan ke Indonesia gmn..?</t>
  </si>
  <si>
    <t>@QChims Nantj cobain qil setelah ppkm</t>
  </si>
  <si>
    <t>Nantj cobain qil setelah ppkm</t>
  </si>
  <si>
    <t>Dukung PPKM mikro https://t.co/YSaKWeLYC7</t>
  </si>
  <si>
    <t>Dukung PPKM mikro</t>
  </si>
  <si>
    <t>Ppkm udh jadi diperpanjang??</t>
  </si>
  <si>
    <t>@shitlicious Dulu PSBB cicilan ada penanggugan. Sekarang PPKM??? Ngojek dibatasin pergerakan nya, cicilan di gesitin. Ribut sm matel mulai banyak dimana2. Aranjing lah</t>
  </si>
  <si>
    <t>Dulu PSBB cicilan ada penanggugan. Sekarang PPKM??? Ngojek dibatasin pergerakan nya, cicilan di gesitin. Ribut sm matel mulai banyak dimana2. Aranjing lah</t>
  </si>
  <si>
    <t>@tropicanaflirt Menunggu ppkm dong kakk</t>
  </si>
  <si>
    <t>Menunggu ppkm dong kakk</t>
  </si>
  <si>
    <t>DIMATA KU..
 Kalau ada perencanaan BUSUK kemudian ORANG ASING PADA KABUR otomatis ini menanyakan ada masalah besar .,
 *PPKM di buat menyeramkan ,sadis adalah tanda ada yang BERMAIN....
 *WACANA PPKM +6 PEKAN HANYA MEMBUAT HAMBATAN 
 *Wacana DARURAT MILITER...makin kelihatan 💪</t>
  </si>
  <si>
    <t>DIMATA KU..Kalau ada perencanaan BUSUK kemudian ORANG ASING PADA KABUR otomatis ini menanyakan ada masalah besar .,*PPKM di buat menyeramkan ,sadis adalah tanda ada yang BERMAIN....*WACANA PPKM +6 PEKAN HANYA MEMBUAT HAMBATAN *Wacana DARURAT MILITER...makin kelihatan</t>
  </si>
  <si>
    <t>@alisyarief @jokowi Presiden memberikan Contoh pelanggaran Aturan PPKM yang bebas dari Hukuman. 
 Silahkan ikutin Jejaknya, jika tertangkap Tunjukkan Gambar dan Video tersebut...</t>
  </si>
  <si>
    <t>Presiden memberikan Contoh pelanggaran Aturan PPKM yang bebas dari Hukuman. Silahkan ikutin Jejaknya, jika tertangkap Tunjukkan Gambar dan Video tersebut...</t>
  </si>
  <si>
    <t>Kenapa ppkm gak pas aku lagi hectic2nya nyusun presentasi metpen si</t>
  </si>
  <si>
    <t>Gue tahan bnr2 nih ga kmn2 kecuali ke kantor, belanja, sm jogging tipis2 di outdoor area brg max 3-4 org (ttp prokes). Ya Allah smg agak berkontribusi dikit deh. Tapi kl lebih dari bulan Juli lagi nih PPKM, sorry2 bgt Pak, rejeki saya ada di event2 bkn di tangan bapak2 🥲</t>
  </si>
  <si>
    <t>Gue tahan bnr2 nih ga kmn2 kecuali ke kantor, belanja, sm jogging tipis2 di outdoor area brg max $NUMBER$ org (ttp prokes). Ya Allah smg agak berkontribusi dikit deh. Tapi kl lebih dari bulan Juli lagi nih PPKM, sorry2 bgt Pak, rejeki saya ada di event2 bkn di tangan bapak2</t>
  </si>
  <si>
    <t>sebenernya kalo diliat liat, saat ini masyarakat ga anti2 amat sm "lockdown". justru malah kl bisa lockdown total, bukan ppkm ato kebijakan "nanggung". 
 karena kl lockdown mengacu pd UU pemerintah bertanggungjawab memberi makan dll. Sesuai sm tuntutan msy</t>
  </si>
  <si>
    <t>sebenernya kalo diliat liat, saat ini masyarakat ga anti2 amat sm "lockdown". justru malah kl bisa lockdown total, bukan ppkm ato kebijakan "nanggung". karena kl lockdown mengacu pd UU pemerintah bertanggungjawab memberi makan dll. Sesuai sm tuntutan msy</t>
  </si>
  <si>
    <t>@ezash gaji pertama 600ribu baru kemaren sebelum ppkm, baru gajian sekali udah dirumahkan grgr ppkm🥲</t>
  </si>
  <si>
    <t>gaji pertama ribu baru kemaren sebelum ppkm, baru gajian sekali udah dirumahkan grgr ppkm</t>
  </si>
  <si>
    <t>saya lebih kecewa bapak memperpanjang ppkm, uda itu aja https://t.co/wlrYcmWRIM</t>
  </si>
  <si>
    <t>saya lebih kecewa bapak memperpanjang ppkm, uda itu aja</t>
  </si>
  <si>
    <t>@tirta_hudhi ppkm hanya akan efektif jika yang dikenakan ekonominya sama, gaada yg kalangan ekonomi bawah :) yang bikin koar² itu kalangan ekonomi bawah</t>
  </si>
  <si>
    <t>ppkm hanya akan efektif jika yang dikenakan ekonominya sama, gaada yg kalangan ekonomi bawah yang bikin koar itu kalangan ekonomi bawah</t>
  </si>
  <si>
    <t>Hari hari yg efektif di masa PPKM adalah dolanan PUBG…Kan bajingan….Blas gak iso obah meh ngopo…Kebijakan yg tidak di barengi dengan solusi dan jalan keluar… #PengenSekaliTeriak #SuarakanKebenaran #UpsTakutDiciduk #YaSudah #TutupMulutLagi</t>
  </si>
  <si>
    <t>Hari hari yg efektif di masa PPKM adalah dolanan PUBGKan bajingan.Blas gak iso obah meh ngopoKebijakan yg tidak di barengi dengan solusi dan jalan keluar</t>
  </si>
  <si>
    <t>ppkm = pernah perhatian kemudian menghilang.</t>
  </si>
  <si>
    <t>@RadioElshinta PPKM kurang efektif cegah penebaran Covid. Arti nya menegakan Disiplin n Kesadaran Masyarakat, dgn cara kebijakan PPKM, kurang di dukung. Mungkin Lbh baik, biarkan "Masyarakat sendiri" masing2 yg memilih cara pengamanan thd Covid. Arti nya: membangun kesadaran n disiplin Nya.</t>
  </si>
  <si>
    <t>PPKM kurang efektif cegah penebaran Covid. Arti nya menegakan Disiplin n Kesadaran Masyarakat, dgn cara kebijakan PPKM, kurang di dukung. Mungkin Lbh baik, biarkan "Masyarakat sendiri" masing2 yg memilih cara pengamanan thd Covid. Arti nya: membangun kesadaran n disiplin Nya.</t>
  </si>
  <si>
    <t>@rockygerung_rg Negara sdh lupa Kewajibanya dlm PPKM, bisa nya hanya mengatur Rakyat dan Mengemis pd Rakyat</t>
  </si>
  <si>
    <t>Negara sdh lupa Kewajibanya dlm PPKM, bisa nya hanya mengatur Rakyat dan Mengemis pd Rakyat</t>
  </si>
  <si>
    <t>@tempodotco Juga larangan nonton pelm India atau sinetron saat masyarakat ppkm</t>
  </si>
  <si>
    <t>Juga larangan nonton pelm India atau sinetron saat masyarakat ppkm</t>
  </si>
  <si>
    <t>PPKM
 Pagi Pagi Kepikiran Menikah..!</t>
  </si>
  <si>
    <t>PPKMPagi Pagi Kepikiran Menikah..!</t>
  </si>
  <si>
    <t>@rasjawa Terima kasih @IndiHome yang telah membuat aku hoream streaming video. sungguh hari-hari PPKM yang menegangkan. 🤯🤯 https://t.co/F05gB3lccK</t>
  </si>
  <si>
    <t>Terima kasih yang telah membuat aku hoream streaming video. sungguh hari-hari PPKM yang menegangkan.</t>
  </si>
  <si>
    <t>Ppkm kelar, boleh ke merapi aja ga sih?:')</t>
  </si>
  <si>
    <t>Paket shopee pun ppkm, gak nyampe2 dah brp hari.</t>
  </si>
  <si>
    <t>@BatuKepla @Rudinyot2 @susipudjiastuti Smoga masyarakat patuh,mendukung&amp;amp;tdk ada yg nyinyir.apa bila selama pandemi&amp;amp;kebijakan ppkm darurat pemerintah menjamin :
 -masyarakat yg terhenti usahanya diberi bantuan kebutuhan hidupnya.
 -program vaksinasi,rapid test antingen&amp;amp;pcr gratis.betulkan pak @jokowi @ridwankamil 
 #adil</t>
  </si>
  <si>
    <t>Smoga masyarakat patuh,mendukung&amp;amp;tdk ada yg nyinyir.apa bila selama pandemi&amp;amp;kebijakan ppkm darurat pemerintah menjamin :-masyarakat yg terhenti usahanya diberi bantuan kebutuhan hidupnya.-program vaksinasi,rapid test antingen&amp;ampcr gratis.betulkan pak</t>
  </si>
  <si>
    <t>@BaleBengong Udah agak kesiangan ini sih...😀
 *Foto sebelum ppkm darurat https://t.co/2NaouGUTZM</t>
  </si>
  <si>
    <t>Udah agak kesiangan ini sih...*Foto sebelum ppkm darurat</t>
  </si>
  <si>
    <t>@tauaaaahhh PPKM: Pengen Peluk Kelonin Mu</t>
  </si>
  <si>
    <t>PPKM: Pengen Peluk Kelonin Mu</t>
  </si>
  <si>
    <t>Sekarang PPKM. jadinya ingin ketinggian gak jadian seperti ini:
 PPKM. Alias pengen pergi ke muncak,
 Tapi PPKM. Alias pikir pikir kembali muncak,
 Jadi PPKM. Alias pelan pelan ku mundur</t>
  </si>
  <si>
    <t>Sekarang PPKM. jadinya ingin ketinggian gak jadian seperti iniKM. Alias pengen pergi ke muncak,Tapi PPKM. Alias pikir pikir kembali muncak,Jadi PPKM. Alias pelan pelan ku mundur</t>
  </si>
  <si>
    <t>@June_dya77 @ZulfanE94952246 Hahaha otak anda sampe gak ya? 🤣🤣🤣 ppkm gak dikasih makan sama pemerintah gagal ini gimana ceritanya.</t>
  </si>
  <si>
    <t>Hahaha otak anda sampe gak ya? ppkm gak dikasih makan sama pemerintah gagal ini gimana ceritanya.</t>
  </si>
  <si>
    <t>@jawapos Pemerintah jangan menerapkan ppkm aja, pikirin juga rakyat, pikiran juga wiraswasta yg terdampak Krn gak bisa berjualan di masa ppkm, inget mereka cari MAKAN, bukan buat memperkaya diri @jokowi</t>
  </si>
  <si>
    <t>Pemerintah jangan menerapkan ppkm aja, pikirin juga rakyat, pikiran juga wiraswasta yg terdampak Krn gak bisa berjualan di masa ppkm, inget mereka cari MAKAN, bukan buat memperkaya diri</t>
  </si>
  <si>
    <t>Jog masa ppkm gini transportasi pembawa penumpang seperti bus gitu beroperasi gak ya? Thanks</t>
  </si>
  <si>
    <t>gais, kan lg penyekatan ppkm nih kalo mau vaksin boleh lewat ga?</t>
  </si>
  <si>
    <t>Tiap hari selalu muncul berita ngaco semenjak diberlakukan ppkm , ntah yg di pukul , dirampas dagangan nya , di sirem aer kaya kebakaran tokonya 🤦🏻‍♂️</t>
  </si>
  <si>
    <t>Tiap hari selalu muncul berita ngaco semenjak diberlakukan ppkm , ntah yg di pukul , dirampas dagangan nya , di sirem aer kaya kebakaran tokonya</t>
  </si>
  <si>
    <t>@KAI121 Tgl 21 Juli setelah PPKM</t>
  </si>
  <si>
    <t>Tgl Juli setelah PPKM</t>
  </si>
  <si>
    <t>@PutraWadapi Harus di evaluasi kembali penerapan PPKM. Di berbagai daerah sdh mulai bergejolak dampak PPKM</t>
  </si>
  <si>
    <t>Harus di evaluasi kembali penerapan PPKM. Di berbagai daerah sdh mulai bergejolak dampak PPKM</t>
  </si>
  <si>
    <t>Ppkm pelan pelan kamu menjauh</t>
  </si>
  <si>
    <t>Knp hrs dperpanjang PPKM pak presiden, g kasian dg rakyatnya yg klaparn? Kl BPK dg pra pejabatnya seh pny gaji sdgkn kami g ad yg kasih kl bukan dg cari sndiri😭😭😭😇😇 https://t.co/rOdCIbtxYx</t>
  </si>
  <si>
    <t>Knp hrs dperpanjang PPKM pak presiden, g kasian dg rakyatnya yg klaparn? Kl BPK dg pra pejabatnya seh pny gaji sdgkn kami g ad yg kasih kl bukan dg cari sndiri</t>
  </si>
  <si>
    <t>#NegaraLupaKewajibandlmPPKM
 PPKM hanya mengatur Rakyat apa yg boleh dan tidak,,tp Negara Lupa Kewajiban Nya....spt biasa..</t>
  </si>
  <si>
    <t>hanya mengatur Rakyat apa yg boleh dan tidak,,tp Negara Lupa Kewajiban Nya....spt biasa..</t>
  </si>
  <si>
    <t>@miyamacia ngga isoman cuma keluar rumah juga ga bisa kemana2 soalnya kan ppkm jalan pada di tutup toko pun tutup juga :"</t>
  </si>
  <si>
    <t>ngga isoman cuma keluar rumah juga ga bisa kemana2 soalnya kan ppkm jalan pada di tutup toko pun tutup juga :"</t>
  </si>
  <si>
    <t>Salam pagi PPKM __ malam tadi masih ada gk relawan yang datang bagi bagi obat dan sembako..??</t>
  </si>
  <si>
    <t>Aneh nih orang... 
 Selalu ajah menunjukan contoh yg KURANG PAS. 
 Bikin aturan sendiri PPKM, eh...dilanggar sendiri aturannya. 
 Orang lain suruh diam dirumah, eh...dia malah kelayaban ke kampung2. 
 PENCITRAAN boleh tp tetap harus patuhi peraturan. https://t.co/x9T1ZsAP25</t>
  </si>
  <si>
    <t>Aneh nih orang... Selalu ajah menunjukan contoh yg KURANG PAS. Bikin aturan sendiri PPKM, eh...dilanggar sendiri aturannya. Orang lain suruh diam dirumah, eh...dia malah kelayaban ke kampung2. PENCITRAAN boleh tp tetap harus patuhi peraturan.</t>
  </si>
  <si>
    <t>Jika smua org taat aturan, ppkm tak perlu dijaga ketat oleh aparat. Mreka jg butuh istirahat, juga rentan terpapar vovid.
 Ayo, smua sadar diri. Covid-19 tak pandang bulu.</t>
  </si>
  <si>
    <t>Jika smua org taat aturan, ppkm tak perlu dijaga ketat oleh aparat. Mreka jg butuh istirahat, juga rentan terpapar vovid.Ayo, smua sadar diri. Covid-19 tak pandang bulu.</t>
  </si>
  <si>
    <t>@benktop @RamliRizal PPKM : Pak Presiden Kapan Mundur....</t>
  </si>
  <si>
    <t>PPKM : Pak Presiden Kapan Mundur....</t>
  </si>
  <si>
    <t>@Doremif05612838 @tongkituatuh @AREAJULID Menurut gue boss ya, yg notabene lingkungan rumah gue 90% kerja harian, mereka keluar rumah memang buat cari makan. Kebayang ga nih ada banyak org disekitar rumah gue, kerja pagi buat sarapan, kerja malem buat makan malem? Ppkm buat mreka sm aja disuruh mati kelaperan</t>
  </si>
  <si>
    <t>Menurut gue boss ya, yg notabene lingkungan rumah gue % kerja harian, mereka keluar rumah memang buat cari makan. Kebayang ga nih ada banyak org disekitar rumah gue, kerja pagi buat sarapan, kerja malem buat makan malem? Ppkm buat mreka sm aja disuruh mati kelaperan</t>
  </si>
  <si>
    <t>aku lagi ppkm,
 pagi-pagi kangen markli:(</t>
  </si>
  <si>
    <t>aku lagi ppkm,pagi-pagi kangen markli</t>
  </si>
  <si>
    <t>Ppkm gini
 Pen cari kerja lgi</t>
  </si>
  <si>
    <t>Ppkm giniPen cari kerja lgi</t>
  </si>
  <si>
    <t>@WhySep_ Nah makanya, tulisannya itu sangat bertolak belakang sama apa yg dia lakuin sama sirkelnya 
 Bentar lagi juga liburan lagi dia selesai ppkm 😁</t>
  </si>
  <si>
    <t>Nah makanya, tulisannya itu sangat bertolak belakang sama apa yg dia lakuin sama sirkelnya Bentar lagi juga liburan lagi dia selesai ppkm</t>
  </si>
  <si>
    <t>@cesampez @ADwinanta @biqa_ambon @halleluhellyeah @uusbiasaaja Awal pandemi di indo sekitar maret 2020, ada orang bisa konsisten stay at home sampe juli 2021 (sekitar 15-16 bulan) gw ragu apalagi sebelum PPKM sempet longgar banget, bahkan pemerintah ngasih opsi wisata buat yang gak mudik.</t>
  </si>
  <si>
    <t>Awal pandemi di indo sekitar maret , ada orang bisa konsisten stay at home sampe juli (sekitar $NUMBER$ bulan) gw ragu apalagi sebelum PPKM sempet longgar banget, bahkan pemerintah ngasih opsi wisata buat yang gak mudik.</t>
  </si>
  <si>
    <t>PPKM udahan yuk, asli mencekik banget buat yg jualan.</t>
  </si>
  <si>
    <t>Setelah ppkm darurat di berlakukan di jawa dan bali...
 Akhirnya penurunan sudah ada....
 PENURUNAN PEREKONOMIAN</t>
  </si>
  <si>
    <t>Setelah ppkm darurat di berlakukan di jawa dan bali...Akhirnya penurunan sudah ada....PENURUNAN PEREKONOMIAN</t>
  </si>
  <si>
    <t>@kutubocah @vicryyyy ppkm itu apa om?</t>
  </si>
  <si>
    <t>ppkm itu apa om?</t>
  </si>
  <si>
    <t>PPKM sudah saat nya kita rakyat balik kan jadi MKPP,.. Melawan Kejahatan Penguasa Penghianat.</t>
  </si>
  <si>
    <t>@hyungwonnet mintaaa nyuruh gombal pake bahasa indo aje :'))
 nitip yaa sp tau ada bosen ppkm, ada paket mola juga yaaa https://t.co/CQsECigkop</t>
  </si>
  <si>
    <t>mintaaa nyuruh gombal pake bahasa indo aje :'))nitip yaa sp tau ada bosen ppkm, ada paket mola juga yaaa</t>
  </si>
  <si>
    <t>ppkm menyebabkan banyak wanita jadi setia dengan pasangannya. iya, seneng tititnya aja.
 *ngakak guling-guling*</t>
  </si>
  <si>
    <t>ppkm menyebabkan banyak wanita jadi setia dengan pasangannya. iya, seneng tititnya aja.*ngakak guling-guling*</t>
  </si>
  <si>
    <t>@arinut aku pengen curhat tp gamau telfon, pen ketemu tp jauh sm ada ppkm :(</t>
  </si>
  <si>
    <t>aku pengen curhat tp gamau telfon, pen ketemu tp jauh sm ada ppkm</t>
  </si>
  <si>
    <t>Bukak sosmed isiny bnyakan bikin imun turun.. kabr duka, covid makin parah, ppkm diperpanjang.. #rasanenganu</t>
  </si>
  <si>
    <t>Bukak sosmed isiny bnyakan bikin imun turun.. kabr duka, covid makin parah, ppkm diperpanjang..</t>
  </si>
  <si>
    <t>2hr milano sekolah online via video call. Hari pertama blg "mau kerumah nenek" krn disangkanya bu guru adalah neneknya 🤣 (milano udah kangen berat sm neneknya) huhu ppkm memisahkan jarak ya nak</t>
  </si>
  <si>
    <t>hr milano sekolah online via video call. Hari pertama blg "mau kerumah nenek" krn disangkanya bu guru adalah neneknya (milano udah kangen berat sm neneknya) huhu ppkm memisahkan jarak ya nak</t>
  </si>
  <si>
    <t>Day 3 mas satu2nya hari ini akad nikah tp g bisa ikut gara2 ppkm</t>
  </si>
  <si>
    <t>Day mas satu2nya hari ini akad nikah tp g bisa ikut gara2 ppkm</t>
  </si>
  <si>
    <t>@Miduk17 @jansen_jsp Sebagus apapun kamu me-makeup, memoles percuma, emang cmn segitu kapasitasnya, blusukan malam2, artinya dia tdk mengerti apa itu PPKM Darurat, jejak digital jelas, dia plg byk melanggar aturan selama covid yg TERKENDALI ini🤲🤲🤦😭</t>
  </si>
  <si>
    <t>Sebagus apapun kamu me-makeup, memoles percuma, emang cmn segitu kapasitasnya, blusukan malam2, artinya dia tdk mengerti apa itu PPKM Darurat, jejak digital jelas, dia plg byk melanggar aturan selama covid yg TERKENDALI ini</t>
  </si>
  <si>
    <t>@galihsetiawannn Ngumah dong ppkm</t>
  </si>
  <si>
    <t>Ngumah dong ppkm</t>
  </si>
  <si>
    <t>ppkm org org pada demo bukannya kurangin virus malah nambah nambah positif</t>
  </si>
  <si>
    <t>beginilah klo kades PKI berulah, seenaknya saja melanggar PPKM.
 https://t.co/bWItSAMOJP</t>
  </si>
  <si>
    <t>beginilah klo kades PKI berulah, seenaknya saja melanggar PPKM.</t>
  </si>
  <si>
    <t>@unmagnetism solehpati,host acara pemburu hantu ppkm</t>
  </si>
  <si>
    <t>solehpati,host acara pemburu hantu ppkm</t>
  </si>
  <si>
    <t>Semoga masih kuat bertahan ditengah PPKM ini.</t>
  </si>
  <si>
    <t>@Pai_C1 Nah ini, ketika peraturan PPKM tidak digubris, dimana aparat kepolisian??.
 Pecat aja itu jajaran kepolisian dr Polda, Polres sampai Polsek nya... 
 Jd aparat penegak hukum koq takut sama preman kadal curut spt ini...
 Ckckckc.....
 Cc: @DivHumas_Polri</t>
  </si>
  <si>
    <t>Nah ini, ketika peraturan PPKM tidak digubris, dimana aparat kepolisian??.Pecat aja itu jajaran kepolisian dr Polda, Polres sampai Polsek nya... Jd aparat penegak hukum koq takut sama preman kadal curut spt ini...Ckckckc.....Cc:</t>
  </si>
  <si>
    <t>Belum bisa nanggung rakyat, sok soan ngatur ppkm jing.
 Kami kerja buat keluarga bos, gajadi beban kek lu tikus2 kantor. Utang bejibun lalu dikorupsi dengan kedok program-program tolol.</t>
  </si>
  <si>
    <t>Belum bisa nanggung rakyat, sok soan ngatur ppkm jing.Kami kerja buat keluarga bos, gajadi beban kek lu tikus2 kantor. Utang bejibun lalu dikorupsi dengan kedok program-program tolol.</t>
  </si>
  <si>
    <t>@lysavana1 @rockygerung_rg Blusukan klo kondisi tambah parah buat apa ? Pimpinan cukup bikin kebijakan yg bs bermanfaat buat rakyat. Substansinya bukan blusukan tapi kebijakan yg tepat. Klo ada PPKM maka kebijakan yg mengiringi adalah berikan kebutuhan hidup rakyat di semua lokasi, bukan hanya di Jkt</t>
  </si>
  <si>
    <t>Blusukan klo kondisi tambah parah buat apa ? Pimpinan cukup bikin kebijakan yg bs bermanfaat buat rakyat. Substansinya bukan blusukan tapi kebijakan yg tepat. Klo ada PPKM maka kebijakan yg mengiringi adalah berikan kebutuhan hidup rakyat di semua lokasi, bukan hanya di Jkt</t>
  </si>
  <si>
    <t>@VIVAcoid SONTOLOYO EMANG SIH.
 DISAAT PPKM DARURAT. TKA CHINA MASUK AJA. HERANNYA GUE.. KOQ ADA WARGA ASING NEKAD KE NEGARA YG ADA TSUNAMI COVID.
 APA DISANA MEREKA MISKIN SEKALI SAMPAI MAU KERJA DI NEGARA YG ADA TSUNAMI COVIDNYA. 
 AKAL SEHAT GUE JADI KEMANA-MANA MIKIRNYA. 😢</t>
  </si>
  <si>
    <t>SONTOLOYO EMANG SIH.DISAAT PPKM DARURAT. TKA CHINA MASUK AJA. HERANNYA GUE.. KOQ ADA WARGA ASING NEKAD KE NEGARA YG ADA TSUNAMI COVID.APA DISANA MEREKA MISKIN SEKALI SAMPAI MAU KERJA DI NEGARA YG ADA TSUNAMI COVIDNYA. AKAL SEHAT GUE JADI KEMANA-MANA MIKIRNYA.</t>
  </si>
  <si>
    <t>yang baru semalem dah dikirim yang dr minggu kmrn malah onhold gw kira grgr ppkm tapi kok ini bisa ya padahal smsm dari jakarta @jntexpressid https://t.co/8ZF01WRN2s</t>
  </si>
  <si>
    <t>yang baru semalem dah dikirim yang dr minggu kmrn malah onhold gw kira grgr ppkm tapi kok ini bisa ya padahal smsm dari jakarta</t>
  </si>
  <si>
    <t>Gapapa sih PPKM diperpanjang, tapi jangan ditutup juga jalanannyaaaa aku muter-muter kalo mau berangkat ke kantor 😭</t>
  </si>
  <si>
    <t>Gapapa sih PPKM diperpanjang, tapi jangan ditutup juga jalanannyaaaa aku muter-muter kalo mau berangkat ke kantor</t>
  </si>
  <si>
    <t>Pagiii duniaaa, awali harimu dengan aaaaahh ppkm diperpanjang</t>
  </si>
  <si>
    <t>[askrl] guys info loker part time daerah jabodeta dong. Huhu sedi gada pemasukan karena ppkm</t>
  </si>
  <si>
    <t>@priatulenn Look??? Nyusahin orang lain kan anj satu ini udah mana ppkm gini nyari duit segitu dari mana coba???
 Ga mati aja ni orang 
 https://t.co/t068dFFpFL</t>
  </si>
  <si>
    <t>Look??? Nyusahin orang lain kan anj satu ini udah mana ppkm gini nyari duit segitu dari mana coba???Ga mati aja ni orang</t>
  </si>
  <si>
    <t>PPKM pulihkan negeri? Jangan ngayal deh tong.
 Mending gaji pegawai ASN dipotong sekian persen buat dibagi ke mereka yang tak boleh kemana-mana. Buat yang isoman juga, buat beli buah-buahan, vitamin, makanan bergizi dan lainnya.</t>
  </si>
  <si>
    <t>PPKM pulihkan negeri? Jangan ngayal deh tong.Mending gaji pegawai ASN dipotong sekian persen buat dibagi ke mereka yang tak boleh kemana-mana. Buat yang isoman juga, buat beli buah-buahan, vitamin, makanan bergizi dan lainnya.</t>
  </si>
  <si>
    <t>@YoanHdy @FiersaBesari Ppkm ( penduduk pribumi kurang makan )</t>
  </si>
  <si>
    <t>Ppkm ( penduduk pribumi kurang makan )</t>
  </si>
  <si>
    <t>Pak.. dampak PPKM bagi masyarakat rakyat kecil kayak saya ini sangat terasa pak. Gak ada bantuan,kerja di opyak opyak. Jalanan mau ke kerjaan pada ditutupi. himbauan disuruh di rumah aja tp pemerintah gak mau nanggung. https://t.co/t0f5V3KrBT</t>
  </si>
  <si>
    <t>Pak.. dampak PPKM bagi masyarakat rakyat kecil kayak saya ini sangat terasa pak. Gak ada bantuan,kerja di opyak opyak. Jalanan mau ke kerjaan pada ditutupi. himbauan disuruh di rumah aja tp pemerintah gak mau nanggung.</t>
  </si>
  <si>
    <t>Didalem, soalnya lagi PPKM darurat https://t.co/fGlh7Mwiqe</t>
  </si>
  <si>
    <t>Didalem, soalnya lagi PPKM darurat</t>
  </si>
  <si>
    <t>Pemberlakuan Pembatasan Kegiatan Masyarakat atau PPKM Darurat jawa-Bali kini memasuki hari ke empatbelas. Artinya, PPKM ini sudah berlangsung hampir dua pekan sejak 3 Juli lalu. Lantas bagaimana Islam menyelesaikan masalah ini? simak di channel MMC!
 https://t.co/eTOBCamKur https://t.co/WCkZQGcInI</t>
  </si>
  <si>
    <t>Pemberlakuan Pembatasan Kegiatan Masyarakat atau PPKM Darurat jawa-Bali kini memasuki hari ke empatbelas. Artinya, PPKM ini sudah berlangsung hampir dua pekan sejak Juli lalu. Lantas bagaimana Islam menyelesaikan masalah ini? simak di channel MMC!</t>
  </si>
  <si>
    <t>@Rizmaya__ @NannyAlexendry @ridwankamil Aturan PPKM adalah aturan pemerintah.
 Tutup jalan bisa.
 Demo jangan beri izin,yang demo tinggal keruk ajah karena melanggar PPKM,selasai!!!</t>
  </si>
  <si>
    <t>Aturan PPKM adalah aturan pemerintah.Tutup jalan bisa.Demo jangan beri izin,yang demo tinggal keruk ajah karena melanggar PPKM,selasai!!!</t>
  </si>
  <si>
    <t>PPKM diperpanjang😕😕😕 https://t.co/vwTuJk3mAt</t>
  </si>
  <si>
    <t>PPKM diperpanjang</t>
  </si>
  <si>
    <t>Ppkm sama psbb bedanya apa</t>
  </si>
  <si>
    <t>Ppkm dicampur nasi anget sama sambel bawang enak nih...</t>
  </si>
  <si>
    <t>Selamat pagi Kopi, Jangan Kendor dengan PPKM #VaksinPerkuatImunitas https://t.co/ae1kcQBoFj</t>
  </si>
  <si>
    <t>Selamat pagi Kopi, Jangan Kendor dengan PPKM</t>
  </si>
  <si>
    <t>@mstyas_ gimana ketemunya Mbaaak, kan ppkm 😢</t>
  </si>
  <si>
    <t>gimana ketemunya Mbaaak, kan ppkm</t>
  </si>
  <si>
    <t>@kumparan Laknat buat kalian yg suka tutup2 jalan dan nyuruh orang muter2 dgn dalih PPKM, semoga kalian hidupnya dipersulit sama yg Maha Kuasa.</t>
  </si>
  <si>
    <t>Laknat buat kalian yg suka tutup2 jalan dan nyuruh orang muter2 dgn dalih PPKM, semoga kalian hidupnya dipersulit sama yg Maha Kuasa.</t>
  </si>
  <si>
    <t>PPKM : PELAN PELAN KAMU MENGHILANG https://t.co/NdEZfusKK8</t>
  </si>
  <si>
    <t>PPKM : PELAN PELAN KAMU MENGHILANG</t>
  </si>
  <si>
    <t>Di perpanjang lagi PPKM gak bisa kerja nih... Bosen di rumah terus pingin dolan sing adoh...</t>
  </si>
  <si>
    <t>Pelaku kriminal di masa PPKM dpt diprediksi dilakukan mereka yg sekedar bertahan hidup, indikasi sektor informal bangkrut yg tak sampai 14 hari. 
 PPKM diperpanjang 6 Minggu, hal terburuk bisa terjadi. Eksodus WNA kembali ke negerinya, karena bocor suatu perencanaan busuk ini.</t>
  </si>
  <si>
    <t>Pelaku kriminal di masa PPKM dpt diprediksi dilakukan mereka yg sekedar bertahan hidup, indikasi sektor informal bangkrut yg tak sampai hari. PPKM diperpanjang Minggu, hal terburuk bisa terjadi. Eksodus WNA kembali ke negerinya, karena bocor suatu perencanaan busuk ini.</t>
  </si>
  <si>
    <t>1 dekade kerja, baru kali ini dibikin jobless sama pandemi. Uring uringan, goblog tiap menit, kerjaannya ngebeer sendirian, netlix randoom. Semoga agustus dapet kerja. Karena bulan ini full jadwal PPKM dan gua percaya ga bakal ada perusahaan buka lowongan.</t>
  </si>
  <si>
    <t>dekade kerja, baru kali ini dibikin jobless sama pandemi. Uring uringan, goblog tiap menit, kerjaannya ngebeer sendirian, netlix randoom. Semoga agustus dapet kerja. Karena bulan ini full jadwal PPKM dan gua percaya ga bakal ada perusahaan buka lowongan.</t>
  </si>
  <si>
    <t>Jog beli dried flower yg tokonya buka pas ppkm gini dimana ya?</t>
  </si>
  <si>
    <t>Ppkm di perpanjang
 #revulusi</t>
  </si>
  <si>
    <t>Ppkm di perpanjang</t>
  </si>
  <si>
    <t>PPKM berhenti dengan catatan semua tervaksin ....</t>
  </si>
  <si>
    <t>PPKM = Pagi Pagi Kedalam Mulutmu 👉👈</t>
  </si>
  <si>
    <t>PPKM = Pagi Pagi Kedalam Mulutmu</t>
  </si>
  <si>
    <t>@Ritafauzh Kasih ke istri bu @Ritafauzh karena selama PPKM dirmh aja bu WFH. Jd bs bantu2 istri beli kebutuhan rmh jg untuk keperluan anak saya.
 Kan saya juga ingin seperti papah gula @sherpa701 yg bertanggung jawab trhdp bidadari surga nya</t>
  </si>
  <si>
    <t>Kasih ke istri bu karena selama PPKM dirmh aja bu WFH. Jd bs bantu2 istri beli kebutuhan rmh jg untuk keperluan anak saya.Kan saya juga ingin seperti papah gula yg bertanggung jawab trhdp bidadari surga nya</t>
  </si>
  <si>
    <t>@Hilmi28 Ini orang² yang komment semua apa yang dibuat Pemerintah salah , vaksin salah trus tindakan pencegahan spy tdk menular dgn cara ppkm disalahkan dengan alasan rakyat Lapar . Wis bacotmu tp kamu sendiri tak berbuat apa apa .</t>
  </si>
  <si>
    <t>Ini orang yang komment semua apa yang dibuat Pemerintah salah , vaksin salah trus tindakan pencegahan spy tdk menular dgn cara ppkm disalahkan dengan alasan rakyat Lapar . Wis bacotmu tp kamu sendiri tak berbuat apa apa .</t>
  </si>
  <si>
    <t>PPKM terbukti gagal menurunkan infeksi Covid. Pengendalian Covid hrs dikmbalikan ke pemda dgn menerapkan PSBB spy negara tdk chaos @aniesbaswedan @ridwankamil @ganjarpranowo @KhofifahIP</t>
  </si>
  <si>
    <t>PPKM terbukti gagal menurunkan infeksi Covid. Pengendalian Covid hrs dikmbalikan ke pemda dgn menerapkan PSBB spy negara tdk chaos</t>
  </si>
  <si>
    <t>Pengen banget PPKM seperti pak @mohmahfudmd . Gimana caranya ya biar PPKM tetep dapat 100jt tiap bulan?</t>
  </si>
  <si>
    <t>Pengen banget PPKM seperti pak . Gimana caranya ya biar PPKM tetep dapat jt tiap bulan?</t>
  </si>
  <si>
    <t>@silverchaestone kalo ppkm udah selesai gasssss</t>
  </si>
  <si>
    <t>kalo ppkm udah selesai gasssss</t>
  </si>
  <si>
    <t>@FiersaBesari Jualan sayur juga sekarang sepi ngab. Apalagi sekarang ppkm di perpanjang. Tapi semangat bajingan ga boleh nyerah</t>
  </si>
  <si>
    <t>Jualan sayur juga sekarang sepi ngab. Apalagi sekarang ppkm di perpanjang. Tapi semangat bajingan ga boleh nyerah</t>
  </si>
  <si>
    <t>@kuy7474 @FerdinandHaean3 Lu yg tolol nand sekolah gak jelas ,pikiran lu cupet gara2 ppkm gak dibayar gajih lu mangkanya cupet pikir lu nand nand alangka tolol nya lu</t>
  </si>
  <si>
    <t>Lu yg tolol nand sekolah gak jelas ,pikiran lu cupet gara2 ppkm gak dibayar gajih lu mangkanya cupet pikir lu nand nand alangka tolol nya lu</t>
  </si>
  <si>
    <t>@kolonglangit80 Ayoo kita ppkm.. peluk peluk kok masuk... 😊</t>
  </si>
  <si>
    <t>Ayoo kita ppkm.. peluk peluk kok masuk...</t>
  </si>
  <si>
    <t>Gmn ga banyak yg positif, tiap hari bnyk yg ga pake masker. Ga ada bedanya ppkm sama ga ppkm d kircon mah 🤦‍♂️ https://t.co/WHaf7TdckI</t>
  </si>
  <si>
    <t>Gmn ga banyak yg positif, tiap hari bnyk yg ga pake masker. Ga ada bedanya ppkm sama ga ppkm d kircon mah</t>
  </si>
  <si>
    <t>Ppkm, pernah pinjam kemudian menghilang</t>
  </si>
  <si>
    <t>Aku gaksuka ppkm kalo ppkmu aku suka sih</t>
  </si>
  <si>
    <t>Heloooooo ... PPKM https://t.co/qGoSW5hsQp</t>
  </si>
  <si>
    <t>Heloooooo ... PPKM</t>
  </si>
  <si>
    <t>@biqa_ambon @halleluhellyeah @uusbiasaaja Dia ngomong gitu karna kena covid sih bukan karna ppkm</t>
  </si>
  <si>
    <t>Dia ngomong gitu karna kena covid sih bukan karna ppkm</t>
  </si>
  <si>
    <t>@detikcom PPKM kan jam malam, sinetron juga malam, trs gak baik nya dimana???keluar rumah selama ppkm gak boleh, nonton sinetron selama ppkm di rumah sendiri gak boleh, trs bolehnya kita selama ppkm ngapain?? Bikin anak???🤣🤣🤣🤣</t>
  </si>
  <si>
    <t>PPKM kan jam malam, sinetron juga malam, trs gak baik nya dimana???keluar rumah selama ppkm gak boleh, nonton sinetron selama ppkm di rumah sendiri gak boleh, trs bolehnya kita selama ppkm ngapain?? Bikin anak???</t>
  </si>
  <si>
    <t>PPKM memang tidak efektif. https://t.co/RPN3NeMJ78</t>
  </si>
  <si>
    <t>PPKM memang tidak efektif.</t>
  </si>
  <si>
    <t>@legnobronzee Terakhir jualannya malem² bagi sembako 🙊
 PPKM yg skrg itu tdk seperti PSBB kemaren, masyarakat sbnrnya udh sadar covid-19 itu ada, tiap hari ada aja berita duka cita dari toa mesjid.</t>
  </si>
  <si>
    <t>Terakhir jualannya malem bagi sembako PPKM yg skrg itu tdk seperti PSBB kemaren, masyarakat sbnrnya udh sadar covid-19 itu ada, tiap hari ada aja berita duka cita dari toa mesjid.</t>
  </si>
  <si>
    <t>@ursakala ppkm jadi gada yg boleh jualan</t>
  </si>
  <si>
    <t>ppkm jadi gada yg boleh jualan</t>
  </si>
  <si>
    <t>Lebih banyak warung madura sama apotek padahal lagi ppkm darurat...hahaha</t>
  </si>
  <si>
    <t>@RBTHIndonesia Di indo bantuan PPKm saja blm terealisasi, apalagi hadiah mobil bruakakakakaka</t>
  </si>
  <si>
    <t>Di indo bantuan PPKm saja blm terealisasi, apalagi hadiah mobil bruakakakakaka</t>
  </si>
  <si>
    <t>@bertanyarl Sama:)
 Sebelumnya kita sering ketemu, cuman karena lagi ppkm jadinya gabisa lagi, eh kemarin sakit trus dia usahain buat ini:)
 Setelah itu gk bisa ketemu lgi, berasa lgi LDR:(( https://t.co/eSf4HAUJtN</t>
  </si>
  <si>
    <t>Samaebelumnya kita sering ketemu, cuman karena lagi ppkm jadinya gabisa lagi, eh kemarin sakit trus dia usahain buat inietelah itu gk bisa ketemu lgi, berasa lgi LDR</t>
  </si>
  <si>
    <t>@hsbi_ @detikcom @_aisyahwinna Warga kaget, karena diberi sembako hanya cukup untuk 3 hari sedangkan ppkm lebih dari 3 minggu. Bhak</t>
  </si>
  <si>
    <t>Warga kaget, karena diberi sembako hanya cukup untuk hari sedangkan ppkm lebih dari minggu. Bhak</t>
  </si>
  <si>
    <t>@infojakarta Semoga beneran sampe akhir juli ga diperpanjang2 lagi
 Semoga warganya juga patuh aturan ppkm ini supaya kasus covid berkurang</t>
  </si>
  <si>
    <t>Semoga beneran sampe akhir juli ga diperpanjang2 lagiSemoga warganya juga patuh aturan ppkm ini supaya kasus covid berkurang</t>
  </si>
  <si>
    <t>@geloraco Pem gak kapable menangani ppkm darurat krn hrsnya itu bertahap dan konsisten dlm mengedukasi masy dan menumbuhkan kesadaran mrk min prokes dan mendorong mrk utk beradaptasi dgn kondisi saat ini demi kebaikan mrk sendiri</t>
  </si>
  <si>
    <t>Pem gak kapable menangani ppkm darurat krn hrsnya itu bertahap dan konsisten dlm mengedukasi masy dan menumbuhkan kesadaran mrk min prokes dan mendorong mrk utk beradaptasi dgn kondisi saat ini demi kebaikan mrk sendiri</t>
  </si>
  <si>
    <t>@Innayaputri72 Menurut info dari medsos benar, secara logika kenapa rakyat sendiri dikurung (ppkm) sedangkan TKA asal Cina bebas keluar masuk, dan kemungkinan tujuan cina bocor ke negara negara tersebut cuma yang bodoh pemerintah kita terlalu mudah di iming-iming dengan pinjaman.</t>
  </si>
  <si>
    <t>Menurut info dari medsos benar, secara logika kenapa rakyat sendiri dikurung (ppkm) sedangkan TKA asal Cina bebas keluar masuk, dan kemungkinan tujuan cina bocor ke negara negara tersebut cuma yang bodoh pemerintah kita terlalu mudah di iming-iming dengan pinjaman.</t>
  </si>
  <si>
    <t>@makemeronan Beda provinsi mak wkwk lagi ppkm juga jalan pada ditutup</t>
  </si>
  <si>
    <t>Beda provinsi mak wkwk lagi ppkm juga jalan pada ditutup</t>
  </si>
  <si>
    <t>ppkm (pengen peluk kang masjaemin) https://t.co/pSqNZCXMPe</t>
  </si>
  <si>
    <t>ppkm (pengen peluk kang masjaemin)</t>
  </si>
  <si>
    <t>PPKM di Indonesia tapi aku ikut merasakan, karena dengan adanya PPKM ibuku gga bisa jualan, @jokowi @ganjarpranowo kenapa keluargaku gga dapat bantuan, padahal kami golongan menengah kebawah loo, kalo gga jualan mau makan apa pak??</t>
  </si>
  <si>
    <t>PPKM di Indonesia tapi aku ikut merasakan, karena dengan adanya PPKM ibuku gga bisa jualan, kenapa keluargaku gga dapat bantuan, padahal kami golongan menengah kebawah loo, kalo gga jualan mau makan apa pak??</t>
  </si>
  <si>
    <t>PPKM :Pelan Pelan Kita Melar https://t.co/Ow6QzE2rUo</t>
  </si>
  <si>
    <t>PPKM elan Pelan Kita Melar</t>
  </si>
  <si>
    <t>Mas saya muter2 cari apotek kok pada nggak buka ya?katanya lagi ppkm darurat
 👨 emang pada tutup mas,apotek sy yg lagi 1 aja tutup..yg buka ini doang
 Ooooh berarti kalo yg ini sampai 24 jam dong mas
 👨nggak mas...cuma sampe jam 1 soalnya sepi..biasanya kalo rame dlu sampe jam 02</t>
  </si>
  <si>
    <t>Mas saya muter2 cari apotek kok pada nggak buka ya?katanya lagi ppkm darurat emang pada tutup mas,apotek sy yg lagi aja tutup..yg buka ini doangOoooh berarti kalo yg ini sampai jam dong masnggak mas...cuma sampe jam soalnya sepi..biasanya kalo rame dlu sampe jam</t>
  </si>
  <si>
    <t>Dampak dri kopit akhirnya saya rasakan juga...jam 12 malam muter2 cari obat susah...yaa karna nggak ada yg buka..padahal di neu jelen katanya lagi PPKM darurat..stelah muter2 akhirnya ketmu apotek yg buka</t>
  </si>
  <si>
    <t>Dampak dri kopit akhirnya saya rasakan juga...jam malam muter2 cari obat susah...yaa karna nggak ada yg buka..padahal di neu jelen katanya lagi PPKM darurat..stelah muter2 akhirnya ketmu apotek yg buka</t>
  </si>
  <si>
    <t>@KompasTV Didenda atau penjara kayak pelanggar ppkm gak tuh?</t>
  </si>
  <si>
    <t>Didenda atau penjara kayak pelanggar ppkm gak tuh?</t>
  </si>
  <si>
    <t>@JamesDeMonte @inisifanew Simbolik apaan. Kondisi darurat mustinya itu buat kebijakan yang strategis, kebijakan yang bisa punya dampak besar kepada masyarakat. Ini PPKM diperpanjang kalau penanganannya model begini terus ngga bakalan selesai selesai.</t>
  </si>
  <si>
    <t>Simbolik apaan. Kondisi darurat mustinya itu buat kebijakan yang strategis, kebijakan yang bisa punya dampak besar kepada masyarakat. Ini PPKM diperpanjang kalau penanganannya model begini terus ngga bakalan selesai selesai.</t>
  </si>
  <si>
    <t>Kalau sudah tau begini kenapa PPKM diperpanjang?? Gmna mau gotong royong klo banyak yg nganggur?? Gajian juga kagak boss.... Rakyat diminta gotong royong tp para "Wakilnya rakyat" bantuin gk nih?? https://t.co/dkb2NExpqU</t>
  </si>
  <si>
    <t>Kalau sudah tau begini kenapa PPKM diperpanjang?? Gmna mau gotong royong klo banyak yg nganggur?? Gajian juga kagak boss.... Rakyat diminta gotong royong tp para "Wakilnya rakyat" bantuin gk nih??</t>
  </si>
  <si>
    <t>Apa kbr isi nya goodiebag PPKM?,boleh dong tau kbrnya goodiebag PPKM,maaf keepooo🙏🙏🙏😁</t>
  </si>
  <si>
    <t>Apa kbr isi nya goodiebag PPKM?,boleh dong tau kbrnya goodiebag PPKM,maaf keepooo</t>
  </si>
  <si>
    <t>@tirta_hudhi Lu kan dokter.. enak...duit kecukupan mau PPKM setahun jg santai aja.. rakyat kecil tuh kasian bang. Covid ga bikin stress yg bikin stress itu ekonomi jd kacau..!</t>
  </si>
  <si>
    <t>Lu kan dokter.. enak...duit kecukupan mau PPKM setahun jg santai aja.. rakyat kecil tuh kasian bang. Covid ga bikin stress yg bikin stress itu ekonomi jd kacau..!</t>
  </si>
  <si>
    <t>@manusiatiedye Gak dulu taun ini katanya lagi PPKM</t>
  </si>
  <si>
    <t>Gak dulu taun ini katanya lagi PPKM</t>
  </si>
  <si>
    <t>saking banyaknya yg ngjoke singkatan ppkm malah jd lupa sendiri arti ppkm yg ori</t>
  </si>
  <si>
    <t>@kumparan pandemi nya berakhir kapan @jokowi ? wong varian baru bisa muncul lagi dan WHO sdh warning akan ada gelombang 3,
 contoh Singapura, perkuat sistem kesmas, tegakkan prokes, ga perlu ppkm psbb dsbnya yg melanggar UU Kekarantinaan</t>
  </si>
  <si>
    <t>pandemi nya berakhir kapan ? wong varian baru bisa muncul lagi dan WHO sdh warning akan ada gelombang ,contoh Singapura, perkuat sistem kesmas, tegakkan prokes, ga perlu ppkm psbb dsbnya yg melanggar UU Kekarantinaan</t>
  </si>
  <si>
    <t>@NandeBapakuKaro di sini udah zona hitam mbak, sm jg di sini byk yg nyepelekan soal masker, blm ppkm yg bikin tbh emosi..</t>
  </si>
  <si>
    <t>di sini udah zona hitam mbak, sm jg di sini byk yg nyepelekan soal masker, blm ppkm yg bikin tbh emosi..</t>
  </si>
  <si>
    <t>@elmyown Padahal ppkm ya karena dia jalan2 mulu yahh hadeugh</t>
  </si>
  <si>
    <t>Padahal ppkm ya karena dia jalan2 mulu yahh hadeugh</t>
  </si>
  <si>
    <t>Ppkm Di perpanjang yg lapar makin marah, tdk di perpanjang yg wafat dan terpapar makin parah 
 Dilema rejim zholim</t>
  </si>
  <si>
    <t>Ppkm Di perpanjang yg lapar makin marah, tdk di perpanjang yg wafat dan terpapar makin parah Dilema rejim zholim</t>
  </si>
  <si>
    <t>@hibooran PPKM pelan pelan kamu menghilang 😔</t>
  </si>
  <si>
    <t>PPKM pelan pelan kamu menghilang</t>
  </si>
  <si>
    <t>Ppkm mulu apa kabar anak kos? Lambung aman? https://t.co/RgldkoR8q7</t>
  </si>
  <si>
    <t>Ppkm mulu apa kabar anak kos? Lambung aman?</t>
  </si>
  <si>
    <t>@panca66 Lokdon atau PPKM..? 
 Jika lokdon artinya Pempus di bawah pimpinan @jokowi kalah kelas oleh Kepala daerahnya...</t>
  </si>
  <si>
    <t>Lokdon atau PPKM..? Jika lokdon artinya Pempus di bawah pimpinan kalah kelas oleh Kepala daerahnya...</t>
  </si>
  <si>
    <t>@gendarkesel Nnti after ppkm yuk 😉</t>
  </si>
  <si>
    <t>Nnti after ppkm yuk</t>
  </si>
  <si>
    <t>Setuju PPKM tapi masih aja nongkrong sana sini 😒</t>
  </si>
  <si>
    <t>Setuju PPKM tapi masih aja nongkrong sana sini</t>
  </si>
  <si>
    <t>Yeah, PPKM sampai akhir Juli 🤣😂😁🙂😐🤢🤮</t>
  </si>
  <si>
    <t>Yeah, PPKM sampai akhir Juli</t>
  </si>
  <si>
    <t>PPKM
 Pelan Pelan Kau Meninggalkanku</t>
  </si>
  <si>
    <t>PPKMPelan Pelan Kau Meninggalkanku</t>
  </si>
  <si>
    <t>@marchteaa Tapi denger denger si KUA nya tutup ppkm suru onlen aja katanya🙂</t>
  </si>
  <si>
    <t>Tapi denger denger si KUA nya tutup ppkm suru onlen aja katanya</t>
  </si>
  <si>
    <t>Ni orang sibuk bicara ppkm lu sibuk ngurusi Anies aja,,,mslh Anies da ada yg nangani,,masalah rakyat yg dampak dari ppkm yg ko urus https://t.co/5rZApmzmCi</t>
  </si>
  <si>
    <t>Ni orang sibuk bicara ppkm lu sibuk ngurusi Anies aja,,,mslh Anies da ada yg nangani,,masalah rakyat yg dampak dari ppkm yg ko urus</t>
  </si>
  <si>
    <t>Pendek aja bikin gaduh apalagi di perpanjang...(ppkm)</t>
  </si>
  <si>
    <t>Jgn dibuat gini dong:( emg mau ppkm selama itu?:( Becandaannya ga lucu lah.. https://t.co/LAt0OOZVZq</t>
  </si>
  <si>
    <t>Jgn dibuat gini dong emg mau ppkm selama itu? Becandaannya ga lucu lah..</t>
  </si>
  <si>
    <t>" Seperti yang terjadi saat ini yaitu PPKM " ( Pertama Peduli Kemudian Menghilang ) 
 Karawang , 18 Juli 2021</t>
  </si>
  <si>
    <t>" Seperti yang terjadi saat ini yaitu PPKM " ( Pertama Peduli Kemudian Menghilang ) Karawang , Juli</t>
  </si>
  <si>
    <t>@BossTemlen Ya setuju sekali! Dengan perpanjangan PPKM InshaaAllah akan mempercepat lengsernya rezim.... Lalu bgmn nasib buzzerp? Dapur bisa nggak ngebul!</t>
  </si>
  <si>
    <t>Ya setuju sekali! Dengan perpanjangan PPKM InshaaAllah akan mempercepat lengsernya rezim.... Lalu bgmn nasib buzzerp? Dapur bisa nggak ngebul!</t>
  </si>
  <si>
    <t>@adabdulu @rahmaniarbaftim Ternyata akun bisa terjaring PPKM, luar biasa
 🥰</t>
  </si>
  <si>
    <t>Ternyata akun bisa terjaring PPKM, luar biasa</t>
  </si>
  <si>
    <t>"Selama ppkm ga usah masak, jajan aja" - Suami</t>
  </si>
  <si>
    <t>Demi apapun bm bgt makan nasi goreng kebon sirih, ppkm kapan kelarnya anjrit😭</t>
  </si>
  <si>
    <t>Demi apapun bm bgt makan nasi goreng kebon sirih, ppkm kapan kelarnya anjrit</t>
  </si>
  <si>
    <t>Apakah harus seperti ini yg Terhormat Bapak Presiden @jokowi
 ???
 Pria Bersimbah Darah di Posko Penyekatan PPKM Solok-Padang, Ngaku Matanya Ditusuk Petugas dan Buta https://t.co/QsgCdwrkgR</t>
  </si>
  <si>
    <t>Apakah harus seperti ini yg Terhormat Bapak Presiden ???Pria Bersimbah Darah di Posko Penyekatan PPKM Solok-Padang, Ngaku Matanya Ditusuk Petugas dan Buta</t>
  </si>
  <si>
    <t>@e100ss Curcol' saya taat ppkm berharap pademi ini cepet selesai, agar saya bisa kerja lagi (eo), rasanya ingin menangis melihat orang2 yg seenaknya melanggar ppkm, prokes, dll. Tolong saudara setanah air, ayo kita kompak agar pademi ini cepat selesei.</t>
  </si>
  <si>
    <t>Curcol' saya taat ppkm berharap pademi ini cepet selesai, agar saya bisa kerja lagi (eo), rasanya ingin menangis melihat orang2 yg seenaknya melanggar ppkm, prokes, dll. Tolong saudara setanah air, ayo kita kompak agar pademi ini cepat selesei.</t>
  </si>
  <si>
    <t>@lailanadzoang abis ppkm 🙂</t>
  </si>
  <si>
    <t>abis ppkm</t>
  </si>
  <si>
    <t>@Endea4s ok nanti hbis ppkm</t>
  </si>
  <si>
    <t>ok nanti hbis ppkm</t>
  </si>
  <si>
    <t>ppkm - pelan pelan kamu masukin</t>
  </si>
  <si>
    <t>Masih menunggu paket yang sangat ditunggu-tunggu dikirim
 PPKM diperpanjang juga orz</t>
  </si>
  <si>
    <t>Masih menunggu paket yang sangat ditunggu-tunggu dikirimPPKM diperpanjang juga orz</t>
  </si>
  <si>
    <t>Mau bubur kuah kariii, tapi lg ppkm jd pasti mang nya ga lewat depan rumah huffft</t>
  </si>
  <si>
    <t>@Cobeh09 PPKM
 PELAN PELAN KITA MODYAR</t>
  </si>
  <si>
    <t>PPKMPELAN PELAN KITA MODYAR</t>
  </si>
  <si>
    <t>Efek PPKM "tolong jauhkan mata ini dari godaan discount, promo, gratis ongkir, voucher dan teman2nya" sedang ngirit ya tuhan ☺☺</t>
  </si>
  <si>
    <t>Efek PPKM "tolong jauhkan mata ini dari godaan discount, promo, gratis ongkir, voucher dan teman2nya" sedang ngirit ya tuhan</t>
  </si>
  <si>
    <t>@kumparan jangan perpanjang ppkm lagi pak, takutnya ada demo lagi di kota kota lain</t>
  </si>
  <si>
    <t>jangan perpanjang ppkm lagi pak, takutnya ada demo lagi di kota kota lain</t>
  </si>
  <si>
    <t>@SaveMoslem1 Latihan perang di masa pandemi? 
 Inikah tujuan PPKM yg sebenanya? 
 Meracuni orang lewat vaxxxxsin terus menyerahkan negara ke asing &amp;amp; aseng????!</t>
  </si>
  <si>
    <t>Latihan perang di masa pandemi? Inikah tujuan PPKM yg sebenanya? Meracuni orang lewat vaxxxxsin terus menyerahkan negara ke asing &amp;amp; aseng????!</t>
  </si>
  <si>
    <t>@nuttysaham @CintaDa87863729 @gmantwothree @Dennysiregar7 @jokowi Lahh emang solusi ppkm darurat working? Pemangku nya aja minta maaf kok karena ga efektif.</t>
  </si>
  <si>
    <t>Lahh emang solusi ppkm darurat working? Pemangku nya aja minta maaf kok karena ga efektif.</t>
  </si>
  <si>
    <t>gue ga peduli sama kalian, tpi bawa-bawa ppkm kata gue emng sinting banget si. ya dipikir aja berapa banyak lgi orang yg ga makan krn ppkm sialan ini😶</t>
  </si>
  <si>
    <t>gue ga peduli sama kalian, tpi bawa-bawa ppkm kata gue emng sinting banget si. ya dipikir aja berapa banyak lgi orang yg ga makan krn ppkm sialan ini</t>
  </si>
  <si>
    <t>Payah komunikasinya jelek bangeeet. Tibang bilang "barang terhambat ppkm" aja harus dibawelin dulu. Itupun yg ngomongnya harus diwakilin orang lain. Padahal kalau dari awal bilang begitu jg w bakal ngertiin. Ini mah malah ngejanjiin mulu tp ga jelas kepastiannya.</t>
  </si>
  <si>
    <t>@idtodayco Lah. Lha kemaren pak anoes udah bilang. Adain PPKM seminggu. Ditolak sama pusat. Siapa pusatnya. Tau sendiri ketua DPR dan presidennya serta Menteri segala urusannya siapa?. Wkwkwkkw</t>
  </si>
  <si>
    <t>Lah. Lha kemaren pak anoes udah bilang. Adain PPKM seminggu. Ditolak sama pusat. Siapa pusatnya. Tau sendiri ketua DPR dan presidennya serta Menteri segala urusannya siapa?. Wkwkwkkw</t>
  </si>
  <si>
    <t>@KemenkesRI @KemenkesRI , saya udah vaksin Sinovac ke-1 di Jaksel pada 23JUN lalu, nah karena sekarang lagi PPKM dan WFH saya berada di Bandung, Saya ber KTP bandung apakah bisa melkukan Vaksin Ke-2 di Bandung? Saya coba hubungin salah satu klikik Bandung yg menyediakan Vaksin, tapi ga bisa. https://t.co/gXuzkyzpQT</t>
  </si>
  <si>
    <t>, saya udah vaksin Sinovac ke-1 di Jaksel pada JUN lalu, nah karena sekarang lagi PPKM dan WFH saya berada di Bandung, Saya ber KTP bandung apakah bisa melkukan Vaksin Ke-2 di Bandung? Saya coba hubungin salah satu klikik Bandung yg menyediakan Vaksin, tapi ga bisa.</t>
  </si>
  <si>
    <t>@heavenblisss Ppkm ki,</t>
  </si>
  <si>
    <t>Ppkm ki,</t>
  </si>
  <si>
    <t>Udah tau ppkm sebegini menyusahkan, tapi disuruh prokes tinggal make masker aja susahnya naudzubillah, gitu gitu masih aja saling saling menyalahkan, dirinya sendiri saja engga bisa di atur.
 Beginilah hidup di tengah orang yang sak penak e dewe.</t>
  </si>
  <si>
    <t>Udah tau ppkm sebegini menyusahkan, tapi disuruh prokes tinggal make masker aja susahnya naudzubillah, gitu gitu masih aja saling saling menyalahkan, dirinya sendiri saja engga bisa di atur.Beginilah hidup di tengah orang yang sak penak e dewe.</t>
  </si>
  <si>
    <t>Malming PPKM week 2 , ketiduran jam 8 bangun jam 4 pagi. Perut sakit antara mau boker / makan.
 Then it's both bruh 😑</t>
  </si>
  <si>
    <t>Malming PPKM week , ketiduran jam bangun jam pagi. Perut sakit antara mau boker / makan.Then it's both bruh</t>
  </si>
  <si>
    <t>@NandaPriyatna Kelar ppkm nongs di mie ayam aldi taher capt</t>
  </si>
  <si>
    <t>Kelar ppkm nongs di mie ayam aldi taher capt</t>
  </si>
  <si>
    <t>@geloraco Kira2 mikir dulu gak ya nih nomongnya, lain halnya pemerintah tanggung kebutuhan rakyatnya selama PPKM, jangankan nonton sinetron yg tak guna itu pun ya mgkn aja rakyat lakuin....</t>
  </si>
  <si>
    <t>Kira2 mikir dulu gak ya nih nomongnya, lain halnya pemerintah tanggung kebutuhan rakyatnya selama PPKM, jangankan nonton sinetron yg tak guna itu pun ya mgkn aja rakyat lakuin....</t>
  </si>
  <si>
    <t>Kenapa sih banyak masyarakat Indonesia yg gabisa nurut peraturan selama masa ppkm? Terus kok banyk masyarakat Indonesia yang nakal banget selama masa pandemik?
 Let me explain. https://t.co/fPmSGipvNC</t>
  </si>
  <si>
    <t>Kenapa sih banyak masyarakat Indonesia yg gabisa nurut peraturan selama masa ppkm? Terus kok banyk masyarakat Indonesia yang nakal banget selama masa pandemik?Let me explain.</t>
  </si>
  <si>
    <t>@tempodotco artinya ppkm ga efekti. Menerapkan peraturan asal2an, malah nyusahin rakyat</t>
  </si>
  <si>
    <t>artinya ppkm ga efekti. Menerapkan peraturan asal2an, malah nyusahin rakyat</t>
  </si>
  <si>
    <t>@ABSetyono @jokowi @KSPgoid @kemkominfo @PlateJohnny Kalau masyarakat nya mau di atur, mungkin perpanjangan PPKM tidak akan terjadi. 
 @PlateJohnny @kemkominfo</t>
  </si>
  <si>
    <t>Kalau masyarakat nya mau di atur, mungkin perpanjangan PPKM tidak akan terjadi.</t>
  </si>
  <si>
    <t>@convomf suka ppkm tanpa pp 👀 @eternaltehin</t>
  </si>
  <si>
    <t>suka ppkm tanpa pp</t>
  </si>
  <si>
    <t>@syambari55 @rahmaniarbaftim Akun sampean masih kena PPKM x..🤭sabar...
 Apa jangan² kesenggol tukang baso bawa hate🙈</t>
  </si>
  <si>
    <t>Akun sampean masih kena PPKM x..sabar...Apa jangan kesenggol tukang baso bawa hate</t>
  </si>
  <si>
    <t>@monodamm Masih online sampe ppkm kayanya, kamu offline?</t>
  </si>
  <si>
    <t>Masih online sampe ppkm kayanya, kamu offline?</t>
  </si>
  <si>
    <t>Ditambah PPKM, makan makin ga terkontrol ini kayanya. Dan ku udah merasa berat banget ini badan tapi aku nyaman. Nyaman magernya juga nyaman ga perlu ngoyo workout yang penting sehat gitu.. dan ku merasa ku udah kaya babi sekarang 😂😂</t>
  </si>
  <si>
    <t>Ditambah PPKM, makan makin ga terkontrol ini kayanya. Dan ku udah merasa berat banget ini badan tapi aku nyaman. Nyaman magernya juga nyaman ga perlu ngoyo workout yang penting sehat gitu.. dan ku merasa ku udah kaya babi sekarang</t>
  </si>
  <si>
    <t>Semua tidak ada yg menginginkan PPKM ini di perpanjang, 
 Ayo lah semua disiplin protokol kesehatan, jangan bandel giliran Covid-19 Melonjak yg disalahkan pemerintah. 
 Johnny Plate @kemkominfo https://t.co/uRIfzcX6vx</t>
  </si>
  <si>
    <t>Semua tidak ada yg menginginkan PPKM ini di perpanjang, Ayo lah semua disiplin protokol kesehatan, jangan bandel giliran Covid-19 Melonjak yg disalahkan pemerintah. Johnny Plate</t>
  </si>
  <si>
    <t>@musniumar @Ameeranti Yg nerima bantuan kayak Bansos dsb orangnya itu lg itu lg,padahal yg kena dampak ppkm itu jumlahnya nambah dan rata2 tidak tercatat sbg penerima bantuan apapun dari pemerintah</t>
  </si>
  <si>
    <t>Yg nerima bantuan kayak Bansos dsb orangnya itu lg itu lg,padahal yg kena dampak ppkm itu jumlahnya nambah dan rata2 tidak tercatat sbg penerima bantuan apapun dari pemerintah</t>
  </si>
  <si>
    <t>@detikcom Dimaafin pak tapi tolong hentikan PPKM
 #TolakPPKMDarurat 
 #TolakPerpanjanganPPKM 
 #TolakPPKMdiPerpanjang 
 #HentikanPPKM 
 #PPKMSengsarakanRakyat</t>
  </si>
  <si>
    <t>Dimaafin pak tapi tolong hentikan PPKM</t>
  </si>
  <si>
    <t>@wisnu_pra @farizjbbr @idnkeras Mungkin karena ASN yang penghsilannya utuh tidak terdampak ppkm, beda dengan pengusaha kecil, biar adil aja kayanya</t>
  </si>
  <si>
    <t>Mungkin karena ASN yang penghsilannya utuh tidak terdampak ppkm, beda dengan pengusaha kecil, biar adil aja kayanya</t>
  </si>
  <si>
    <t>Jangan lupa PPKM
 "Pagi Pagi Kena Matahari"
 #ppkm
 #happy #sunday
 #keephealthy 
 #morning #morningmotivation 
 #sunrise #sunrisephotography @ Meruya Selatan, Kembangan, Jakarta Barat https://t.co/4HSfUjw0A9</t>
  </si>
  <si>
    <t>Jangan lupa PPKM"Pagi Pagi Kena Matahari" Meruya Selatan, Kembangan, Jakarta Barat</t>
  </si>
  <si>
    <t>@albertocung PPKM ndak diperpanjang, tanggap daruratnya yg diperpanjang</t>
  </si>
  <si>
    <t>PPKM ndak diperpanjang, tanggap daruratnya yg diperpanjang</t>
  </si>
  <si>
    <t>Habis ppkm staycation lagi (?) https://t.co/4O6q9Wx63c</t>
  </si>
  <si>
    <t>Habis ppkm staycation lagi (?)</t>
  </si>
  <si>
    <t>Lahan pemasukan baru, denda PPKM https://t.co/PkD9iEvKPr</t>
  </si>
  <si>
    <t>Lahan pemasukan baru, denda PPKM</t>
  </si>
  <si>
    <t>mak gua ngomong ppkm jadi PPKn 😍</t>
  </si>
  <si>
    <t>mak gua ngomong ppkm jadi PPKn</t>
  </si>
  <si>
    <t>@coraliabali Saya belum pernah ke pantai. itu ditutup dalam PPKM</t>
  </si>
  <si>
    <t>Saya belum pernah ke pantai. itu ditutup dalam PPKM</t>
  </si>
  <si>
    <t>PPKM Putar Puter Ketolak Melulu... Inilah yg saya hadapi ketika bapak saya sakit mencari rs. Akhir nya apak saya meninggal d perjalanan. Semoga lebih bijak lagi rs dlm menangani pasien yg sdng kritis. Tidak sekedar menolak tapi d tangani terlebih dahulu.</t>
  </si>
  <si>
    <t>Jadi pengen corndog tapi ya ppkm https://t.co/Kr4SSupllN</t>
  </si>
  <si>
    <t>Jadi pengen corndog tapi ya ppkm</t>
  </si>
  <si>
    <t>PPKM : Pande pande kau mutar</t>
  </si>
  <si>
    <t>Denda buat para pedagang di masa ppkm buat apa sih anjir mau dipake aparat atau petinggi jajan apa gimana..orang serba kekurangan masih diporotin. Tolol bgt ini negara</t>
  </si>
  <si>
    <t>Setuju begini ini.
 Giliran kena PPKM Darurat yang para pedagan kecil, mana para ulama yang mau kirim donasi bagi mereka ?
 Giliran Palestina bangga 3hari kumpul sekian miliar.
 Ayo mana… ayo mana ???? https://t.co/Glg7cWq4U0</t>
  </si>
  <si>
    <t>Setuju begini ini.Giliran kena PPKM Darurat yang para pedagan kecil, mana para ulama yang mau kirim donasi bagi mereka ?Giliran Palestina bangga hari kumpul sekian miliar.Ayo mana ayo mana ????</t>
  </si>
  <si>
    <t>Asu. Orang yg harus kerja disaat ppkm karna gak punya tabungan bahkan buat makan sehari2 susah didenda 100rb. Itu duit gede bgt nominalnya. Goblok banget https://t.co/gtMr4WNh8O</t>
  </si>
  <si>
    <t>Asu. Orang yg harus kerja disaat ppkm karna gak punya tabungan bahkan buat makan sehari2 susah didenda rb. Itu duit gede bgt nominalnya. Goblok banget</t>
  </si>
  <si>
    <t>@kumparan Ppkm darurat menurut saya itu lockdown versi negara bokek yg gak mau keluar duit buat rakyat sesuai uu karantina.</t>
  </si>
  <si>
    <t>Ppkm darurat menurut saya itu lockdown versi negara bokek yg gak mau keluar duit buat rakyat sesuai uu karantina.</t>
  </si>
  <si>
    <t>Terbukti deh ... perencanaan &amp;amp; koordinasi amburadul atau bahkan gak ada.
 Pada waktu memutus PPKM Darurat, tentu seharusnya sudah dipikirkan &amp;amp; berkoordinasi utk pelaksanaan BST &amp;amp; Bansos. https://t.co/JzEGM8hqpD</t>
  </si>
  <si>
    <t>Terbukti deh ... perencanaan &amp;amp; koordinasi amburadul atau bahkan gak ada.Pada waktu memutus PPKM Darurat, tentu seharusnya sudah dipikirkan &amp;amp; berkoordinasi utk pelaksanaan BST &amp;amp; Bansos.</t>
  </si>
  <si>
    <t>@arumidi Boleh yaa abis PPKM semoga ada waktu</t>
  </si>
  <si>
    <t>Boleh yaa abis PPKM semoga ada waktu</t>
  </si>
  <si>
    <t>@okezonenews Diberitakan, terus biar di indonesia bisa ikutan gitu?? Tapi disana dikenal nya Lockdown bukan istilah PSBB atau PPKM...paham??
 Cc : @DPR_RI @jokowi @mohmahfudmd https://t.co/5jg0DR6yt7</t>
  </si>
  <si>
    <t>Diberitakan, terus biar di indonesia bisa ikutan gitu?? Tapi disana dikenal nya Lockdown bukan istilah PSBB atau PPKM...paham??Cc :</t>
  </si>
  <si>
    <t>PPKM (pelan-pelan kamu menjauh)</t>
  </si>
  <si>
    <t>@justranka Ppkm dirumah dlu</t>
  </si>
  <si>
    <t>Ppkm dirumah dlu</t>
  </si>
  <si>
    <t>@ayarosche Yang di Lumajang itu? Mungkin orang iseng manfaatin isu. Jgn tambah panik. Di masa pandemi gini demit aja pusing kena PPKM..</t>
  </si>
  <si>
    <t>Yang di Lumajang itu? Mungkin orang iseng manfaatin isu. Jgn tambah panik. Di masa pandemi gini demit aja pusing kena PPKM..</t>
  </si>
  <si>
    <t>Brp banyak yg benci dgn diperpanjangnya PPKM?
 Tuliskan isi hatinya dikomentar</t>
  </si>
  <si>
    <t>Brp banyak yg benci dgn diperpanjangnya PPKM?Tuliskan isi hatinya dikomentar</t>
  </si>
  <si>
    <t>saya usul ppkm diperpanjang sampai makam hitler di garut ditemukan</t>
  </si>
  <si>
    <t>EVALUASI PPKM... TOLAK PERPANJANGAN PPKM... HENTIKAN PENDEKATAN KEKUASAAN, BUKA ASPIRASI MENGATASI PANDEMI...
 Catatan Apek Saiman:
 https://t.co/i6jbfYwHTI
 #PPKMSengsarakanRakyat
 #PresidenGagalWajibDiganti https://t.co/AQoW6FErpt</t>
  </si>
  <si>
    <t>EVALUASI PPKM... TOLAK PERPANJANGAN PPKM... HENTIKAN PENDEKATAN KEKUASAAN, BUKA ASPIRASI MENGATASI PANDEMI...Catatan Apek Saiman:</t>
  </si>
  <si>
    <t>ppkm darurat diperpanjang sampai jangan kemana-mana tetap di OVJ</t>
  </si>
  <si>
    <t>Kalo pas offline+gak ppkm di sby, pagi" gini ya udah di taman bungkul nyarap</t>
  </si>
  <si>
    <t>Semalam selintas lihat Video Dewi Tanjung yg memohon kpd Jokowi utk tdk memperpanjang PPKM...*terlepas ini hanya drama apa gak.
 Sy cuma mau bilang kl DT gak lg marah2,bicara baik dan sopan terlihat cantik jg yaa tp kl sebaliknya...hhhmm😊</t>
  </si>
  <si>
    <t>Semalam selintas lihat Video Dewi Tanjung yg memohon kpd Jokowi utk tdk memperpanjang PPKM...*terlepas ini hanya drama apa gak.Sy cuma mau bilang kl DT gak lg marah2,bicara baik dan sopan terlihat cantik jg yaa tp kl sebaliknya...hhhmm</t>
  </si>
  <si>
    <t>Coba pak LBP konsultasi kpd "Batu Karang Integritas Indonesia" Bpk Surya Paloh. Barangkali ada solusi atasi pandemi Covid-19 yg lbh baik drpd sekedar PPKM Darurat. Atau sowan kpd Pemimpin Adat Baduy di Kanekes sana, bisa jadi Allah tunjukkan "Sederhana itu pertanda Kebenaran". https://t.co/MKhSzNHfgy</t>
  </si>
  <si>
    <t>Coba pak LBP konsultasi kpd "Batu Karang Integritas Indonesia" Bpk Surya Paloh. Barangkali ada solusi atasi pandemi Covid-19 yg lbh baik drpd sekedar PPKM Darurat. Atau sowan kpd Pemimpin Adat Baduy di Kanekes sana, bisa jadi Allah tunjukkan "Sederhana itu pertanda Kebenaran".</t>
  </si>
  <si>
    <t>Wa ga dibales apa juga lagi ngelakuin ppkm ya?</t>
  </si>
  <si>
    <t>@bukalapak Pagi sebelum sarapan bikin kopi, jangan lupa buatin untuk Bapak.
 PPKM selalu happy karena bisa belanja sepuasnya di bukalapak
 #PilihanJagoan https://t.co/XEyKBOQSTm</t>
  </si>
  <si>
    <t>Pagi sebelum sarapan bikin kopi, jangan lupa buatin untuk Bapak.PPKM selalu happy karena bisa belanja sepuasnya di bukalapak</t>
  </si>
  <si>
    <t>ppkm : pelan pelan kita modiar</t>
  </si>
  <si>
    <t>Duhh punggung pegel bgt
 Weekend renang enak kali ya
 Ehh ppkm dahlah batal</t>
  </si>
  <si>
    <t>Duhh punggung pegel bgtWeekend renang enak kali yaEhh ppkm dahlah batal</t>
  </si>
  <si>
    <t>Pagi ini krn partner jogging gabisa balik Bdg gara2 ppkm, akhirnya mutusin jalan pagi sendirian sekitaran hutan kota bdg. Sejuk bgt kadang ngerasa beruntung bgt tinggal dikota ini 🥺
 Minggu dpn jalan pagi bareng yuk. Ada yg mo nemenin ga? https://t.co/TGnZZWHrjr</t>
  </si>
  <si>
    <t>Pagi ini krn partner jogging gabisa balik Bdg gara2 ppkm, akhirnya mutusin jalan pagi sendirian sekitaran hutan kota bdg. Sejuk bgt kadang ngerasa beruntung bgt tinggal dikota ini Minggu dpn jalan pagi bareng yuk. Ada yg mo nemenin ga?</t>
  </si>
  <si>
    <t>@eT3k3WeR_ Udeh bener dulu oposan minta lockdown pake uu karantina, cebong malah ngamuk2.
 Sekarang ppkm darurat yg nggak dapet ape2 pada misuh nyesel.
 Mamam tuh..!</t>
  </si>
  <si>
    <t>Udeh bener dulu oposan minta lockdown pake uu karantina, cebong malah ngamuk2.Sekarang ppkm darurat yg nggak dapet ape2 pada misuh nyesel.Mamam tuh..!</t>
  </si>
  <si>
    <t>@Ikahidayatt PPKM mbak</t>
  </si>
  <si>
    <t>PPKM mbak</t>
  </si>
  <si>
    <t>Oh, ada yang minta maaf PPKM gagal. Bisakah maaf itu menghidupkan mereka, para korban? Dan dikonversi menanggung beban keluarga yang ditinggalkan?</t>
  </si>
  <si>
    <t>@03__nakula Dan yg pasti... Mrk akan lakukan PENOLAKAN setelah PPKM Darurat di lalukan. Itupun jg krn DI DUKUNG dan DI MOTORI para DEDENGKOT PEMBENCI² PERINTAH.</t>
  </si>
  <si>
    <t>Dan yg pasti... Mrk akan lakukan PENOLAKAN setelah PPKM Darurat di lalukan. Itupun jg krn DI DUKUNG dan DI MOTORI para DEDENGKOT PEMBENCI PERINTAH.</t>
  </si>
  <si>
    <t>@ArnoldPoernomo Sunmori pas PPKM boleh ya Chef?</t>
  </si>
  <si>
    <t>Sunmori pas PPKM boleh ya Chef?</t>
  </si>
  <si>
    <t>Mungkin akibat PPKm sedikit membuat udara bersih jdi sejuk https://t.co/V21eJap5Mz</t>
  </si>
  <si>
    <t>Mungkin akibat PPKm sedikit membuat udara bersih jdi sejuk</t>
  </si>
  <si>
    <t>Liat story temen temen usahawan pada ngeluh ppkm jadi kesel sendiri, apalagi nek denger "situ mah enak kerja di rs" 
 Ku slebew kiri kanan pakek masker ns95 sesak nafas kau :"</t>
  </si>
  <si>
    <t>Liat story temen temen usahawan pada ngeluh ppkm jadi kesel sendiri, apalagi nek denger "situ mah enak kerja di rs" Ku slebew kiri kanan pakek masker ns95 sesak nafas kau :"</t>
  </si>
  <si>
    <t>Jangan ppkm gak berdampak sama orang rumahsakit, nafas kami jadi susah. Stresor meningkat. Imun kami harus tetap sehat. 
 Kami gak butuh insentif besar, dengan tanpa insentif pun saya masih bisa hidup dan menghidupi untuk dua orang :) https://t.co/K9g0D8qbfm</t>
  </si>
  <si>
    <t>Jangan ppkm gak berdampak sama orang rumahsakit, nafas kami jadi susah. Stresor meningkat. Imun kami harus tetap sehat. Kami gak butuh insentif besar, dengan tanpa insentif pun saya masih bisa hidup dan menghidupi untuk dua orang</t>
  </si>
  <si>
    <t>@tempodotco bentar lg komen ppkm</t>
  </si>
  <si>
    <t>bentar lg komen ppkm</t>
  </si>
  <si>
    <t>PPKM: Pengen Peluk Kamu Manis 😗</t>
  </si>
  <si>
    <t>PPKM: Pengen Peluk Kamu Manis</t>
  </si>
  <si>
    <t>Entah, setelah kebijakan PPKM ini, semua pagi menjadi lebih dingin. ❄️ https://t.co/Y3SyChqi83</t>
  </si>
  <si>
    <t>Entah, setelah kebijakan PPKM ini, semua pagi menjadi lebih dingin.</t>
  </si>
  <si>
    <t>Bersyukur waktu liburan foto sebanyak mungkin, waktu ppkm tiba hmmm liburan virtual dulu ye.</t>
  </si>
  <si>
    <t>@TofaTofa_id Mungkin sedang mempersiapkn SEMBAKO jatah PPKM...</t>
  </si>
  <si>
    <t>Mungkin sedang mempersiapkn SEMBAKO jatah PPKM...</t>
  </si>
  <si>
    <t>snapy buka ga sih ppkm</t>
  </si>
  <si>
    <t>Selamat pagiiiii
 PPKM jadi di perpanjang ya?</t>
  </si>
  <si>
    <t>Selamat pagiiiiiPPKM jadi di perpanjang ya?</t>
  </si>
  <si>
    <t>@HabiebBass Padahal apa ya kaitannya antara Pancasila dengan PPKM?</t>
  </si>
  <si>
    <t>Padahal apa ya kaitannya antara Pancasila dengan PPKM?</t>
  </si>
  <si>
    <t>@aqifaaa Ya gimana, masih PPKm nih</t>
  </si>
  <si>
    <t>Ya gimana, masih PPKm nih</t>
  </si>
  <si>
    <t>PPKM smp tgl berapa ?</t>
  </si>
  <si>
    <t>@IwanPangka @panca66 Jelas dicari rakyat dan diadili, makanya mrk paling ketakutan kalau ppkm diperpanjang yg bisa berujung chaos</t>
  </si>
  <si>
    <t>Jelas dicari rakyat dan diadili, makanya mrk paling ketakutan kalau ppkm diperpanjang yg bisa berujung chaos</t>
  </si>
  <si>
    <t>@veaadeeana Gimana mau dapet pasangan,
 Sudahlah jomblo,
 Kena PPKM pula...🤣🤣🤣</t>
  </si>
  <si>
    <t>Gimana mau dapet pasangan,Sudahlah jomblo,Kena PPKM pula...</t>
  </si>
  <si>
    <t>Minta maafnya karena pelaksaan PPKM belom optimal. Bukan karena gag...... 
 ((Tibatiba gue kontraksi)) https://t.co/KuRD1ZuCVZ</t>
  </si>
  <si>
    <t>Minta maafnya karena pelaksaan PPKM belom optimal. Bukan karena gag...... ((Tibatiba gue kontraksi))</t>
  </si>
  <si>
    <t>@ABSetyono @liputan6dotcom @Dennysiregar7 @kemkominfo @vita_AVP @narkosun @JamieFoxiy @itsputrey @InggaSelayar Meski pemerintah sudah menerapkan Pemberlakuan PPKM belum ada tanda-tanda mereda. 
 @PlateJohnny @kemkominfo</t>
  </si>
  <si>
    <t>Meski pemerintah sudah menerapkan Pemberlakuan PPKM belum ada tanda-tanda mereda.</t>
  </si>
  <si>
    <t>https://t.co/LngTCS9TAl
 emang gila pemerintah, bagian WNA masuk adem ayem, disini pusing ppkm</t>
  </si>
  <si>
    <t>gila pemerintah, bagian WNA masuk adem ayem, disini pusing ppkm</t>
  </si>
  <si>
    <t>@kompascom Kyak sudah sering denger kyak gini, ujung2nya warga melanggar, 1-2minggu kemudian covid melonjak, lalu ppkm diperpanjang, kemudian warga marah2 nyalahin pemerintah gak becus nanganin covid.</t>
  </si>
  <si>
    <t>Kyak sudah sering denger kyak gini, ujung2nya warga melanggar, $NUMBER$minggu kemudian covid melonjak, lalu ppkm diperpanjang, kemudian warga marah2 nyalahin pemerintah gak becus nanganin covid.</t>
  </si>
  <si>
    <t>PPKM, 
 Pada Pusing Karena Miskin.</t>
  </si>
  <si>
    <t>PPKM, Pada Pusing Karena Miskin.</t>
  </si>
  <si>
    <t>@ajengcute16__ @PutraWadapi @jokowi Pertanyaannya itu,
 PPkM Darurat ini untuk Melarang Kerumunan apa Melarang Orang Berjualan sih?
 Banyak Pedagang Kecil d pinggir jalan yg bahkan lg sepi Pembeli Malah d suruh Tutup, lah mereka kan Cari Makan Buat Hidup,
 Seharusnya d Perjelas Maksud Larangan PPKM itu seperti apa?</t>
  </si>
  <si>
    <t>Pertanyaannya itu,PPkM Darurat ini untuk Melarang Kerumunan apa Melarang Orang Berjualan sih?Banyak Pedagang Kecil d pinggir jalan yg bahkan lg sepi Pembeli Malah d suruh Tutup, lah mereka kan Cari Makan Buat Hidup,Seharusnya d Perjelas Maksud Larangan PPKM itu seperti apa?</t>
  </si>
  <si>
    <t>@XLG4ever @thata_oktv Kan kasian....,
 Udahlah jomblo, kena PPKM pula...
 Mending yg kedua, masih ketemu sesekali....😂😂🤣😂🤣</t>
  </si>
  <si>
    <t>Kan kasian....,Udahlah jomblo, kena PPKM pula...Mending yg kedua, masih ketemu sesekali....</t>
  </si>
  <si>
    <t>ppkm (pagi-pagi kangen km) 
 alah sia boi</t>
  </si>
  <si>
    <t>ppkm (pagi-pagi kangen km) alah sia boi</t>
  </si>
  <si>
    <t>PPKM day-16. Belom tidur, dan nanti nguras banyak. Padahal kagak minum kopi, tapi kok gak ngantuk-ngantuk 😶</t>
  </si>
  <si>
    <t>PPKM day-16. Belom tidur, dan nanti nguras banyak. Padahal kagak minum kopi, tapi kok gak ngantuk-ngantuk</t>
  </si>
  <si>
    <t>Selamat pagi generasi PPKM berjilid-jilid.</t>
  </si>
  <si>
    <t>Variant Delta katanya ganas,PPKM kok cuma 2 Minggu,sekalian dua Tahun aja Hut Hut ...yahut... 😂🤪 
 @jokowi 
 @KemenkesRI 
 @RamliRizal 
 @tempodotco 
 @Hilmi28 https://t.co/hjnLaIJunz</t>
  </si>
  <si>
    <t>Variant Delta katanya ganas,PPKM kok cuma Minggu,sekalian dua Tahun aja Hut Hut ...yahut...</t>
  </si>
  <si>
    <t>aku suka ppkm without pp✋🏼</t>
  </si>
  <si>
    <t>aku suka ppkm without pp</t>
  </si>
  <si>
    <t>@gagitudre ppkm ni</t>
  </si>
  <si>
    <t>ppkm ni</t>
  </si>
  <si>
    <t>@Askrlfess kemarin kemarin tiap hari nangis karena LDR. baru 2 minggu tapi kaya udah sebulan ga ketemu dia, padahal tiap hari video call. i miss him like crazy lah. semoga 2 minggu lagi gaada perpanjang ppkm biar bisa ketemu🥲</t>
  </si>
  <si>
    <t>kemarin kemarin tiap hari nangis karena LDR. baru minggu tapi kaya udah sebulan ga ketemu dia, padahal tiap hari video call. i miss him like crazy lah. semoga minggu lagi gaada perpanjang ppkm biar bisa ketemu</t>
  </si>
  <si>
    <t>@Liaauliaaa3 @sosmedkeras serius? kotaku dari awal gaada ppkm, tapi untuk sistem pembelajaran tetep dirumah aja</t>
  </si>
  <si>
    <t>serius? kotaku dari awal gaada ppkm, tapi untuk sistem pembelajaran tetep dirumah aja</t>
  </si>
  <si>
    <t>@geloraco Innalillahi wa inna ilaihi roojiuun.Petugas PPKM sampe segitunya sm warga.</t>
  </si>
  <si>
    <t>Innalillahi wa inna ilaihi roojiuun.Petugas PPKM sampe segitunya sm warga.</t>
  </si>
  <si>
    <t>Im not against PPKM, setuju biar turun angka covid. 
 Tapi.. masa orang disuruh diem di rumah terus tanpa dikasih bantuan? 
 Yah gaada yg akan nurut lah. Apalagi kalo bukan orang kantoran dan emang harus jualan.</t>
  </si>
  <si>
    <t>Im not against PPKM, setuju biar turun angka covid. Tapi.. masa orang disuruh diem di rumah terus tanpa dikasih bantuan? Yah gaada yg akan nurut lah. Apalagi kalo bukan orang kantoran dan emang harus jualan.</t>
  </si>
  <si>
    <t>@agilfarizddd karna ppkm kah?</t>
  </si>
  <si>
    <t>karna ppkm kah?</t>
  </si>
  <si>
    <t>@hipohan @jokowi Bkn mmberontak, itu mmg order kk pmbina. Mn ada buzzeRp ngetwit pake nurani.
 Itu kmpanye spy rezim punya alasn stop ppkm,pdhl itu tindakn brbahaya yg akn naikkan korban jiwa. Cara lepas tg jwb dg alasn aspirasi rkyat.
 Yg bnr qta tuntut LANJUTKAN PPKM &amp;amp;PENUHI KEBUTUHAN POKOK WARGA</t>
  </si>
  <si>
    <t>Bkn mmberontak, itu mmg order kk pmbina. Mn ada buzzeRp ngetwit pake nurani.Itu kmpanye spy rezim punya alasn stop ppkm,pdhl itu tindakn brbahaya yg akn naikkan korban jiwa. Cara lepas tg jwb dg alasn aspirasi rkyat.Yg bnr qta tuntut LANJUTKAN PPKM &amp;ampENUHI KEBUTUHAN POKOK WARGA</t>
  </si>
  <si>
    <t>@ShantyMacika @gmantwothree @Dennysiregar7 @jokowi jangan melihatnya dari sisi kalangan menengah dan atas aja, mrk kaya, bergaji, duitnya ada utk bbrp mggu kdpn bahkan bbrp thn kdpn, tp yg kerja harian hslnya hanya cukup utk makan sehari gmn?
 Kl ppkm darurat trs rakyat lapar dan berontak, nah ini yg diharapkan kaum oplosan/daster</t>
  </si>
  <si>
    <t>jangan melihatnya dari sisi kalangan menengah dan atas aja, mrk kaya, bergaji, duitnya ada utk bbrp mggu kdpn bahkan bbrp thn kdpn, tp yg kerja harian hslnya hanya cukup utk makan sehari gmn?Kl ppkm darurat trs rakyat lapar dan berontak, nah ini yg diharapkan kaum oplosan/daster</t>
  </si>
  <si>
    <t>@ArizaPatria terima kasih banyak pak. semangat selalu menebar kebaikan di masa pandemi, yuk #BTSARMY taati ppkm dan makan soto betawi pake telur asin *ehh vaksin mksdnya 🤗 abis itu dengerin lagu barunya BTS #PermissiontoDance pasti tambah semangat deh 😊💜 https://t.co/vBXivZPPCn</t>
  </si>
  <si>
    <t>terima kasih banyak pak. semangat selalu menebar kebaikan di masa pandemi, yuk taati ppkm dan makan soto betawi pake telur asin *ehh vaksin mksdnya abis itu dengerin lagu barunya BTS pasti tambah semangat deh</t>
  </si>
  <si>
    <t>@kopikoblaster lg ppkm mas</t>
  </si>
  <si>
    <t>lg ppkm mas</t>
  </si>
  <si>
    <t>@idextratime PPKM di perpanjang sampai spurs memenangkan sesuatu</t>
  </si>
  <si>
    <t>PPKM di perpanjang sampai spurs memenangkan sesuatu</t>
  </si>
  <si>
    <t>Itu relationship apa PPKM , kok Jawa-Bali 🥺😫🥲</t>
  </si>
  <si>
    <t>Itu relationship apa PPKM , kok Jawa-Bali</t>
  </si>
  <si>
    <t>Nah ini catatan penting jgn percaya apapun yg buzzer laknat sampaikan yg sepertinya menolak PPKM.
 Krn mmg ujung2nya spy pak lurah ga lengser dan dia aman utk msh bekerja sbg buzzer. https://t.co/K2NfXBi7GR</t>
  </si>
  <si>
    <t>Nah ini catatan penting jgn percaya apapun yg buzzer laknat sampaikan yg sepertinya menolak PPKM.Krn mmg ujung2nya spy pak lurah ga lengser dan dia aman utk msh bekerja sbg buzzer.</t>
  </si>
  <si>
    <t>@ncitybase_ jangan sangkut pautin ppkm sama kpop nder plis😭 kaya gini ga cocok buat bercandaan. takedown aja ya nder...</t>
  </si>
  <si>
    <t>jangan sangkut pautin ppkm sama kpop nder plis kaya gini ga cocok buat bercandaan. takedown aja ya nder...</t>
  </si>
  <si>
    <t>@jokowi Pak lihat rakyatmu hentikan ppkm pak kita sudah sangat lapar.mau sampai kapan pak kita harus menahan lapar.bisa ada demo besar dari perut lapar pak.</t>
  </si>
  <si>
    <t>Pak lihat rakyatmu hentikan ppkm pak kita sudah sangat lapar.mau sampai kapan pak kita harus menahan lapar.bisa ada demo besar dari perut lapar pak.</t>
  </si>
  <si>
    <t>Mau nanya lagi PPKM gini kereta tetap beroperasi kek biasakan? Atau gmn? 
 Jwb yah klo lewat</t>
  </si>
  <si>
    <t>Mau nanya lagi PPKM gini kereta tetap beroperasi kek biasakan? Atau gmn? Jwb yah klo lewat</t>
  </si>
  <si>
    <t>Ini akibat pemerintah menerapkan PPKM, tapi rakyat tidak dijamin kebutuhannya. Mereka bisa mati.
 ~KH. Hafidz Abdurrahman, MA. 
 —————————————
 Bersama Melanjutkan Kehidupan Islam
 #BanuaSyariah #Islam #Syariah #BersamaDalamDakwah #IslamSolusiHakiki #IslamRahmatanLilAlamin https://t.co/FIcXOYTLdZ</t>
  </si>
  <si>
    <t>Ini akibat pemerintah menerapkan PPKM, tapi rakyat tidak dijamin kebutuhannya. Mereka bisa mati.~KH. Hafidz Abdurrahman, MA. Bersama Melanjutkan Kehidupan Islam</t>
  </si>
  <si>
    <t>Ikhtiar pemerintah di saat pandemi adalah PPKM dengan harapan bisa meminimalisir kasus covid-19, ikhtiar masyarakat adalah menjaga kehidupan di tempat yang paling aman.</t>
  </si>
  <si>
    <t>Pemerintah nerapin kebijakan juga mempertimbangkan bantu rakyat. Gasemua rakyat kaya gasemua rakyat bisa beli makan sehari hari makanya dibantu. Sering juga liat orang dagang ngeluh ppkm jd gbsa dagang/ dagang tp gacukup. Makanya kita hrs kerja sama biar bisa ngatasin pandemi</t>
  </si>
  <si>
    <t>Kitten boleh ga wf nya aku campur tempe? Kcg! Ku pup nya rada lembek tpi dia ga klhtan klo mencret soalnya jdwal pup masih kyk biasanya. Disini ga bisa ke vet krna jauh dan lagi ppkm jga. https://t.co/SVNG7izW2v</t>
  </si>
  <si>
    <t>Kitten boleh ga wf nya aku campur tempe? Kcg! Ku pup nya rada lembek tpi dia ga klhtan klo mencret soalnya jdwal pup masih kyk biasanya. Disini ga bisa ke vet krna jauh dan lagi ppkm jga.</t>
  </si>
  <si>
    <t>Sidang Akhir + PPKM + dada kiri sakit mulu = PODAR WEH BAGONG!</t>
  </si>
  <si>
    <t>@optimuspram_ Aaaa gua demen nih yg begini. Tp kan ppkm ya, joging dikamar aja gt?</t>
  </si>
  <si>
    <t>Aaaa gua demen nih yg begini. Tp kan ppkm ya, joging dikamar aja gt?</t>
  </si>
  <si>
    <t>Psbb tahun lalu keknya masig bs enjoy main tiktok sm ngaduk dalgona. Tp ppkm skrg gak gila aja udh bersyukur bgttttt😢</t>
  </si>
  <si>
    <t>Psbb tahun lalu keknya masig bs enjoy main tiktok sm ngaduk dalgona. Tp ppkm skrg gak gila aja udh bersyukur bgttttt</t>
  </si>
  <si>
    <t>@mysnla kan ppkm ya jd ga keluar pas hari minggu</t>
  </si>
  <si>
    <t>kan ppkm ya jd ga keluar pas hari minggu</t>
  </si>
  <si>
    <t>@fadlizon Sebentar PSBB, PPKM, tujuannya untuk nakuti rakyat agar vaksin, tutup jln jd macet, tutup warung rakyat tak dapat uang, sementara semua pejabat minta dilayani anehnya lagi penyekatan seolah2 pemerintah tau dimana covid itu berada sedang koruptor kok mereka susah terdeteksi, nga</t>
  </si>
  <si>
    <t>Sebentar PSBB, PPKM, tujuannya untuk nakuti rakyat agar vaksin, tutup jln jd macet, tutup warung rakyat tak dapat uang, sementara semua pejabat minta dilayani anehnya lagi penyekatan seolah2 pemerintah tau dimana covid itu berada sedang koruptor kok mereka susah terdeteksi, nga</t>
  </si>
  <si>
    <t>PPKM diperpanjang.
 .
 Trend sepedaan bakal naik lg 😂
 .
 Semarang 18 Juli 2021 https://t.co/Gk64ijadMB</t>
  </si>
  <si>
    <t>PPKM diperpanjang..Trend sepedaan bakal naik lg .Semarang Juli</t>
  </si>
  <si>
    <t>Selamat pagi,
 Jangan lupa bahagia, walaupun ppkm semakin menjepit kebutuhuan ekonomi.</t>
  </si>
  <si>
    <t>Selamat pagi,Jangan lupa bahagia, walaupun ppkm semakin menjepit kebutuhuan ekonomi.</t>
  </si>
  <si>
    <t>Kelar ppkm harus staycation</t>
  </si>
  <si>
    <t>Masa nangis pagi2 liat video pedagang kena denda dll. Well i know katanya gak nurut peraturan krn lg PPKM, tapi kalo mrk kelaperan emg makanan jatoh dr atas aja gitu? 
 Term lockdown aja diganti PPKM biar gaada kewajiban ngasih2 HEHE.</t>
  </si>
  <si>
    <t>Masa nangis pagi2 liat video pedagang kena denda dll. Well i know katanya gak nurut peraturan krn lg PPKM, tapi kalo mrk kelaperan emg makanan jatoh dr atas aja gitu? Term lockdown aja diganti PPKM biar gaada kewajiban ngasih2 HEHE.</t>
  </si>
  <si>
    <t>Percuma pemerintah nerapin PPKM dsb kalo lo ganurut. Percuma kalo pemerintahnya sebagus negara superpower kalo lo nya ndablek. Inget awal pandemi semua lockdown, sebenernya bagus bisa diterapin dan berhasil memperlambat tapi pemerintah jg harus turun tangan bantu rakyat</t>
  </si>
  <si>
    <t>aku baru nyadar bgt bgt bgt ternyata ppkm seberpengaruh itu. sepelenya, toko makanan atau apapun itu gak ada yg buka pagi2 krn harus buka sekitar jam 9/10. meanwhile, aku tiap pagi suka pengen makanan yg random di gofood tp masih pada tutup:(</t>
  </si>
  <si>
    <t>aku baru nyadar bgt bgt bgt ternyata ppkm seberpengaruh itu. sepelenya, toko makanan atau apapun itu gak ada yg buka pagi2 krn harus buka sekitar jam /10. meanwhile, aku tiap pagi suka pengen makanan yg random di gofood tp masih pada tutup</t>
  </si>
  <si>
    <t>minggu² gini lagi ppkm ya dirumah mulu</t>
  </si>
  <si>
    <t>minggu gini lagi ppkm ya dirumah mulu</t>
  </si>
  <si>
    <t>Mari kita langgar PPKM https://t.co/Aik9wBOnQE</t>
  </si>
  <si>
    <t>Mari kita langgar PPKM</t>
  </si>
  <si>
    <t>@ratnaroidatin2 Malam minggu dirumah aja kan ya, jadi PPKM hal yang biasa</t>
  </si>
  <si>
    <t>Malam minggu dirumah aja kan ya, jadi PPKM hal yang biasa</t>
  </si>
  <si>
    <t>Sedangkan gue masih harus mengais rezeky saat ppkm https://t.co/pGfwIrHaYE</t>
  </si>
  <si>
    <t>Sedangkan gue masih harus mengais rezeky saat ppkm</t>
  </si>
  <si>
    <t>anda salah persepsi
 bukannya kami denial covid, tapi waktu psbb dan ppkm kemaren aja yang punya umkm udah babak belur.
 kami tahu pengorbanan nakes sangat besar dan kita sangat mengapresiasi itu, tapi tolong juga berikan solusi yang lebih baik untuk kalangan umkm https://t.co/hXtHKtbnW3</t>
  </si>
  <si>
    <t>anda salah persepsibukannya kami denial covid, tapi waktu psbb dan ppkm kemaren aja yang punya umkm udah babak belur.kami tahu pengorbanan nakes sangat besar dan kita sangat mengapresiasi itu, tapi tolong juga berikan solusi yang lebih baik untuk kalangan umkm</t>
  </si>
  <si>
    <t>PPKM darurat saya pikir g berguna,selama masih aja masyarakat yg bandel.kenyataan COVID terus meningkat.dah cabut aja.kami butuh pekerjaan buat ngasih makan keluarga kami.ingat kucing yang kelaparan ganasnya akan seperti macan demi mendapatkan makanan.</t>
  </si>
  <si>
    <t>heran bgt aku tuh sm org2 yg masih cangs gajelas pas ppkm ngene trs di instastory?! dikiro keren bee🙃 ga bgt</t>
  </si>
  <si>
    <t>heran bgt aku tuh sm org2 yg masih cangs gajelas pas ppkm ngene trs di instastory?! dikiro keren bee ga bgt</t>
  </si>
  <si>
    <t>Varian Delta ini daya serangnya memang luar biasa. Di semua negara pasien terpapar Vovid-19 naik lagi, termasuk Singapura. Patuhi PPKM Darurat, Protokol Kesehatan 6, vaksin bagi yg belum, bantu sesama &amp;amp; saling menjaga. Banyak tempat yg menyediakan vaksin #vaksindemilindungiri https://t.co/yN1YOAX8MG</t>
  </si>
  <si>
    <t>Varian Delta ini daya serangnya memang luar biasa. Di semua negara pasien terpapar Vovid-19 naik lagi, termasuk Singapura. Patuhi PPKM Darurat, Protokol Kesehatan , vaksin bagi yg belum, bantu sesama &amp;amp; saling menjaga. Banyak tempat yg menyediakan vaksin</t>
  </si>
  <si>
    <t>Teman-temin yg tetep kece di era PPKM. Jadikan pengalaman apes bangun molor gue di atas, ingatan. Awas jangan kesandung di BRI.
 Shame on you Bank BRI...!👎👎👎 https://t.co/zX9ZhCYmK2</t>
  </si>
  <si>
    <t>Teman-temin yg tetep kece di era PPKM. Jadikan pengalaman apes bangun molor gue di atas, ingatan. Awas jangan kesandung di BRI.Shame on you Bank BRI...!</t>
  </si>
  <si>
    <t>Tuman,nanti klo nyai dh do icu baru ppkm di cabut..
 Virusnya lg bergentayangan nyari nyai setan.. https://t.co/tkBuiqGINc</t>
  </si>
  <si>
    <t>Tuman,nanti klo nyai dh do icu baru ppkm di cabut..Virusnya lg bergentayangan nyari nyai setan..</t>
  </si>
  <si>
    <t>Harus ada langkah tegas dr pemerintah untuk mengatasi pandemi ini, STOP umbar2 berita yg menakut2i di TV, sdh banyak warga yg hancur perekonomian akibat PPKM yg tentu tidak berdampak tragis di kaum centang biru, minta maaf emang keren , tp ambil langkah yg lebih jelas lhb keren..</t>
  </si>
  <si>
    <t>@Hendrasastraa Ppkm diem dirumaaa</t>
  </si>
  <si>
    <t>Ppkm diem dirumaaa</t>
  </si>
  <si>
    <t>PPKM DIPERPANJANG SAMPAI
 Dirimu menjadi bintang...</t>
  </si>
  <si>
    <t>PPKM DIPERPANJANG SAMPAIDirimu menjadi bintang...</t>
  </si>
  <si>
    <t>@ade1827 @FKadrun bkn..kah ppkm hnya untuk wil.bali dan jawa....? lgian ngapain sih disekat sekat,bikin susah rakyat cari makan..ppkm rasa lokcdwon pemerintah ogah rugi ngasih mkn rakyatnya</t>
  </si>
  <si>
    <t>bkn..kah ppkm hnya untuk wil.bali dan jawa....? lgian ngapain sih disekat sekat,bikin susah rakyat cari makan..ppkm rasa lokcdwon pemerintah ogah rugi ngasih mkn rakyatnya</t>
  </si>
  <si>
    <t>@tempodotco ga usah, elite pemerintah saat ini adalah komika terbaik. banyak2 istilah psbb ppkm itu materi jokes terbaek</t>
  </si>
  <si>
    <t>ga usah, elite pemerintah saat ini adalah komika terbaik. banyak2 istilah psbb ppkm itu materi jokes terbaek</t>
  </si>
  <si>
    <t>@banwie PPKM FAVORITE JUGA INI MAH 🤤🤤🤤🤏🤏🤏❤️❤️❤️ anw goodluck yah rau!!!</t>
  </si>
  <si>
    <t>PPKM FAVORITE JUGA INI MAH anw goodluck yah rau!!!</t>
  </si>
  <si>
    <t>tes nya diundur aja pls lg ppkm loh ini</t>
  </si>
  <si>
    <t>hallllooo ppkm semarang diperpanjang engga si</t>
  </si>
  <si>
    <t>@marlina_idha PPKM dicabut saja paksa rakyat harus patuh Prokes 
 tidak nurut sakit ditanggung sendiri.</t>
  </si>
  <si>
    <t>PPKM dicabut saja paksa rakyat harus patuh Prokes tidak nurut sakit ditanggung sendiri.</t>
  </si>
  <si>
    <t>disuruh tertib prokes biar kondisi nggak harus PPKM kaya sekarang, malah protes PPKM sambil ngerokok deket banyak orang..
 jangan dulu salahkan PPKM, coba liat pribadi masing2 udah taat prokes belum untuk keselamatan lbh banyak orang https://t.co/UvJTcGUWiu</t>
  </si>
  <si>
    <t>disuruh tertib prokes biar kondisi nggak harus PPKM kaya sekarang, malah protes PPKM sambil ngerokok deket banyak orang..jangan dulu salahkan PPKM, coba liat pribadi masing2 udah taat prokes belum untuk keselamatan lbh banyak orang</t>
  </si>
  <si>
    <t>PPKM.. Pengen Peluk Kamu Manis 😂
 gak ngono ta -rek</t>
  </si>
  <si>
    <t>PPKM.. Pengen Peluk Kamu Manis gak ngono ta -rek</t>
  </si>
  <si>
    <t>Yaampun bu lu pikir lu doang yg kena dampak ppkm, minta keringnan sgala gw jg sama gw jg pngush kecil yg bru merintis msa iya gw musti nombok ggra lu mnt kringnan, tai bngt!!!</t>
  </si>
  <si>
    <t>KERJA APA COBA HARI MINGGU???? MANA LGI PPKM JUGA HADEH 🤦‍♀️🤦‍♀️</t>
  </si>
  <si>
    <t>KERJA APA COBA HARI MINGGU???? MANA LGI PPKM JUGA HADEH</t>
  </si>
  <si>
    <t>@FWBESS libur ppkm nder</t>
  </si>
  <si>
    <t>libur ppkm nder</t>
  </si>
  <si>
    <t>@Anitaaanugrah Lagi menjadi angota PPKM
 (Penantian Panjang Karena Menunggu)</t>
  </si>
  <si>
    <t>Lagi menjadi angota PPKM(Penantian Panjang Karena Menunggu)</t>
  </si>
  <si>
    <t>@rinanamaku @the_daddiess 😂😂😂
 Abis ppkm sini k Bandung Ceu</t>
  </si>
  <si>
    <t>Abis ppkm sini k Bandung Ceu</t>
  </si>
  <si>
    <t>Gara²...PPKM....🙄😠
 SIM..SALABIIIM...
 MARKIDUUUUUUD....😲😲😲😲 https://t.co/O60pMYT3Mr</t>
  </si>
  <si>
    <t>Gara...PPKM....SIM..SALABIIIM...MARKIDUUUUUUD....</t>
  </si>
  <si>
    <t>@HabiebBass mulai males liat, kapolri gak ada gebrakan nyata, apalagi di masa pandemi ini, penyebar hoax bebas2 aja,, kepolisian bolak-balik di tag, ya tetep ayem aja, orang kumpul2 demo aja dibiarin, setelah brutal baru ada ditangkepin, buat apa ada PPKM Darurat klo semua masih sama?</t>
  </si>
  <si>
    <t>mulai males liat, kapolri gak ada gebrakan nyata, apalagi di masa pandemi ini, penyebar hoax bebas2 aja,, kepolisian bolak-balik di tag, ya tetep ayem aja, orang kumpul2 demo aja dibiarin, setelah brutal baru ada ditangkepin, buat apa ada PPKM Darurat klo semua masih sama?</t>
  </si>
  <si>
    <t>@Commandsurabaya @BanggaSurabaya @SapawargaSby jembatan Surabaya penuh &amp;amp; halaman kelurahan dijadikan Tempat senam pagi, apakah ini gambaran PPKM? @BNPB_Indonesia @KhofifahIP @emil https://t.co/annfm4BEPl</t>
  </si>
  <si>
    <t>jembatan Surabaya penuh &amp;amp; halaman kelurahan dijadikan Tempat senam pagi, apakah ini gambaran PPKM?</t>
  </si>
  <si>
    <t>Perpanjang teroozz aja PPKM sekalian sampe one piece tamat</t>
  </si>
  <si>
    <t>@jokowi Pak presiden @jokowi saran saja.rakyat susah diatur,dimana mana ada perlawanan PPKM.sebaiknya semua dibebaskan saja kayak awal,anggap covid gak ada..biarkan seleksi alam bekerja.yg mau prokes,silahkan.yg gak mau juga silahkan..hitung2 mengurangi jlh org bebal pak.</t>
  </si>
  <si>
    <t>Pak presiden saran saja.rakyat susah diatur,dimana mana ada perlawanan PPKM.sebaiknya semua dibebaskan saja kayak awal,anggap covid gak ada..biarkan seleksi alam bekerja.yg mau prokes,silahkan.yg gak mau juga silahkan..hitung2 mengurangi jlh org bebal pak.</t>
  </si>
  <si>
    <t>Alhamdulillah selesai juga wisuda nay walau lagi ppkm https://t.co/D481AI4grb</t>
  </si>
  <si>
    <t>Alhamdulillah selesai juga wisuda nay walau lagi ppkm</t>
  </si>
  <si>
    <t>PPKM ini sebenernya nyelametin siapa?</t>
  </si>
  <si>
    <t>Tp nggak usah dibilang pas lagi PPKM, dia tau alurnya muter2 drmana klw gk ngikutin? https://t.co/tUXn5GMQfB</t>
  </si>
  <si>
    <t>Tp nggak usah dibilang pas lagi PPKM, dia tau alurnya muter2 drmana klw gk ngikutin?</t>
  </si>
  <si>
    <t>PPKM DARURAT JANGAN DIPERPANJANG LAGI MR.PRESIDENT.</t>
  </si>
  <si>
    <t>I did it again!!
 Yuk PPKM, Pelan Pelan Kita Mengsingset 😁
 Jangan sampe... PPKM, Pelan Pelan Kita Melar 🤭 https://t.co/14Z1f3EHpz</t>
  </si>
  <si>
    <t>I did it again!!Yuk PPKM, Pelan Pelan Kita Mengsingset Jangan sampe... PPKM, Pelan Pelan Kita Melar</t>
  </si>
  <si>
    <t>@parlinburman84 Pengangguran aja digaji, apalagi PPKM tunjangan melimpah hutang dibayarin negara..🏃‍♂️</t>
  </si>
  <si>
    <t>Pengangguran aja digaji, apalagi PPKM tunjangan melimpah hutang dibayarin negara..</t>
  </si>
  <si>
    <t>@BossTemlen Betul banget. Itu propaganda yg sengaja dibuat agar rezim punya alasan stop ppkm meskipun kondisi membahayakan. Buzzerp bkerja brdasar order kk pmbina bkn brdasar otak.
 Lanjutkan ppkm dan penuhi kebutuhan pokok warga!
 Jangan ngeles pak @jokowi</t>
  </si>
  <si>
    <t>Betul banget. Itu propaganda yg sengaja dibuat agar rezim punya alasan stop ppkm meskipun kondisi membahayakan. Buzzerp bkerja brdasar order kk pmbina bkn brdasar otak.Lanjutkan ppkm dan penuhi kebutuhan pokok warga!Jangan ngeles pak</t>
  </si>
  <si>
    <t>@olietamami Gajinya berapa mbak? Beneran deh saya mau asal gajinya mencukupi buat makan dan beli susu anak, 
 Gara2 ppkm gak jelas gini udah seminggu gak punya penghasilan sama sekali, saya lebih takut istri&amp;amp;anak gak makan daripada takut kopid..</t>
  </si>
  <si>
    <t>Gajinya berapa mbak? Beneran deh saya mau asal gajinya mencukupi buat makan dan beli susu anak, Gara2 ppkm gak jelas gini udah seminggu gak punya penghasilan sama sekali, saya lebih takut istri&amp;amp;anak gak makan daripada takut kopid..</t>
  </si>
  <si>
    <t>Gara² PPKM
 Jangan terjebak membandingkan si miskin kaya, situ enak kita laper 
 seolah² lupa: Allah ArRazaaq, Maha Pemberi Rizki, Yang Sangat Luas...
 masi banyak orang yg mau berbagi
 masi banyak mereka yg berempati
 masi banyak ibadah² yg kita sering lupakan esensinya</t>
  </si>
  <si>
    <t>Gara PPKMJangan terjebak membandingkan si miskin kaya, situ enak kita laper seolah lupa: Allah ArRazaaq, Maha Pemberi Rizki, Yang Sangat Luas...masi banyak orang yg mau berbagimasi banyak mereka yg berempatimasi banyak ibadah yg kita sering lupakan esensinya</t>
  </si>
  <si>
    <t>@shorithusiasm AAMIIN BSK UDH KLAR PPKM LAH SKUY😡😡😡👍</t>
  </si>
  <si>
    <t>AAMIIN BSK UDH KLAR PPKM LAH SKUY</t>
  </si>
  <si>
    <t>sumpek di pagi hari uda masuk jadwal harian selama ppkm</t>
  </si>
  <si>
    <t>@humas_jogja URGENSI mengumumkan varian Delta tu apa disaat semua rakyatmu wes mudeng beberapa bab varian Delta? Mbok nek mengumumkan ki sing nggenah, sing jelas. "Mengumumkan bahwa perpanjangan PPKM nantinya kehidupan warganya akan di jamin".</t>
  </si>
  <si>
    <t>URGENSI mengumumkan varian Delta tu apa disaat semua rakyatmu wes mudeng beberapa bab varian Delta? Mbok nek mengumumkan ki sing nggenah, sing jelas. "Mengumumkan bahwa perpanjangan PPKM nantinya kehidupan warganya akan di jamin".</t>
  </si>
  <si>
    <t>@shitlicious Nyari yang sekiranya bisa ngajak chat lah minimal. Bosan ppkm darurat tanpa chat.. bosen di kamar terus #BiroJomblo https://t.co/lVj1LklCiN</t>
  </si>
  <si>
    <t>Nyari yang sekiranya bisa ngajak chat lah minimal. Bosan ppkm darurat tanpa chat.. bosen di kamar terus</t>
  </si>
  <si>
    <t>@dannysast @Syarman59 @KPK_RI Namanya juga PPKM
 Pemenang Pilkada Karena Mayat</t>
  </si>
  <si>
    <t>Namanya juga PPKMPemenang Pilkada Karena Mayat</t>
  </si>
  <si>
    <t>aku ada sedikit rejeki, buat kalian yang kesulitan ekonomi gegara ppkm bisa dm aku ya, semoga bermanfaat 😊</t>
  </si>
  <si>
    <t>aku ada sedikit rejeki, buat kalian yang kesulitan ekonomi gegara ppkm bisa dm aku ya, semoga bermanfaat</t>
  </si>
  <si>
    <t>Setelah minta maap apa tidak sebaiknya mengundurkan diri baru itu gentlemen. Bukan rakyat pesimis dengan keadaan realitanya selama bapak memimpin pemberabtasan COVID-19 tidak terlihat hasil yg nyata ppkm hampir selesai sudah ada lagi rencana diperpanjang berarti cara anda gagal https://t.co/JZPv8pPEBi</t>
  </si>
  <si>
    <t>Setelah minta maap apa tidak sebaiknya mengundurkan diri baru itu gentlemen. Bukan rakyat pesimis dengan keadaan realitanya selama bapak memimpin pemberabtasan COVID-19 tidak terlihat hasil yg nyata ppkm hampir selesai sudah ada lagi rencana diperpanjang berarti cara anda gagal</t>
  </si>
  <si>
    <t>PPKM 
 Pernah Perhatian Kemudian Menghilang = Ghosting dong
 Ah sedep 😂😭</t>
  </si>
  <si>
    <t>PPKM Pernah Perhatian Kemudian Menghilang = Ghosting dongAh sedep</t>
  </si>
  <si>
    <t>@republikaonline 5M, PSBB, PPKM, Vaksin 1, Vaksin 2.. Angka positif tetap aja naik?? #KebijakanBlunder https://t.co/Z8EAp63aTJ</t>
  </si>
  <si>
    <t>M, PSBB, PPKM, Vaksin , Vaksin .. Angka positif tetap aja naik??</t>
  </si>
  <si>
    <t>Jika PPKM hasilnya sama saja, dilanjutkan dengan Adu Penalti...
 .
 .
 Awkawok #*$€¥&amp;amp;%</t>
  </si>
  <si>
    <t>Jika PPKM hasilnya sama saja, dilanjutkan dengan Adu Penalti.....Awkawok *$&amp;amp;%</t>
  </si>
  <si>
    <t>@TimpalBali selema pemerintah bisa memenuhi kebutuhan pokok masyarakat, internet dan menunda pembayarannya kredit bank sampe ppkm selesai, boleh lah ppkm sampe 3bulan.</t>
  </si>
  <si>
    <t>selema pemerintah bisa memenuhi kebutuhan pokok masyarakat, internet dan menunda pembayarannya kredit bank sampe ppkm selesai, boleh lah ppkm sampe bulan.</t>
  </si>
  <si>
    <t>Efek PPKM... https://t.co/w15Te5XCVb</t>
  </si>
  <si>
    <t>Efek PPKM...</t>
  </si>
  <si>
    <t>Pagi PPKM... Masih dengan harapan sama di tiap senin
 Semoga kerjaan seminggu ini lancar</t>
  </si>
  <si>
    <t>Pagi PPKM... Masih dengan harapan sama di tiap seninSemoga kerjaan seminggu ini lancar</t>
  </si>
  <si>
    <t>Apalah arti ppkm tanpa km.</t>
  </si>
  <si>
    <t>Ahhh, yg lain udh mulai magang. 
 Gw sendirian yg belom, gegara tempat magang ikut kema imbas dari ppkm :( 
 Masa harus nyari tempat baru lagi?</t>
  </si>
  <si>
    <t>Ahhh, yg lain udh mulai magang. Gw sendirian yg belom, gegara tempat magang ikut kema imbas dari ppkm Masa harus nyari tempat baru lagi?</t>
  </si>
  <si>
    <t>ini kalau PPKM diperpanjang hasilnya masih sama keknya harus adu penalti</t>
  </si>
  <si>
    <t>@detikcom Entahlah , g habis pikir dng pikiran para pemangku kebijakan yg dapurnya tetap bs ngebul meski di ppkm setahun , jd g mikir dapur rakyat , seakan semua dapur sama dng mer3ka</t>
  </si>
  <si>
    <t>Entahlah , g habis pikir dng pikiran para pemangku kebijakan yg dapurnya tetap bs ngebul meski di ppkm setahun , jd g mikir dapur rakyat , seakan semua dapur sama dng mer3ka</t>
  </si>
  <si>
    <t>@CenayangFilm @mencidut BREAKING NEWS: PPKM DARURAT DIPERPANJANG SAMPAI UPIN IPIN MASUK SD</t>
  </si>
  <si>
    <t>BREAKING NEWS: PPKM DARURAT DIPERPANJANG SAMPAI UPIN IPIN MASUK SD</t>
  </si>
  <si>
    <t>gini dong pak @jokowi,,,, masyarakat nurut kok, tapi ppkm darurat jangan lama-lama.... ekonomi ambruk, rakyat lapar, ini yang gawat, ppkm mikro okelah... bangkit bersama. https://t.co/QOKK6M6lo9</t>
  </si>
  <si>
    <t>gini dong pak ,,,, masyarakat nurut kok, tapi ppkm darurat jangan lama-lama.... ekonomi ambruk, rakyat lapar, ini yang gawat, ppkm mikro okelah... bangkit bersama.</t>
  </si>
  <si>
    <t>@tribunnews Filosofi suatu generasi akan menjadi fisolofi dari pemerintah yang ada pada generasi berikutnya berarti membatalkan Proklamasi dan kemerdekaan Nasional dan mengembalikan kapitalisme dan imperialisme internasional.
 Lawan PPKM atau anda Mati !!!</t>
  </si>
  <si>
    <t>Filosofi suatu generasi akan menjadi fisolofi dari pemerintah yang ada pada generasi berikutnya berarti membatalkan Proklamasi dan kemerdekaan Nasional dan mengembalikan kapitalisme dan imperialisme internasional.Lawan PPKM atau anda Mati !!!</t>
  </si>
  <si>
    <t>@__Sridiana_3va @RestyCayaaah @jokowi PPKM berlaku bt manusia....mereka² itu kn mmng Anjing...🤣🤣🤣</t>
  </si>
  <si>
    <t>PPKM berlaku bt manusia....mereka itu kn mmng Anjing...</t>
  </si>
  <si>
    <t>@musniumar Yg bikin gagal itu orang-orang goblok yg tidak patuh pada prokes &amp;amp; PPKM.</t>
  </si>
  <si>
    <t>Yg bikin gagal itu orang-orang goblok yg tidak patuh pada prokes &amp;amp; PPKM.</t>
  </si>
  <si>
    <t>@PoPoeet Weleh..aku lagi ngopi ni. Gak usah masak,beli aja..kasian orang warung kena PPKM jd sepiii 😄</t>
  </si>
  <si>
    <t>Weleh..aku lagi ngopi ni. Gak usah masak,beli aja..kasian orang warung kena PPKM jd sepiii</t>
  </si>
  <si>
    <t>@tirta_hudhi @arifbsantoso Semoga ppkm tidak bersambung
 CC @arifbsantoso https://t.co/UiKRSyNucv</t>
  </si>
  <si>
    <t>Semoga ppkm tidak bersambungCC</t>
  </si>
  <si>
    <t>Sejak ppkm belom masuk dapur lagi buat bikin sarapan. Tidur udah kayak orang normal sekarang 😆😆</t>
  </si>
  <si>
    <t>Sejak ppkm belom masuk dapur lagi buat bikin sarapan. Tidur udah kayak orang normal sekarang</t>
  </si>
  <si>
    <t>@gch_ @Claudya_Lody Nanti setelah ppkm slsai yaaa brgkt ... enakan makan di tempat wkkwk</t>
  </si>
  <si>
    <t>Nanti setelah ppkm slsai yaaa brgkt ... enakan makan di tempat wkkwk</t>
  </si>
  <si>
    <t>kalo ppkm diperpanjang yg untung banyak dokter ga si</t>
  </si>
  <si>
    <t>@bulakapakkk PPKM mikro aa, lockdown desa</t>
  </si>
  <si>
    <t>PPKM mikro aa, lockdown desa</t>
  </si>
  <si>
    <t>@adearmando1 Ada siasat busuk kalau PPKM diperpanjang, mrk akan melanggar dan akan berteriak-teriak klau PPKM gagal dan jokowi harus mundur</t>
  </si>
  <si>
    <t>Ada siasat busuk kalau PPKM diperpanjang, mrk akan melanggar dan akan berteriak-teriak klau PPKM gagal dan jokowi harus mundur</t>
  </si>
  <si>
    <t>@tribunnews Haha... lantas dibui? Artinya penguasa gak mampu menjelaskan PPKM itu bagaimana dan risikonya apa? Hayo, jangan main bui membui saja, tp jelaskan ke masyarakat...</t>
  </si>
  <si>
    <t>Haha... lantas dibui? Artinya penguasa gak mampu menjelaskan PPKM itu bagaimana dan risikonya apa? Hayo, jangan main bui membui saja, tp jelaskan ke masyarakat...</t>
  </si>
  <si>
    <t>Advokasi ppkm tp pas dichallenge real solution buat pedagang kecil malah blokir gua
 Gini amat si elitis indo jaman now https://t.co/3TkhsnhzF6</t>
  </si>
  <si>
    <t>Advokasi ppkm tp pas dichallenge real solution buat pedagang kecil malah blokir guaGini amat si elitis indo jaman now</t>
  </si>
  <si>
    <t>PPKM Darurat min gaboleh ada resepsi https://t.co/lHvDWQndCI</t>
  </si>
  <si>
    <t>PPKM Darurat min gaboleh ada resepsi</t>
  </si>
  <si>
    <t>@kompascom dari awal wabah covid19 Beliau dan ada sebagian menteri2. nya jarang pakai masker, biasa aja aturan tdk berubah cuma dari PSBB ke PPKM &amp;amp; masuk semester 3 terlihat beliau2 buka tutup masker tapi skrg makin menyuruh pake masker, jadi curiga lah makin parah udara di Negara ini ??</t>
  </si>
  <si>
    <t>dari awal wabah covid19 Beliau dan ada sebagian menteri2. nya jarang pakai masker, biasa aja aturan tdk berubah cuma dari PSBB ke PPKM &amp;amp; masuk semester terlihat beliau2 buka tutup masker tapi skrg makin menyuruh pake masker, jadi curiga lah makin parah udara di Negara ini ??</t>
  </si>
  <si>
    <t>kecepit bgt hr ni brngkt kerja.. btw PPKM jd na d perpanjang apa sampek tgl 20?</t>
  </si>
  <si>
    <t>kecepit bgt hr ni brngkt kerja.. btw PPKM jd na d perpanjang apa sampek tgl ?</t>
  </si>
  <si>
    <t>aduh ppkm ni bakal dilanjut sampe august ga ya, mau ke cikarangg😭</t>
  </si>
  <si>
    <t>aduh ppkm ni bakal dilanjut sampe august ga ya, mau ke cikarangg</t>
  </si>
  <si>
    <t>@CNNIndonesia ppkm _ pak pleciden dkk, kapan mundur ? Nah itu kami dukung
 Dah gagal masih PD ajah</t>
  </si>
  <si>
    <t>ppkm _ pak pleciden dkk, kapan mundur ? Nah itu kami dukungDah gagal masih PD ajah</t>
  </si>
  <si>
    <t>aku suka ppkm tnpa pp .</t>
  </si>
  <si>
    <t>@refindaade @nadinottt @kegblgnunfaedh Pada intinya rakyat sudah patuh di awal, smpe skrg blm selesai ngasih kebijakan tidak ada solusi utk rakyat, kalo mau ppkm rkyt gk boleh ksana kmri, penuhi kebutuhan pokok, rakyat bakal stay at home. Intinya aku SANGAT BENCI SM ORG YG SELALU MENYALAHKAN RAKYAT.</t>
  </si>
  <si>
    <t>Pada intinya rakyat sudah patuh di awal, smpe skrg blm selesai ngasih kebijakan tidak ada solusi utk rakyat, kalo mau ppkm rkyt gk boleh ksana kmri, penuhi kebutuhan pokok, rakyat bakal stay at home. Intinya aku SANGAT BENCI SM ORG YG SELALU MENYALAHKAN RAKYAT.</t>
  </si>
  <si>
    <t>@RamliRizal PPKM. Jgn Adu Pilnati Dech</t>
  </si>
  <si>
    <t>PPKM. Jgn Adu Pilnati Dech</t>
  </si>
  <si>
    <t>Aku suka ppkm tanpa pp😶</t>
  </si>
  <si>
    <t>@brooklynmanners @arlinainhere @amarinysn96 @echansi @mimintxtdari @diazcrei @AREAJULID Bukannya kamu yg mau dengar apa yg kamu mau dengar? Tingkat sembuh naik karena PPKM? Ada benang merahnya aja nggak 🤦🏻‍♂️</t>
  </si>
  <si>
    <t>Bukannya kamu yg mau dengar apa yg kamu mau dengar? Tingkat sembuh naik karena PPKM? Ada benang merahnya aja nggak</t>
  </si>
  <si>
    <t>PPKM , ga boleh dine in . Kecuali usaha punya lurah</t>
  </si>
  <si>
    <t>Dan buat kang @arifbsantoso . Sampean tentu ngikutin twit saya dari lama
 Masalah kita 1: ppkm kita ga di iringi kompensasi bantuan yg memadai bukan?
 Wajar kalo kita ngepush itu. Why? Karena itu hak sebagian rakyat yg kedampak</t>
  </si>
  <si>
    <t>Dan buat kang . Sampean tentu ngikutin twit saya dari lamaMasalah kita : ppkm kita ga di iringi kompensasi bantuan yg memadai bukan?Wajar kalo kita ngepush itu. Why? Karena itu hak sebagian rakyat yg kedampak</t>
  </si>
  <si>
    <t>@refindaade @nadinottt @kegblgnunfaedh Jd gini mas rakyat gak patu,? Ingat awal pandemi? Rakyat dgn sadar biki portal di desa desa. Ppkm adakah solusi biat rakyat yg kerja harian dsb? Meskipun sy bisa wfh gaji full tunjangan lancar tidk pernh kpiran mnylahkan rkyt, yg ada sedih tiap hari dgn cerita ojol, pdagang.</t>
  </si>
  <si>
    <t>Jd gini mas rakyat gak patu,? Ingat awal pandemi? Rakyat dgn sadar biki portal di desa desa. Ppkm adakah solusi biat rakyat yg kerja harian dsb? Meskipun sy bisa wfh gaji full tunjangan lancar tidk pernh kpiran mnylahkan rkyt, yg ada sedih tiap hari dgn cerita ojol, pdagang.</t>
  </si>
  <si>
    <t>@CNNIndonesia Gapapa kan hasil denda penertiban PPKM yg ngobrak ngabrik pedagang biasa itu total hampir 700jt. Masih profit lur</t>
  </si>
  <si>
    <t>Gapapa kan hasil denda penertiban PPKM yg ngobrak ngabrik pedagang biasa itu total hampir jt. Masih profit lur</t>
  </si>
  <si>
    <t>Knp sudah dan setelah ppkm angka positif nya makin luar biasa? https://t.co/iK3MEelS05</t>
  </si>
  <si>
    <t>Knp sudah dan setelah ppkm angka positif nya makin luar biasa?</t>
  </si>
  <si>
    <t>@Dark_Rexas00 @Hendri02447740 Doain yg terbaik, angka turun terus, kan bagus org pada sembuh ga kasian emg org yg kena dampak ppkm darurat?</t>
  </si>
  <si>
    <t>Doain yg terbaik, angka turun terus, kan bagus org pada sembuh ga kasian emg org yg kena dampak ppkm darurat?</t>
  </si>
  <si>
    <t>Usul PPKM Darurat diperpanjang sampai kau jadi milikku</t>
  </si>
  <si>
    <t>Bbrp minggu lalu ketemu temen yg domisili di UK. Sblm PPKM, resto cukup padat tp ada sosial distancing. Meja kami kira2 diameternya 1 meter, duduk berhadapan. Otomatis buka masker pas makan. Selesai, saya pulang, gak lama setelah itu lgsg diare parah, badan demam, kepala sakit.</t>
  </si>
  <si>
    <t>Bbrp minggu lalu ketemu temen yg domisili di UK. Sblm PPKM, resto cukup padat tp ada sosial distancing. Meja kami kira2 diameternya meter, duduk berhadapan. Otomatis buka masker pas makan. Selesai, saya pulang, gak lama setelah itu lgsg diare parah, badan demam, kepala sakit.</t>
  </si>
  <si>
    <t>@karniilyasclub @karniilyas @tirta_hudhi Ppkm tak akan bisa berjalan,,kalau perut rakyat,masih kosong,,,😁</t>
  </si>
  <si>
    <t>Ppkm tak akan bisa berjalan,,kalau perut rakyat,masih kosong,,,</t>
  </si>
  <si>
    <t>Mana udah LDR, ehh ada ppkm lagi.
 Ujiannya dobel.</t>
  </si>
  <si>
    <t>Mana udah LDR, ehh ada ppkm lagi.Ujiannya dobel.</t>
  </si>
  <si>
    <t>Ldr hampir 4 tahun (ketemuan teritung jari) + nikah pas ppkm
 Ujian sblm nikah mantap lah pokoknya,
 Hbs nikah diuji lagi..
 Thats lyfe... https://t.co/4TRqRcCrfF</t>
  </si>
  <si>
    <t>Ldr hampir tahun (ketemuan teritung jari) + nikah pas ppkmUjian sblm nikah mantap lah pokoknya,Hbs nikah diuji lagi..Thats lyfe...</t>
  </si>
  <si>
    <t>@xyzblls iya ppkm, tp disuruh ke skul buat ngambil buku doang</t>
  </si>
  <si>
    <t>iya ppkm, tp disuruh ke skul buat ngambil buku doang</t>
  </si>
  <si>
    <t>Yang diributin pas PPKM : BKN soal cari makan susah tapi soal mo punya uang lebih susah, mo punya motor baru susah, mo liburan susah.
 Kalau tiap rumah sisihkan sepiring nasi + lauk utk yg blm makan aja, ga akan ada org kelaparan di lingkungan rumah itu. #KapanGaSerakah</t>
  </si>
  <si>
    <t>Yang diributin pas PPKM : BKN soal cari makan susah tapi soal mo punya uang lebih susah, mo punya motor baru susah, mo liburan susah.Kalau tiap rumah sisihkan sepiring nasi + lauk utk yg blm makan aja, ga akan ada org kelaparan di lingkungan rumah itu.</t>
  </si>
  <si>
    <t>@sentrisman Tentunya, ketika diopresi ya harus juga diopeni
 Ppkm aja gabisa openi, apalagi kalo karantina wilayah betulan dilakuin? Ini yg jadi masalah kenapa banyak yg ga setuju lokdon karena kebukti pemerintah pusat goblok gabisa urus negara</t>
  </si>
  <si>
    <t>Tentunya, ketika diopresi ya harus juga diopeniPpkm aja gabisa openi, apalagi kalo karantina wilayah betulan dilakuin? Ini yg jadi masalah kenapa banyak yg ga setuju lokdon karena kebukti pemerintah pusat goblok gabisa urus negara</t>
  </si>
  <si>
    <t>Mendingan org yg bikin konten ngasi uang lebih pas beli dagangan para PKL dah. Daripda sok suci nyinyir ga taat PPKM sama PKL.</t>
  </si>
  <si>
    <t>Sebelum PPKM https://t.co/mE8cuBd0z5</t>
  </si>
  <si>
    <t>Sebelum PPKM</t>
  </si>
  <si>
    <t>@vinotm Izin bertanya bang. Itu yang di bandara apakah masih ada kegiatan vaksinasi? Di tempat saya sangat susah mencari vaksin tahap pertama karena sedang ppkm. Saya pengen terbang ke Jakarta mau ujian masuk universitas, jadi harus di vaksin dulu. Rencana nya saya mau vaksin di bandara</t>
  </si>
  <si>
    <t>Izin bertanya bang. Itu yang di bandara apakah masih ada kegiatan vaksinasi? Di tempat saya sangat susah mencari vaksin tahap pertama karena sedang ppkm. Saya pengen terbang ke Jakarta mau ujian masuk universitas, jadi harus di vaksin dulu. Rencana nya saya mau vaksin di bandara</t>
  </si>
  <si>
    <t>@Mei2Namaku Ysng dongo kaya gini nih bikin PPKM jadi berlarut larut</t>
  </si>
  <si>
    <t>Ysng dongo kaya gini nih bikin PPKM jadi berlarut larut</t>
  </si>
  <si>
    <t>@bareksacom Mantap bisa terbang gini lagi ppkm</t>
  </si>
  <si>
    <t>Mantap bisa terbang gini lagi ppkm</t>
  </si>
  <si>
    <t>Ppkm tu jangan cuman diperpanjang... tapi dikerasin juga lah... percuma panjang tapi ga keras.. lemah.</t>
  </si>
  <si>
    <t>ppkm dierpanjang samai kita tua, sampai jadi debu~</t>
  </si>
  <si>
    <t>Bupati dan wakil bupati kabupaten Lumajang tidak ambil gaji sejak ppkm darurat disumbangkan utk rakyat 🙏🇲🇨</t>
  </si>
  <si>
    <t>Bupati dan wakil bupati kabupaten Lumajang tidak ambil gaji sejak ppkm darurat disumbangkan utk rakyat</t>
  </si>
  <si>
    <t>Nah ini, kenapa PPKM harus menjamin biaya hidup sehari-hari selama PPKM &amp;amp; 2 minggu sesudahnya TANPA TERKECUALI, banyak rakyat yg sudah turun kelas tidak terdaftar sbg penerima bantuan pemerintah... https://t.co/f6PO9QpeUd</t>
  </si>
  <si>
    <t>Nah ini, kenapa PPKM harus menjamin biaya hidup sehari-hari selama PPKM &amp;amp; minggu sesudahnya TANPA TERKECUALI, banyak rakyat yg sudah turun kelas tidak terdaftar sbg penerima bantuan pemerintah...</t>
  </si>
  <si>
    <t>sch! guys karena ppkm aku belum bs ambil buku di sekolahan, trus barusan dpt tugas begini, ada yang tau ga icon apk bukunya kaya gimana? Makasiiih 😭😭 https://t.co/szfwaqxfaI</t>
  </si>
  <si>
    <t>sch! guys karena ppkm aku belum bs ambil buku di sekolahan, trus barusan dpt tugas begini, ada yang tau ga icon apk bukunya kaya gimana? Makasiiih</t>
  </si>
  <si>
    <t>ppkm diperpanjang ga ya??</t>
  </si>
  <si>
    <t>Konsekuensi dari PPKM Mikro ini aktifitas ekonomi masyarakat pun dibatasi dalam rangka memutus mata rantai penularan Covid-19 di tengah masyarakat.
 #polri #ppkm #iduladha #newsnesia https://t.co/1WN0lQL7md</t>
  </si>
  <si>
    <t>Konsekuensi dari PPKM Mikro ini aktifitas ekonomi masyarakat pun dibatasi dalam rangka memutus mata rantai penularan Covid-19 di tengah masyarakat.</t>
  </si>
  <si>
    <t>Selamat hari Senin!!! Besok, hari terakhir PPKM nih. Tapi ada kabar kalau PPKM bakal diperpanjang dan menunggu hasil evaluasi diperpanjang atau nggak nya.
 Nah, kalau kamu setuju PPKM darurat diperpanjang atau nggak? 
 Vote yuk #witm w/ @ferryroelz &amp;amp; @annisamgfr till 10!</t>
  </si>
  <si>
    <t>Selamat hari Senin!!! Besok, hari terakhir PPKM nih. Tapi ada kabar kalau PPKM bakal diperpanjang dan menunggu hasil evaluasi diperpanjang atau nggak nya.Nah, kalau kamu setuju PPKM darurat diperpanjang atau nggak? Vote yuk w/ &amp;amp; till !</t>
  </si>
  <si>
    <t>@NUgarislucu Hello gus, .... Yuk PPKM (pagi pagi kita minumkopi?.......
 Bukan PPKM: pas pelukan ketemu mantan.</t>
  </si>
  <si>
    <t>Hello gus, .... Yuk PPKM (pagi pagi kita minumkopi?.......Bukan PPKM: pas pelukan ketemu mantan.</t>
  </si>
  <si>
    <t>Si mantan marbot masjid minta petugas PPKM santun. 😉</t>
  </si>
  <si>
    <t>Si mantan marbot masjid minta petugas PPKM santun.</t>
  </si>
  <si>
    <t>@wntrdyrj ppkm di perketat, mpls aja gajadi buat ngehadirin murid apa lagi sekolah luring:( klopun sekolah pasti daring</t>
  </si>
  <si>
    <t>ppkm di perketat, mpls aja gajadi buat ngehadirin murid apa lagi sekolah luring klopun sekolah pasti daring</t>
  </si>
  <si>
    <t>@FKadrun Ini udah bener. Kl ada 50 juta masy gak mampu hrs ditanggung nafkahnya 2 juta sampe 3 bulan 300 T ya seharisnya memang ini dijalankan krn memang ppkm darurat ini butuh sukses.</t>
  </si>
  <si>
    <t>Ini udah bener. Kl ada juta masy gak mampu hrs ditanggung nafkahnya juta sampe bulan T ya seharisnya memang ini dijalankan krn memang ppkm darurat ini butuh sukses.</t>
  </si>
  <si>
    <t>@Askrlfess Ppkm dan gak bisa meet up bareng krna lgi musim covid</t>
  </si>
  <si>
    <t>Ppkm dan gak bisa meet up bareng krna lgi musim covid</t>
  </si>
  <si>
    <t>Walaupun idul adha(hari raya qurban)esok hari dlm "keterbatasan" dikarenakan ppkm(akibat pandemi)..semoga kita sebagai umat muslim tetap semangat dan khusyu/khidmat dlm menyambutnya/merayakannya..semoga Allah swt segera menghilangkan wabah ini..Aamiin yra😇😇</t>
  </si>
  <si>
    <t>Walaupun idul adha(hari raya qurban)esok hari dlm "keterbatasan" dikarenakan ppkm(akibat pandemi)..semoga kita sebagai umat muslim tetap semangat dan khusyu/khidmat dlm menyambutnya/merayakannya..semoga Allah swt segera menghilangkan wabah ini..Aamiin yra</t>
  </si>
  <si>
    <t>PPKM : Para Pekerja Keras, Mangat.</t>
  </si>
  <si>
    <t>hah ppkm di perpanjang?</t>
  </si>
  <si>
    <t>@theresiaavila @JeniusConnect nama andaaa jeniusssss, sistem anda bapukkkk. heyyyyyyyyyyy andakan tdk terdampak ppkm tolong yang cekataan!!!</t>
  </si>
  <si>
    <t>nama andaaa jeniusssss, sistem anda bapukkkk. heyyyyyyyyyyy andakan tdk terdampak ppkm tolong yang cekataan!!!</t>
  </si>
  <si>
    <t>@LucuLucuaaan @KucengTerbanggg lele ppkm</t>
  </si>
  <si>
    <t>lele ppkm</t>
  </si>
  <si>
    <t>@terseraaahhmu kasihan ppkm selamanya 😂</t>
  </si>
  <si>
    <t>kasihan ppkm selamanya</t>
  </si>
  <si>
    <t>PPKM 
 Pagi pagi kangen masa lalu @official_izone</t>
  </si>
  <si>
    <t>PPKM Pagi pagi kangen masa lalu</t>
  </si>
  <si>
    <t>ppkm: pagi pagi kangen mas jisung</t>
  </si>
  <si>
    <t>@ahdwik__ Kn ppkm asw</t>
  </si>
  <si>
    <t>Kn ppkm asw</t>
  </si>
  <si>
    <t>Btw mertua s3l3bgr4m yg kmrn ketawan hanimun ke jpg pas ppkm keknya mo nyalon yah. Kmrn dijalan udh masang baliho aja dgn tagline “kerja utk endonesa” pretttt 🤪</t>
  </si>
  <si>
    <t>Btw mertua s3l3bgr4m yg kmrn ketawan hanimun ke jpg pas ppkm keknya mo nyalon yah. Kmrn dijalan udh masang baliho aja dgn tagline kerja utk endonesa pretttt</t>
  </si>
  <si>
    <t>@ssyenaa harusnya sekarang tpi ppkm di perketat, mpls aja gajadi buat ngehadirin murid apa lagi sekolah luring:(</t>
  </si>
  <si>
    <t>harusnya sekarang tpi ppkm di perketat, mpls aja gajadi buat ngehadirin murid apa lagi sekolah luring</t>
  </si>
  <si>
    <t>latihan jalan keliling dulu, gara2 ppkm belum bisa ngajakin jalan https://t.co/wr4vic75Jw</t>
  </si>
  <si>
    <t>latihan jalan keliling dulu, gara2 ppkm belum bisa ngajakin jalan</t>
  </si>
  <si>
    <t>Itulah alesan kenapa pak LBP sampai meminta maaf. Karena memang ppkm tidak efektif
 Jadi menurut saya bang @adearmando1 , ada baiknya kita menunggu keputusan pak LBP
 Dan ada baiknya, kita fokus jaga diri sendiri
 Jika dirasa di sekitar anda ada pedagang kesusahan, bantulah</t>
  </si>
  <si>
    <t>Itulah alesan kenapa pak LBP sampai meminta maaf. Karena memang ppkm tidak efektifJadi menurut saya bang , ada baiknya kita menunggu keputusan pak LBPDan ada baiknya, kita fokus jaga diri sendiriJika dirasa di sekitar anda ada pedagang kesusahan, bantulah</t>
  </si>
  <si>
    <t>@CCICPolri polisinya cybernya berfungsi gak selama ppkm? Atau ikutan libur.. https://t.co/mkCs2TLr1X</t>
  </si>
  <si>
    <t>polisinya cybernya berfungsi gak selama ppkm? Atau ikutan libur..</t>
  </si>
  <si>
    <t>@chumaidijusuf @KodokNg11760053 @tsetiady Makanya, selama pemerintah tidak bisa menjamin vulnerable class, maka selama itu juga ppkm ga viable, malah bikin chaos</t>
  </si>
  <si>
    <t>Makanya, selama pemerintah tidak bisa menjamin vulnerable class, maka selama itu juga ppkm ga viable, malah bikin chaos</t>
  </si>
  <si>
    <t>Idul fitri = PSBB
 Idul adha = PPKM
 Mengheran</t>
  </si>
  <si>
    <t>Idul fitri = PSBBIdul adha = PPKMMengheran</t>
  </si>
  <si>
    <t>fix mau pindah dbs ajaa 🥲
 ppkm cepet atuh berlalu biar bisa ke mall mau bikin dbs 🥲 https://t.co/dRBYgddyY3</t>
  </si>
  <si>
    <t>fix mau pindah dbs ajaa ppkm cepet atuh berlalu biar bisa ke mall mau bikin dbs</t>
  </si>
  <si>
    <t>@sudjiwotedjo Bagaimana kalau tetap menggunakan jika tapi ditambahkan Karena di belakangnya mbah.,
 Saya minta maaf JIKA PPKM ini belum optimal KARENA masih banyak TKA bla bla bla, KARENA ................</t>
  </si>
  <si>
    <t>Bagaimana kalau tetap menggunakan jika tapi ditambahkan Karena di belakangnya mbah.,Saya minta maaf JIKA PPKM ini belum optimal KARENA masih banyak TKA bla bla bla, KARENA ................</t>
  </si>
  <si>
    <t>Dilema PPKM.bagi masyarakat kecil.
 https://t.co/2eOupbxOUU</t>
  </si>
  <si>
    <t>Dilema PPKM.bagi masyarakat kecil.</t>
  </si>
  <si>
    <t>@geloraco Hrsnya tdk ada phk. Kl oerushaan mrk gak mampu bayar gaji hrsnya pem cover minimal setengahnya shg mrk bs tetap membiayai kehidupan mrk. Pengusaha2 yg teroaksa memphk karyawannya hrsnya bs melaporkan ke mensos dan selama ppkm darurat mrk ini diberi upah separo.</t>
  </si>
  <si>
    <t>Hrsnya tdk ada phk. Kl oerushaan mrk gak mampu bayar gaji hrsnya pem cover minimal setengahnya shg mrk bs tetap membiayai kehidupan mrk. Pengusaha2 yg teroaksa memphk karyawannya hrsnya bs melaporkan ke mensos dan selama ppkm darurat mrk ini diberi upah separo.</t>
  </si>
  <si>
    <t>@handokosupraja @adearmando1 Skenarionya gini, kelompok oposisi ngotot perpanjang PPKM ada maksud tertentu. Jika diberlakukan, rakyat kecil PK5 yg jualan sore-malam jadi berkurang drastis pendapatannya, akhirnya teriak marah. Dan kemarahan rakyat itulah yg nanti dijadikan senjata untuk meyerang pemerintah</t>
  </si>
  <si>
    <t>Skenarionya gini, kelompok oposisi ngotot perpanjang PPKM ada maksud tertentu. Jika diberlakukan, rakyat kecil PK5 yg jualan sore-malam jadi berkurang drastis pendapatannya, akhirnya teriak marah. Dan kemarahan rakyat itulah yg nanti dijadikan senjata untuk meyerang pemerintah</t>
  </si>
  <si>
    <t>@Sunda_Fess Ppkm ai kamu</t>
  </si>
  <si>
    <t>Ppkm ai kamu</t>
  </si>
  <si>
    <t>Jadi ppkm di perpanjang sampe kapan?</t>
  </si>
  <si>
    <t>Jgn salahkan rakyat berasumsi bahwa pemerintah seakan lari dri tanggungjawab untk memberi mkan rakyatnya krna di dlm UU No.6 Thn 2018 Kekarantinaan Kesehatan tdk ada yg namanya PSBB transisi,PPKM mikro,PPKM darurat dll.Lockdown bukannya rakyat yg gamau tpi Pemerintah yg gak mampu</t>
  </si>
  <si>
    <t>Jgn salahkan rakyat berasumsi bahwa pemerintah seakan lari dri tanggungjawab untk memberi mkan rakyatnya krna di dlm UU No.6 Thn Kekarantinaan Kesehatan tdk ada yg namanya PSBB transisi,PPKM mikro,PPKM darurat dll.Lockdown bukannya rakyat yg gamau tpi Pemerintah yg gak mampu</t>
  </si>
  <si>
    <t>ppkm kapan selesai hadeh</t>
  </si>
  <si>
    <t>Makanya Lockdown aja, sehingga pemerintah berkewajiban untuk memenuhi kebutuhan hidup masyarakat, kalau PPKM rasanya seperti lari dari tanggung jawab. https://t.co/tUFYEWs25P</t>
  </si>
  <si>
    <t>Makanya Lockdown aja, sehingga pemerintah berkewajiban untuk memenuhi kebutuhan hidup masyarakat, kalau PPKM rasanya seperti lari dari tanggung jawab.</t>
  </si>
  <si>
    <t>@OposisiCerdas PPKM cuma sengsarakam rakyat
 #PPKMSengsarakanRakyat 
 #TolakPerpanjanganPPKM 
 #TolakPPKMdiPerpanjang 
 #TolakPPKMDarurat</t>
  </si>
  <si>
    <t>PPKM cuma sengsarakam rakyat</t>
  </si>
  <si>
    <t>Pakar mengusulkan PPKM darurat di perpanjang sampai jumpa kawanku, semoga kita selaluuu uuu uuu uuu , menjadi sebuah kisah klasik untuk masa depan</t>
  </si>
  <si>
    <t>Pertanyaannya simple tapi triggered Sang Rindu menjalar seluruh jiwa dong
 Ah, PPKM kelar kudu lah cek-cek tiket lagi. Nak balek, peluk cium my best WOW MOM ewvah
 #AnakRantuKuduSabarDanWajibKuaddd</t>
  </si>
  <si>
    <t>Pertanyaannya simple tapi triggered Sang Rindu menjalar seluruh jiwa dongAh, PPKM kelar kudu lah cek-cek tiket lagi. Nak balek, peluk cium my best WOW MOM ewvah</t>
  </si>
  <si>
    <t>@aniesbaswedan @TMCPoldaMetro @DKIJakarta @Kodam_Jaya @KejatiDki Semoga hari ini hari senin bisa terlaksana ya Pak pencairan BST, karena kami sebagai pekerja informal sangat membutuhkan, serta pekerja yang lain juga membutuhkan saat PPKM darurat 🙏</t>
  </si>
  <si>
    <t>Semoga hari ini hari senin bisa terlaksana ya Pak pencairan BST, karena kami sebagai pekerja informal sangat membutuhkan, serta pekerja yang lain juga membutuhkan saat PPKM darurat</t>
  </si>
  <si>
    <t>@muannas_alaidid Bukan PSBB atau PPKM yg tidak efektif, tapi provokasi dari tokoh masyarakat seperti ini yg bikin masyarakat susah diajak mengikuti prokes.
 Herannya pemerintahan pak @jokowi dan polisi @DivHumas_Polri selalu lambat, ragu, dan takut kalau provokatornya berjubah agama seperti ini.</t>
  </si>
  <si>
    <t>Bukan PSBB atau PPKM yg tidak efektif, tapi provokasi dari tokoh masyarakat seperti ini yg bikin masyarakat susah diajak mengikuti prokes.Herannya pemerintahan pak dan polisi selalu lambat, ragu, dan takut kalau provokatornya berjubah agama seperti ini.</t>
  </si>
  <si>
    <t>busettt efek kelamaan ppkm nih orang maennya gimana dah https://t.co/rkHuNNVgkL</t>
  </si>
  <si>
    <t>busettt efek kelamaan ppkm nih orang maennya gimana dah</t>
  </si>
  <si>
    <t>@KuiGo2 Sampe kapan ya ppkm?</t>
  </si>
  <si>
    <t>Sampe kapan ya ppkm?</t>
  </si>
  <si>
    <t>Hadeuh, sabar yuk besok ppkm terakhir. Moga gaada perpanjangan yg jdi hambatan lainnya</t>
  </si>
  <si>
    <t>@yourswtybunny ppkm selamanya haha gak sue maneh, tp mustahil</t>
  </si>
  <si>
    <t>ppkm selamanya haha gak sue maneh, tp mustahil</t>
  </si>
  <si>
    <t>PPKM darurat diperpanjang sampai kau jadi milikku :(</t>
  </si>
  <si>
    <t>PPKM darurat diperpanjang sampai kau jadi milikku</t>
  </si>
  <si>
    <t>Terkait pilihan politik bung @adearmando1 saya respect
 Terkait statement dia soal ppkm good. Perjuangan kalangan bawah
 Tapi beliau lupa, harusnya ketika ppkm, pemerintah hadir dalam bansos
 Dan pak LBP sudah mengatakan hal ini berkali2 (soal bansos, dan kompensasi)</t>
  </si>
  <si>
    <t>Terkait pilihan politik bung saya respectTerkait statement dia soal ppkm good. Perjuangan kalangan bawahTapi beliau lupa, harusnya ketika ppkm, pemerintah hadir dalam bansosDan pak LBP sudah mengatakan hal ini berkali2 (soal bansos, dan kompensasi)</t>
  </si>
  <si>
    <t>@yourcocain_ nanti kelar ppkm aku mampir kesana yh besty💖</t>
  </si>
  <si>
    <t>nanti kelar ppkm aku mampir kesana yh besty</t>
  </si>
  <si>
    <t>liat ppkm gini bisnis yg paling stabil cuma yang jualan kebutuhan sehari2
 properti dll yg biasa tiap tahun naik terus anjlok</t>
  </si>
  <si>
    <t>liat ppkm gini bisnis yg paling stabil cuma yang jualan kebutuhan sehari2properti dll yg biasa tiap tahun naik terus anjlok</t>
  </si>
  <si>
    <t>@awlslife Mending gitu dari pada langsung cipok kn ppkm</t>
  </si>
  <si>
    <t>Mending gitu dari pada langsung cipok kn ppkm</t>
  </si>
  <si>
    <t>Buat orang2 kaya dan berada di sektor perekonomian diatas rata2, terus complain sama pedagang PKL ga taat PPKM. DASAR KALIAN BANGSAT.</t>
  </si>
  <si>
    <t>@detikcom Ngga taulah!!!...ada PPKM skala darurat sj angka positif nge-gas teruss...kl dihilangin apa bisa turun angkannya??</t>
  </si>
  <si>
    <t>Ngga taulah!!!...ada PPKM skala darurat sj angka positif nge-gas teruss...kl dihilangin apa bisa turun angkannya??</t>
  </si>
  <si>
    <t>PPKM tidak jadi penghalang buat belanja Idul adha.
 Semoga semua sehat cepat kembali.
 Selamat pagi dan mari kita tetap di rumah,
 @jisatu01
 @tjhinfar21
 @VanceLawrence21
 @Nirmala2205
 @nissa_sabyan_
 @MatajiMaica
 @AdaieRecan
 @Swasmarloka
 @Abha_Abhinanda
 @NiskalaSabitah https://t.co/nAP9ZHAvu2</t>
  </si>
  <si>
    <t>PPKM tidak jadi penghalang buat belanja Idul adha.Semoga semua sehat cepat kembali.Selamat pagi dan mari kita tetap di rumah,</t>
  </si>
  <si>
    <t>hari terakhir wfh dalam rangka ppkm darurat -- sebelum (sepertinya) ppkm darurat diperpanjang.</t>
  </si>
  <si>
    <t>@PT_Transjakarta pagi, di depan mall bassura kan ada penyekatan jalan terkait PPKM darurat tapi saya mau tanya untuk turun dihalte mall bassura 1 tetep bisa kan tidak ada masalah?karna plang busway stop nya pun ada dipinggir sebelum melewati petugas polisi</t>
  </si>
  <si>
    <t>pagi, di depan mall bassura kan ada penyekatan jalan terkait PPKM darurat tapi saya mau tanya untuk turun dihalte mall bassura tetep bisa kan tidak ada masalah?karna plang busway stop nya pun ada dipinggir sebelum melewati petugas polisi</t>
  </si>
  <si>
    <t>@Prambors Gak sabar mau diajak ketemu mamanya. Ni gegara PPKM gk jd mulu kan ya mana jauh rmhnya. #DGITM</t>
  </si>
  <si>
    <t>Gak sabar mau diajak ketemu mamanya. Ni gegara PPKM gk jd mulu kan ya mana jauh rmhnya.</t>
  </si>
  <si>
    <t>@doncorleone_78 Baru kali ini BINaan disuruh tampil. Ada yg gelar pasukan bersenjata, ada yg kuntit rombongan pengajian dan katangkap, ada yg dorong PPKM dan vaksin, ada yg jualan sate, apalagi?</t>
  </si>
  <si>
    <t>Baru kali ini BINaan disuruh tampil. Ada yg gelar pasukan bersenjata, ada yg kuntit rombongan pengajian dan katangkap, ada yg dorong PPKM dan vaksin, ada yg jualan sate, apalagi?</t>
  </si>
  <si>
    <t>besok jadi terakhir ppkm apa kagak</t>
  </si>
  <si>
    <t>Aku baru nyoba, dapet dari temen juga ges mayan loh buat jajan kalian dimasa ppkm gini👍🏻😂 https://t.co/sTqbl0OW4Y</t>
  </si>
  <si>
    <t>Aku baru nyoba, dapet dari temen juga ges mayan loh buat jajan kalian dimasa ppkm gini</t>
  </si>
  <si>
    <t>@VIVAcoid Iya pak kiyai, ditunggu bansos untuk rakyatnya selama ppkm</t>
  </si>
  <si>
    <t>Iya pak kiyai, ditunggu bansos untuk rakyatnya selama ppkm</t>
  </si>
  <si>
    <t>mana skrg lg ppkm, susah bgt yaampun kampus ditutup aku kaya manaaa ini 😫😫 botak aku gtau lg sudahhhh blm lg tugas akhirku ya Allah monangissssssssss smg kampus buka hr ini, jd bisa kesana 😭😭😭</t>
  </si>
  <si>
    <t>mana skrg lg ppkm, susah bgt yaampun kampus ditutup aku kaya manaaa ini botak aku gtau lg sudahhhh blm lg tugas akhirku ya Allah monangissssssssss smg kampus buka hr ini, jd bisa kesana</t>
  </si>
  <si>
    <t>@adearmando1 Tiap pemilu gw selalu abstain alias golput tp kyknya semua pgn ppkm distop....</t>
  </si>
  <si>
    <t>Tiap pemilu gw selalu abstain alias golput tp kyknya semua pgn ppkm distop....</t>
  </si>
  <si>
    <t>@lacaswong ppkm aja diperpanjang masa hubungan kita ngga? WKWKWK</t>
  </si>
  <si>
    <t>ppkm aja diperpanjang masa hubungan kita ngga? WKWKWK</t>
  </si>
  <si>
    <t>@msaid_didu Macam mulut rombeng orang ini.. Melengserkan lah macam2 ocehan.. Gagal mah gagal aja jgn salahkan PPKM https://t.co/1F9k6QKOxv</t>
  </si>
  <si>
    <t>Macam mulut rombeng orang ini.. Melengserkan lah macam2 ocehan.. Gagal mah gagal aja jgn salahkan PPKM</t>
  </si>
  <si>
    <t>Kalau masih takut Covid,
 Perpanjang saja PPKM darurat sampai kau jadi milikku</t>
  </si>
  <si>
    <t>Kalau masih takut Covid,Perpanjang saja PPKM darurat sampai kau jadi milikku</t>
  </si>
  <si>
    <t>Jika PPKM diperpanjang dan hasilnya sama saja, maka akan dilanjutkan dengan adu finalti!!!!
 Nodebat!!!😡</t>
  </si>
  <si>
    <t>Jika PPKM diperpanjang dan hasilnya sama saja, maka akan dilanjutkan dengan adu finalti!!!!Nodebat!!!</t>
  </si>
  <si>
    <t>PPKM-Darurat...olahraga jalan terus, naikkan imun https://t.co/KXImVTUKGy</t>
  </si>
  <si>
    <t>PPKM-Darurat...olahraga jalan terus, naikkan imun</t>
  </si>
  <si>
    <t>Untung ppkm darurat diperpanjang sampe akhir juli, coba klo sampe tottenham dpt trofi 🤪</t>
  </si>
  <si>
    <t>Untung ppkm darurat diperpanjang sampe akhir juli, coba klo sampe tottenham dpt trofi</t>
  </si>
  <si>
    <t>@CondetDukedom @adearmando1 @jokowi Iya,.. Tapi almarhum dah off sejak awal PPKM, cuma penyapa di depan pager pass kita melintas. 
 "Aku dirumah yaa mas.. **** titip salam sama jama'ah"
 Jama'ah isinya cuma warga komplek aja, mesjid jauh didalam, ga pernah tutup mau PSBB sampe PPKM, jumatan aja off</t>
  </si>
  <si>
    <t>Iya,.. Tapi almarhum dah off sejak awal PPKM, cuma penyapa di depan pager pass kita melintas. "Aku dirumah yaa mas.. **** titip salam sama jama'ah"Jama'ah isinya cuma warga komplek aja, mesjid jauh didalam, ga pernah tutup mau PSBB sampe PPKM, jumatan aja off</t>
  </si>
  <si>
    <t>Ngopi doloe, ketimbang mikir PPKM https://t.co/aTupR2hsgP</t>
  </si>
  <si>
    <t>Ngopi doloe, ketimbang mikir PPKM</t>
  </si>
  <si>
    <t>ppkm : pagi pagi kita mengsedih</t>
  </si>
  <si>
    <t>coba cek "PPKM Pulihkan Indonesia" ini di kolom search deh..
 banyak headline yang ga sesuai sama taglinenya..
 contoh;
 *berita otsus papua*
 PPKM Pulihkan Indonesia 
 😊😊😊</t>
  </si>
  <si>
    <t>coba cek "PPKM Pulihkan Indonesia" ini di kolom search deh..banyak headline yang ga sesuai sama taglinenya..contoh;*berita otsus papua*PPKM Pulihkan Indonesia</t>
  </si>
  <si>
    <t>➡️ PPKM
 Hanya menutup jalur darat laut udara,
 Percayalah Allah tetap buka akses Rezeki kita dari segala arah .. 🤲 aamiin
 Bismillahirrohmanirrahim
 Semangat bakulan Team 💪
 #drwskincare #DrWSkinCareIndonesia #drwskincarebanyuwangi #drwskincarebangorejo #drwskincareklinikecantikan https://t.co/iR3RS9fMU8</t>
  </si>
  <si>
    <t>PPKMHanya menutup jalur darat laut udara,Percayalah Allah tetap buka akses Rezeki kita dari segala arah .. aamiinBismillahirrohmanirrahimSemangat bakulan Team</t>
  </si>
  <si>
    <t>PPKM bikin sepi jualan juga 😔</t>
  </si>
  <si>
    <t>PPKM bikin sepi jualan juga</t>
  </si>
  <si>
    <t>HAHHHH serius PPKM sampai 17 agustus???????!!!!!!?!!?</t>
  </si>
  <si>
    <t>HAHHHH serius PPKM sampai agustus???????!!!!!!?!!?</t>
  </si>
  <si>
    <t>Kita harus patuh terhadap peraturan pemerintah yang pada nantinya demi keselamatan bersama.
 PPKM Darurat harus kita jalankan dan semoga Pandemi ini segera berakhir.
 #GerakCepatVaksinasiCovid https://t.co/ywWvLbKXY2</t>
  </si>
  <si>
    <t>Kita harus patuh terhadap peraturan pemerintah yang pada nantinya demi keselamatan bersama.PPKM Darurat harus kita jalankan dan semoga Pandemi ini segera berakhir.</t>
  </si>
  <si>
    <t>@ridwanhr Jadi maksudnya inggris lebih bego dari Indo gitu? Padahal di inggris udah bebas masker, event olahraga kelas Dunia Wimbledon, euro, F1 di gelar dengan banyak penonton, sementara di negara yang punya wacana president 3 period malah mau perpanjang PPKM pelan Pelan Kita Mati</t>
  </si>
  <si>
    <t>Jadi maksudnya inggris lebih bego dari Indo gitu? Padahal di inggris udah bebas masker, event olahraga kelas Dunia Wimbledon, euro, F1 di gelar dengan banyak penonton, sementara di negara yang punya wacana president period malah mau perpanjang PPKM pelan Pelan Kita Mati</t>
  </si>
  <si>
    <t>Selamat pagi. Hari ini adalah hari kedua dari 2 - 3 hari apakah PPKM darurat diperpanjang atau tidak.</t>
  </si>
  <si>
    <t>Selamat pagi. Hari ini adalah hari kedua dari - hari apakah PPKM darurat diperpanjang atau tidak.</t>
  </si>
  <si>
    <t>Giliran ke Bali lg ppkm anjg. https://t.co/Vn5v6kyeF2</t>
  </si>
  <si>
    <t>Giliran ke Bali lg ppkm anjg.</t>
  </si>
  <si>
    <t>Mf tmn2 tlg berbagi info mgkin aq krg berselancar di media shgg brtany blm smpt baca.
 Ada ga Tuan Presiden bpk Jokowi didalam mngatasi pandemi ini APA GAGASANNYA DALAM MENYELAMATKAN RAKYAT?
 Maaf ini selain dri PPKM ya.
 PPKM jga bnyk yg mngamati ga efektif
 Dana covid itu 1200T lo</t>
  </si>
  <si>
    <t>Mf tmn2 tlg berbagi info mgkin aq krg berselancar di media shgg brtany blm smpt baca.Ada ga Tuan Presiden bpk Jokowi didalam mngatasi pandemi ini APA GAGASANNYA DALAM MENYELAMATKAN RAKYAT?Maaf ini selain dri PPKM ya.PPKM jga bnyk yg mngamati ga efektifDana covid itu T lo</t>
  </si>
  <si>
    <t>@perupadata @PutraWadapi Konsisten ditest bahkan dinaikkan sesuai ketentuan dan bila kasus baru turun maka ppkm dpt dinyatakan berhasil.
 Kl bila seperti ini namanya akal-akalan aja.
 Jangan membodohi dgn berita seolah-olah baik yg justru akan membahayakan.
 Tetap jaga kesehatan badan dan pikiran.</t>
  </si>
  <si>
    <t>Konsisten ditest bahkan dinaikkan sesuai ketentuan dan bila kasus baru turun maka ppkm dpt dinyatakan berhasil.Kl bila seperti ini namanya akal-akalan aja.Jangan membodohi dgn berita seolah-olah baik yg justru akan membahayakan.Tetap jaga kesehatan badan dan pikiran.</t>
  </si>
  <si>
    <t>ppkm bakalan kyk “libur 2 minggu jd 2 taun” ga ya</t>
  </si>
  <si>
    <t>ppkm bakalan kyk libur minggu jd taun ga ya</t>
  </si>
  <si>
    <t>No prokes.. Lg PPKM pp.. Kumpul² bakar²an.. Pny komorbid.. Ttga positif..Sok ngritik pemerintah.. Utegmu mbok gadein ng ndi sih jal..Akal nalarmu dmn pak.. Sbgai public figure hrusnya jd contoh panutannya ini malah begini.. Bny dluar sana yg berjuang bwt dptin kamar dan oxy, tapi</t>
  </si>
  <si>
    <t>No prokes.. Lg PPKM pp.. Kumpul bakaran.. Pny komorbid.. Ttga positif..Sok ngritik pemerintah.. Utegmu mbok gadein ng ndi sih jal..Akal nalarmu dmn pak.. Sbgai public figure hrusnya jd contoh panutannya ini malah begini.. Bny dluar sana yg berjuang bwt dptin kamar dan oxy, tapi</t>
  </si>
  <si>
    <t>Ku itung'' ...gajiku masa PPKM 😐 walah</t>
  </si>
  <si>
    <t>Ku itung'' ...gajiku masa PPKM walah</t>
  </si>
  <si>
    <t>Wahai saudara-saudara kami sebangsa dan setanah air, tolonglah kita sedikit bersabar untuk mematuhi saran pemerintah ini demi kesehatan kita bersama
 Menteri Agama: Saya Minta Masyarakat Tidak Mudik Idul Adha dan Patuhi Edaran PPKM Darurat
 #GerakCepatVaksinasiCovid https://t.co/5CGUI12J8I</t>
  </si>
  <si>
    <t>Wahai saudara-saudara kami sebangsa dan setanah air, tolonglah kita sedikit bersabar untuk mematuhi saran pemerintah ini demi kesehatan kita bersamaMenteri Agama: Saya Minta Masyarakat Tidak Mudik Idul Adha dan Patuhi Edaran PPKM Darurat</t>
  </si>
  <si>
    <t>Saya pikir data &amp;amp; informasi ini semua perlu dibawa kemuka opung utk dibaca &amp;amp; difahami, agar supaya beliau meralat pernyataan belum optimal melaksanakan PPKM diganti menjadi PPKM "gatot" ‼️ https://t.co/HRuO027Q9O</t>
  </si>
  <si>
    <t>Saya pikir data &amp;amp; informasi ini semua perlu dibawa kemuka opung utk dibaca &amp;amp; difahami, agar supaya beliau meralat pernyataan belum optimal melaksanakan PPKM diganti menjadi PPKM "gatot"</t>
  </si>
  <si>
    <t>Efek jika turun jalan, mungkin ada sebagian dari pelaku PKL yang justru membenci kita, karena mencipta kerumunan dan justru membuat PPKM yang sudah berlangsung jadi sia-sia, bahkan kita akan dinilai sebagai pihak penyebab jika kebijakan PPKM ini diperpanjang kembali.</t>
  </si>
  <si>
    <t>Pak @ganjarpranowo mau tanya : adakah bantuan bagi warga jateng di perantauan (jakarta) pada masa PPKM? Suwun @bkdjatengprov</t>
  </si>
  <si>
    <t>Pak mau tanya : adakah bantuan bagi warga jateng di perantauan (jakarta) pada masa PPKM? Suwun</t>
  </si>
  <si>
    <t>PPKM bisa sukses bila semua element bersinergi tidak hanya aparat saja, Perusahaan non esensial juga harus patuh, aparat desa, baik camat dan lurah hingga RT/RW dapat mensosialisasikan kpda warga untuk patuh pada PPKM. 
 #GerakCepatVaksinasiCovid
 https://t.co/5L25WDVxDo</t>
  </si>
  <si>
    <t>PPKM bisa sukses bila semua element bersinergi tidak hanya aparat saja, Perusahaan non esensial juga harus patuh, aparat desa, baik camat dan lurah hingga RT/RW dapat mensosialisasikan kpda warga untuk patuh pada PPKM. ://</t>
  </si>
  <si>
    <t>Even "nAkEs" aja ada yg lagi ngopi sambil bikin instastory trs bilang "ih lagi ppkm initeh" sambil haha hihi</t>
  </si>
  <si>
    <t>@PRFMnews menurut pakar duitolog.... klo pny duit gak akan melanggar.... diem2 bae d rumah , taat sm ppkm</t>
  </si>
  <si>
    <t>menurut pakar duitolog.... klo pny duit gak akan melanggar.... diem2 bae d rumah , taat sm ppkm</t>
  </si>
  <si>
    <t>@Alumnibadutt Ppkm darurat wkwk</t>
  </si>
  <si>
    <t>Ppkm darurat wkwk</t>
  </si>
  <si>
    <t>gak bisa ketemu kirain PPKM-corona
 taunya ada hati yang lagi dijaga.</t>
  </si>
  <si>
    <t>gak bisa ketemu kirain PPKM-coronataunya ada hati yang lagi dijaga.</t>
  </si>
  <si>
    <t>@risw_andi PPKM_r4_fix atau PPKM_Bismillah_Final</t>
  </si>
  <si>
    <t>PPKM_r4_fix atau PPKM_Bismillah_Final</t>
  </si>
  <si>
    <t>PPKM, justru jadi ladang politisasi yang menggiurkan bagi oposisi
 Konspirasi ttng kelaparan rakyat sngt nyaring dikalangan bawah
 Sepertinya negri kita ini adalah negri yang saling tidak perduli sama tetangga sampai sampai harus tega membiarkan dlm kelaparan https://t.co/KF77wgvJ35</t>
  </si>
  <si>
    <t>PPKM, justru jadi ladang politisasi yang menggiurkan bagi oposisiKonspirasi ttng kelaparan rakyat sngt nyaring dikalangan bawahSepertinya negri kita ini adalah negri yang saling tidak perduli sama tetangga sampai sampai harus tega membiarkan dlm kelaparan</t>
  </si>
  <si>
    <t>@geloraco bukan pilihan opung, harus dua-duanya. makanya kalau mau PPKM PSBB atau LockDown atau sejenisnya, siapin dulu bantuan buat yg terdampak. JANGAN SAMPAI KAYAK KEMARIN BANSOS DIKORUPSI.. ngajak dagelan?</t>
  </si>
  <si>
    <t>bukan pilihan opung, harus dua-duanya. makanya kalau mau PPKM PSBB atau LockDown atau sejenisnya, siapin dulu bantuan buat yg terdampak. JANGAN SAMPAI KAYAK KEMARIN BANSOS DIKORUPSI.. ngajak dagelan?</t>
  </si>
  <si>
    <t>@Argaa_v jauh ke padang, lg ppkm</t>
  </si>
  <si>
    <t>jauh ke padang, lg ppkm</t>
  </si>
  <si>
    <t>Besok idul adha. Jgn lupa masak lontong/ketupat nya😊 goreng kerupuk undang nya jga. Eh snack" dipenuhi ditoples. Bodoamat lh sm ppkm. Yg penting suasana rmh harus ttp kyk suasana lebaran. Tamu gk perlu dtg. Karna ppkm, cukup aku dan keluarga yg menikmati~</t>
  </si>
  <si>
    <t>Besok idul adha. Jgn lupa masak lontong/ketupat nya goreng kerupuk undang nya jga. Eh snack" dipenuhi ditoples. Bodoamat lh sm ppkm. Yg penting suasana rmh harus ttp kyk suasana lebaran. Tamu gk perlu dtg. Karna ppkm, cukup aku dan keluarga yg menikmati~</t>
  </si>
  <si>
    <t>Olimpiade dimulai
 PPKM diperpanjang</t>
  </si>
  <si>
    <t>Olimpiade dimulaiPPKM diperpanjang</t>
  </si>
  <si>
    <t>Ni ppkm bikin gila lama2</t>
  </si>
  <si>
    <t>Terima kasih Pak @aniesbaswedan walaupun sebenarnya terlambat karena PPKM Darurat sudah berjalan 2 Minggu, tetapi lebih baik terlambat daripada tidak sama sekali 🙏 https://t.co/JNWr1IGR8u</t>
  </si>
  <si>
    <t>Terima kasih Pak walaupun sebenarnya terlambat karena PPKM Darurat sudah berjalan Minggu, tetapi lebih baik terlambat daripada tidak sama sekali</t>
  </si>
  <si>
    <t>@PRFMnews Dimaafin klo PPKM gk d perpanjang.....</t>
  </si>
  <si>
    <t>Dimaafin klo PPKM gk d perpanjang.....</t>
  </si>
  <si>
    <t>ppkm kaya gini mau ngurus apa2 susahbbgttttttt</t>
  </si>
  <si>
    <t>Jika PPKM diperpanjang dan hasilnya sama saja . Maka akan dilanjutkan dengan Adu Pinalti .
 #PPKM 
 #PPKMDarurat 
 #PpkmDiperpanjang</t>
  </si>
  <si>
    <t>Jika PPKM diperpanjang dan hasilnya sama saja . Maka akan dilanjutkan dengan Adu Pinalti .</t>
  </si>
  <si>
    <t>PPKM mau di perpanjang smpai 17 Agustus ..?? 
 17 Agustus jd hari peringatan ora oleh kerjo sedunia...</t>
  </si>
  <si>
    <t>PPKM mau di perpanjang smpai Agustus ..?? Agustus jd hari peringatan ora oleh kerjo sedunia...</t>
  </si>
  <si>
    <t>@trans7club Lanjutkan ppkm nya agar semua rakyat kecil ini semakin terpuruk dari kesengsaraan ......</t>
  </si>
  <si>
    <t>Lanjutkan ppkm nya agar semua rakyat kecil ini semakin terpuruk dari kesengsaraan ......</t>
  </si>
  <si>
    <t>PPKM
 Pagi Pagi Kita Moyan</t>
  </si>
  <si>
    <t>PPKMPagi Pagi Kita Moyan</t>
  </si>
  <si>
    <t>TERNYATA !!!!!!!
 ADA HIKMAH YANG SANGAT KUAT DAN HEBAT DI BALIK ''PPKM''
 RASA KEKELUARGAAN DAN PERHATIAN SESAMA WARGA MASYARAKAT MENJADI TUMBUH KEMBANG DAN TERLIHAT DI BEBERAPA WILAYAH SELALU SAJA ADA INISIATIF UNTUK SALING MEMBANTU DAN MERINGANKAN BEBAN HIDUP SESAMA.</t>
  </si>
  <si>
    <t>TERNYATA !!!!!!!ADA HIKMAH YANG SANGAT KUAT DAN HEBAT DI BALIK ''PPKM''RASA KEKELUARGAAN DAN PERHATIAN SESAMA WARGA MASYARAKAT MENJADI TUMBUH KEMBANG DAN TERLIHAT DI BEBERAPA WILAYAH SELALU SAJA ADA INISIATIF UNTUK SALING MEMBANTU DAN MERINGANKAN BEBAN HIDUP SESAMA.</t>
  </si>
  <si>
    <t>@jokowi bapak tau ga sih apa yg terjadi di masyarakat menengah kebawah tentang adanya PPKM ini,,?</t>
  </si>
  <si>
    <t>bapak tau ga sih apa yg terjadi di masyarakat menengah kebawah tentang adanya PPKM ini,,?</t>
  </si>
  <si>
    <t>Yg koar2 utk dirumah aja dan nyalahin org yg keluar pas ppkm kebanyakan org2 yg masi keluar, ngemall dan ketemu banyak org pas sblm ppkm. They act like corona exist pas lg ppkm aja, sblm ppkm ya.. blm ada 😌</t>
  </si>
  <si>
    <t>Yg koar2 utk dirumah aja dan nyalahin org yg keluar pas ppkm kebanyakan org2 yg masi keluar, ngemall dan ketemu banyak org pas sblm ppkm. They act like corona exist pas lg ppkm aja, sblm ppkm ya.. blm ada</t>
  </si>
  <si>
    <t>@FerdinandHaean3 Dulu kayaknya galak banget sama petahana, sekarang bela mati-matian petahana. Ratusan triliun implementasinya bagaimana? Kenyataan banyak di korop,PPKM gk maksimal, mereka yg kerja di pasar gk dapat gaji tiap bulan kayak yg pake seragam.... jadi dipikirin juga, kalau bisa mikir.</t>
  </si>
  <si>
    <t>Dulu kayaknya galak banget sama petahana, sekarang bela mati-matian petahana. Ratusan triliun implementasinya bagaimana? Kenyataan banyak di korop,PPKM gk maksimal, mereka yg kerja di pasar gk dapat gaji tiap bulan kayak yg pake seragam.... jadi dipikirin juga, kalau bisa mikir.</t>
  </si>
  <si>
    <t>@BurhanMuhtadi Presiden beri contoh selalu jelek, ada ppkm, dia justru bikin kerumunan.</t>
  </si>
  <si>
    <t>Presiden beri contoh selalu jelek, ada ppkm, dia justru bikin kerumunan.</t>
  </si>
  <si>
    <t>Adanya PPKM Darurat tetapi kasus positif dan kematian makin tinggi 📈</t>
  </si>
  <si>
    <t>Adanya PPKM Darurat tetapi kasus positif dan kematian makin tinggi</t>
  </si>
  <si>
    <t>@arlinatama Krn ppkm
 Temenku ga bs nengok dan ngerawat ibu nya yg lg sakit sampe akhirnya meninggal , tetep ga bisa nengok
 Itu si mas nya pake pelet apa yah? 
 Kok bs bebas keluar masuk jkt bgr</t>
  </si>
  <si>
    <t>Krn ppkmTemenku ga bs nengok dan ngerawat ibu nya yg lg sakit sampe akhirnya meninggal , tetep ga bisa nengokItu si mas nya pake pelet apa yah? Kok bs bebas keluar masuk jkt bgr</t>
  </si>
  <si>
    <t>Sampe PPKM di perpanjang dan gak ada hasil nya juga ,apakah akan di lanjut adu pinalti ?</t>
  </si>
  <si>
    <t>Beda dengan kondisi sekarang. Minta maaf saja harus dipaksa / didesak sana sini. Dan itupun cuma soal PPKM, dan maafnya diwakili. https://t.co/Zw1yVlX4MR</t>
  </si>
  <si>
    <t>Beda dengan kondisi sekarang. Minta maaf saja harus dipaksa / didesak sana sini. Dan itupun cuma soal PPKM, dan maafnya diwakili.</t>
  </si>
  <si>
    <t>@Abdillahonim PPKM gak bang haji..?</t>
  </si>
  <si>
    <t>PPKM gak bang haji..?</t>
  </si>
  <si>
    <t>@gembuskopet Ppkm ah</t>
  </si>
  <si>
    <t>Ppkm ah</t>
  </si>
  <si>
    <t>anak lu kok malah liburan ke luar negeri saat PPKM Darurat @airlangga_hrt ? https://t.co/F10KPH6DPX</t>
  </si>
  <si>
    <t>anak lu kok malah liburan ke luar negeri saat PPKM Darurat ?</t>
  </si>
  <si>
    <t>@lchimolalla pasti ppkm :(</t>
  </si>
  <si>
    <t>pasti ppkm</t>
  </si>
  <si>
    <t>@Itzgyulicious iya sih pasti di batas juga yang bantu-bantu nya sekarang mana ppkm banget..</t>
  </si>
  <si>
    <t>iya sih pasti di batas juga yang bantu-bantu nya sekarang mana ppkm banget..</t>
  </si>
  <si>
    <t>PPKM = Pandai Pandai Kaulah cari Mesjid 🤧</t>
  </si>
  <si>
    <t>PPKM = Pandai Pandai Kaulah cari Mesjid</t>
  </si>
  <si>
    <t>@ksjincha ppkm ya :(</t>
  </si>
  <si>
    <t>ppkm ya</t>
  </si>
  <si>
    <t>@Alergisefood kan ppkm sksk</t>
  </si>
  <si>
    <t>kan ppkm sksk</t>
  </si>
  <si>
    <t>@CNNIndonesia Makanya terjun pimpin langsung PPKM pak, biar tahu kondisi lapangan, percuma lip service terus dibalik istana</t>
  </si>
  <si>
    <t>Makanya terjun pimpin langsung PPKM pak, biar tahu kondisi lapangan, percuma lip service terus dibalik istana</t>
  </si>
  <si>
    <t>@arbnputr @reinaldomaramis @catsedih siapa juga yang ngomong prokes sama ppkm sama.di baca dulu mas broww</t>
  </si>
  <si>
    <t>siapa juga yang ngomong prokes sama ppkm sama.di baca dulu mas broww</t>
  </si>
  <si>
    <t>@shbt_pegadaian dengan adanya PPKM, bagaimana dengan bunga nya apakah bunga berjalaan selama PPKM, kami ingin bayar sebelum jatuh tempo, PPKM 13 -31 juli, mohon tidak ada bunga selama PPKM, cc @jokowi</t>
  </si>
  <si>
    <t>dengan adanya PPKM, bagaimana dengan bunga nya apakah bunga berjalaan selama PPKM, kami ingin bayar sebelum jatuh tempo, PPKM juli, mohon tidak ada bunga selama PPKM, cc</t>
  </si>
  <si>
    <t>Di kampung ku gada PPKM , tapi karna di tinggalin akhirnya aku sholat dirumah sendirian dong😭</t>
  </si>
  <si>
    <t>Di kampung ku gada PPKM , tapi karna di tinggalin akhirnya aku sholat dirumah sendirian dong</t>
  </si>
  <si>
    <t>@pipiyakim ppkm yah?</t>
  </si>
  <si>
    <t>ppkm yah?</t>
  </si>
  <si>
    <t>@hafisajg Ppkm hafis</t>
  </si>
  <si>
    <t>Ppkm hafis</t>
  </si>
  <si>
    <t>@strvkth ppkm yah?</t>
  </si>
  <si>
    <t>Kudus, soal ibadah ga ada lawan emang. Mo PPKM, PSBB, Lock Down, dkk tetep gas buat diselenggarakan. Masjid desa/kampung emang jd solusinya, asal ga brenti total. Angka positif naik seketika, seketika jg jd zona hijau. Bukan tenaga medis yg banyak disiapkan, tp tentara. 
 Chuaaksz</t>
  </si>
  <si>
    <t>Kudus, soal ibadah ga ada lawan emang. Mo PPKM, PSBB, Lock Down, dkk tetep gas buat diselenggarakan. Masjid desa/kampung emang jd solusinya, asal ga brenti total. Angka positif naik seketika, seketika jg jd zona hijau. Bukan tenaga medis yg banyak disiapkan, tp tentara. Chuaaksz</t>
  </si>
  <si>
    <t>@convomf Gabisa, ppkm soalnya.</t>
  </si>
  <si>
    <t>Gabisa, ppkm soalnya.</t>
  </si>
  <si>
    <t>Masjid² di sekitar rmh sy di Kota Bekasi masih menyelenggarakan sholat ied adha... pembangkangan PPKM Darurat. Kesombongan berbalut religius. 
 @pemkotbekasi
 @mas_triadhianto @jokowi @ridwankamil @kemendagri</t>
  </si>
  <si>
    <t>Masjid di sekitar rmh sy di Kota Bekasi masih menyelenggarakan sholat ied adha... pembangkangan PPKM Darurat. Kesombongan berbalut religius.</t>
  </si>
  <si>
    <t>@convomf engga lah, masih ppkm gini 🙂</t>
  </si>
  <si>
    <t>engga lah, masih ppkm gini</t>
  </si>
  <si>
    <t>@Arz00004x @AREAJULID trus klo rumah sakitnya udah ada emang nakesnya udah siap? untuk jadi dokter spesialis aja butuh waktu lama loh, gabisa mas perawat yang baru lulus disuruh handle pasien korona. pikir deh bang ppkm di jalankan aja yang positif nambah terus, saran yaa sebelum ngetik dipikir dulu.</t>
  </si>
  <si>
    <t>trus klo rumah sakitnya udah ada emang nakesnya udah siap? untuk jadi dokter spesialis aja butuh waktu lama loh, gabisa mas perawat yang baru lulus disuruh handle pasien korona. pikir deh bang ppkm di jalankan aja yang positif nambah terus, saran yaa sebelum ngetik dipikir dulu.</t>
  </si>
  <si>
    <t>Anjir bingung mo makan apa niw lebaran mana udh ppkm, warung2 pada nutup semua lagi</t>
  </si>
  <si>
    <t>nangis baca cerita orang orang yang harus jual ini itu karna ppkm 😭</t>
  </si>
  <si>
    <t>nangis baca cerita orang orang yang harus jual ini itu karna ppkm</t>
  </si>
  <si>
    <t>selamat idul adha di era ppkm</t>
  </si>
  <si>
    <t>@wintersweet_30 Dimushallah soalnya kagi ppkm</t>
  </si>
  <si>
    <t>Dimushallah soalnya kagi ppkm</t>
  </si>
  <si>
    <t>PPKM diperpanjang tujuannya cuma satu, biar aku ga bisa ketemu kamu.</t>
  </si>
  <si>
    <t>@aulmaulidiana @kredivo @kredivo 
 SETELAH PPKM SELESAI AKU MAU SEKOLAH😭😭❤</t>
  </si>
  <si>
    <t>SETELAH PPKM SELESAI AKU MAU SEKOLAH</t>
  </si>
  <si>
    <t>gegara ppkm kaga bisa sholat ied :/</t>
  </si>
  <si>
    <t>@kanacutie enggak, ppkm</t>
  </si>
  <si>
    <t>enggak, ppkm</t>
  </si>
  <si>
    <t>@bangZhack86 Cm nentuin PPKM perpanjang apa tidak aja BINGUNG..rezim apaan ini? Klo pandemi ini yg jadi komandan adl ilmuwan di bidang kesehatan..bukan opung..saya rasa hemat nyawa hemat biaya..hancur dech semua..hancur ditangan org2 yg TIDAK CAKAP..negeriku menangis</t>
  </si>
  <si>
    <t>Cm nentuin PPKM perpanjang apa tidak aja BINGUNG..rezim apaan ini? Klo pandemi ini yg jadi komandan adl ilmuwan di bidang kesehatan..bukan opung..saya rasa hemat nyawa hemat biaya..hancur dech semua..hancur ditangan org2 yg TIDAK CAKAP..negeriku menangis</t>
  </si>
  <si>
    <t>@doyoungklim Iyaaa woii mana lagi ga solat terus qurban gabisa disaksiin gara2 ppkm. Dahlah 😔 https://t.co/ZLZmpwjRU0</t>
  </si>
  <si>
    <t>Iyaaa woii mana lagi ga solat terus qurban gabisa disaksiin gara2 ppkm. Dahlah</t>
  </si>
  <si>
    <t>Pulang sholat ied,cuddling.
 Masa lebaran dengan PPKM.
 Topat sama opornya dianggurin,ngantuk lagi..</t>
  </si>
  <si>
    <t>Pulang sholat ied,cuddling.Masa lebaran dengan PPKM.Topat sama opornya dianggurin,ngantuk lagi..</t>
  </si>
  <si>
    <t>PPKM Darurat diperpanjang sampai Emyu juara Liga Inggris.</t>
  </si>
  <si>
    <t>sedih ga ada sholat eid di sini karna ppkm:( https://t.co/okuafeRpIZ</t>
  </si>
  <si>
    <t>sedih ga ada sholat eid di sini karna ppkm</t>
  </si>
  <si>
    <t>PPKM saja diprotes. Apalagi di lockdown. Hadeeewww... https://t.co/rRozldCrlD</t>
  </si>
  <si>
    <t>PPKM saja diprotes. Apalagi di lockdown. Hadeeewww...</t>
  </si>
  <si>
    <t>@JMX97LEE ppkm, lagi halangan, atau nonmus?</t>
  </si>
  <si>
    <t>ppkm, lagi halangan, atau nonmus?</t>
  </si>
  <si>
    <t>kangen nya di tunda dulu masih ppkm 😋</t>
  </si>
  <si>
    <t>kangen nya di tunda dulu masih ppkm</t>
  </si>
  <si>
    <t>Ya Allah rasanya nyesel beut gabisa ikut sholat ied. Ketiduran dan emang mau ppkm aja dirumah 😭
 #EidAlAdha</t>
  </si>
  <si>
    <t>Ya Allah rasanya nyesel beut gabisa ikut sholat ied. Ketiduran dan emang mau ppkm aja dirumah</t>
  </si>
  <si>
    <t>Gimana mau sukses, wacananya kan cuma ganti nama dari psbb sampai ppkm!
 Tp pemerintah gake pernah melaksanakan UU karantina ( menyantuni masyarakat)
 #PresidentGagal
 #PresidentGagal https://t.co/4zSXhkcSwM</t>
  </si>
  <si>
    <t>Gimana mau sukses, wacananya kan cuma ganti nama dari psbb sampai ppkm!Tp pemerintah gake pernah melaksanakan UU karantina ( menyantuni masyarakat)</t>
  </si>
  <si>
    <t>@fvckyouimfangky @reinaldomaramis @catsedih sorry nih tau arti prokes ga? prokes sama ppkm itu beda, jualan ya jualan nyari duit ya nyari duit tapi tetep prokes. gmn sih ah 🤣🤣🤣</t>
  </si>
  <si>
    <t>sorry nih tau arti prokes ga? prokes sama ppkm itu beda, jualan ya jualan nyari duit ya nyari duit tapi tetep prokes. gmn sih ah</t>
  </si>
  <si>
    <t>@drpriono1 @jokowi Dalam masa ppkm darurat spt sekarang di pasar2 tradisionil rata2 penjual tak gunakan masker dan tak ada penertiban u hal itu. Penertiban pnggunaan masker oleh petugas justru lbh baik saat masih psbb.
 Menurut saya ini aneh.</t>
  </si>
  <si>
    <t>Dalam masa ppkm darurat spt sekarang di pasar2 tradisionil rata2 penjual tak gunakan masker dan tak ada penertiban u hal itu. Penertiban pnggunaan masker oleh petugas justru lbh baik saat masih psbb.Menurut saya ini aneh.</t>
  </si>
  <si>
    <t>lama gak up foto di twitter, jauh sebelum ppkm https://t.co/nT9mAGClUb</t>
  </si>
  <si>
    <t>lama gak up foto di twitter, jauh sebelum ppkm</t>
  </si>
  <si>
    <t>Menurut teman2 apakah PPKM DARURAT JAWA BALI perlu diperpanjang smp 31 Juli 2021 atau cukup selesai tgl 20 Juli 2021 ?</t>
  </si>
  <si>
    <t>Menurut teman2 apakah PPKM DARURAT JAWA BALI perlu diperpanjang smp Juli atau cukup selesai tgl Juli ?</t>
  </si>
  <si>
    <t>@bakug0uw PPKM
 Potong Potong Kambing Menglewatizoom</t>
  </si>
  <si>
    <t>PPKMPotong Potong Kambing Menglewatizoom</t>
  </si>
  <si>
    <t>Pengurus rt gue kaya ngadain sumbangan gitu buat bantu warga yang kena dampak ppkm</t>
  </si>
  <si>
    <t>dalam bbrp hari aja daerahku udh naik level jd ppkm darurat :(</t>
  </si>
  <si>
    <t>dalam bbrp hari aja daerahku udh naik level jd ppkm darurat</t>
  </si>
  <si>
    <t>padahal abis ppkm mau ke angkringannya pak panut😔 https://t.co/qBEwDVU0Tz</t>
  </si>
  <si>
    <t>padahal abis ppkm mau ke angkringannya pak panut</t>
  </si>
  <si>
    <t>ppkm pagi-pagi kumau makan</t>
  </si>
  <si>
    <t>Mirissss
 Ditengah ppkm darurat..udh dlarang sholat idul adha brjamaah di mesjid..msih aja ngeyel, bandel..
 Dmna ptugas pol pp ini, mana prngkat rt rw?? Kel meruya selatan rw 05-06 kec kmbangan..mesjid baitul rahman..gmn mau kelar covid
 @aniesbaswedan @DKIJakarta @satgascovid19id</t>
  </si>
  <si>
    <t>MirissssDitengah ppkm darurat..udh dlarang sholat idul adha brjamaah di mesjid..msih aja ngeyel, bandel..Dmna ptugas pol pp ini, mana prngkat rt rw?? Kel meruya selatan rw $NUMBER$ kec kmbangan..mesjid baitul rahman..gmn mau kelar covid</t>
  </si>
  <si>
    <t>Tebak-tebakan yok abis PPKM darurat nama selanjutnya apa hayo? Sistem yg sama dan hasil yg sama.</t>
  </si>
  <si>
    <t>@massstara Masih PPKM sayank 🧐</t>
  </si>
  <si>
    <t>Masih PPKM sayank</t>
  </si>
  <si>
    <t>@cloudskyoong PPKM kah?</t>
  </si>
  <si>
    <t>PPKM kah?</t>
  </si>
  <si>
    <t>Pak @jokowi semoga PPKM tidak diperpanjang. Karena orang biasa tidak punya penghasilan tetap seperti petugas PPKM. Orang biasa jauh lebih banyak dari orang kaya jadi yang disengsarakan ekonominya karena PPKM lebih banyak Pak. 🙏🙏🙏🙏</t>
  </si>
  <si>
    <t>Pak semoga PPKM tidak diperpanjang. Karena orang biasa tidak punya penghasilan tetap seperti petugas PPKM. Orang biasa jauh lebih banyak dari orang kaya jadi yang disengsarakan ekonominya karena PPKM lebih banyak Pak.</t>
  </si>
  <si>
    <t>Eid mubarak guys 🙏 walau ppkm tetap semangat idul qurban yogs</t>
  </si>
  <si>
    <t>Eid mubarak guys walau ppkm tetap semangat idul qurban yogs</t>
  </si>
  <si>
    <t>SELAMAT IDUL ADHA,
 SEMOGA PPKM CEPET KELARNYA</t>
  </si>
  <si>
    <t>SELAMAT IDUL ADHA,SEMOGA PPKM CEPET KELARNYA</t>
  </si>
  <si>
    <t>Takbir, ungkapan keagungan Allah SWT telah berkumandang. Di masa PPKM ink Kita tetap patuhi PROKES demi Kesehatan kita semua. Selamat Hari Raya Idul Adha 1442 H. Semoga ampunan dan barokah-Nya senantiasa dilimpahkan kepada kita Semua. Aamiin.... https://t.co/SqaOfxjbBF</t>
  </si>
  <si>
    <t>Takbir, ungkapan keagungan Allah SWT telah berkumandang. Di masa PPKM ink Kita tetap patuhi PROKES demi Kesehatan kita semua. Selamat Hari Raya Idul Adha H. Semoga ampunan dan barokah-Nya senantiasa dilimpahkan kepada kita Semua. Aamiin....</t>
  </si>
  <si>
    <t>Di tempat gw kapan ya bener bener ga ada kerumunan? Dari jaman psbb ke ppkm tetep aja ada sholat jumat dan sholat ied. Bahkan kebanyakan gak maskeran. Serasa covid tuh cuma mimpi.</t>
  </si>
  <si>
    <t>@nottnadiaa Ppkm jdi gk diadain sholat ied :(((</t>
  </si>
  <si>
    <t>Ppkm jdi gk diadain sholat ied</t>
  </si>
  <si>
    <t>@izoomw Ehe engga kak, cuma disuruh dateng aja buat ngambil, maunya bantu” motong sih cuma gak dikasih sama ayah soalnya lagi ppkm :(</t>
  </si>
  <si>
    <t>Ehe engga kak, cuma disuruh dateng aja buat ngambil, maunya bantu motong sih cuma gak dikasih sama ayah soalnya lagi ppkm</t>
  </si>
  <si>
    <t>@IqVandys PPKM ini di Kreasi Oleh Tito Karnavian yang Tangan nya Selalu Berlumuran Darah.</t>
  </si>
  <si>
    <t>PPKM ini di Kreasi Oleh Tito Karnavian yang Tangan nya Selalu Berlumuran Darah.</t>
  </si>
  <si>
    <t>Gara-gara PPKM aing ga bisa ketemu sama doi :'(</t>
  </si>
  <si>
    <t>@Nabilaputri_53 ga ppkm yuu?</t>
  </si>
  <si>
    <t>ga ppkm yuu?</t>
  </si>
  <si>
    <t>@krisnarenaldi @BStolenbergs PPKM Perjuangan ....</t>
  </si>
  <si>
    <t>PPKM Perjuangan ....</t>
  </si>
  <si>
    <t>pgn sushi aeon ashskakskdkdsk pls ppkm udhn dong hhhh</t>
  </si>
  <si>
    <t>@cigaraftrsad @___marginarcana ohhh iyaaa dongg, ppkm beres gass main</t>
  </si>
  <si>
    <t>ohhh iyaaa dongg, ppkm beres gass main</t>
  </si>
  <si>
    <t>Idul Fitri psbb
 Idul adha ppkm</t>
  </si>
  <si>
    <t>Idul Fitri psbbIdul adha ppkm</t>
  </si>
  <si>
    <t>Ikut sholat ied nggak? Aku nggak ... Masjidnya ditutup grgr PPKM. Sedih :(</t>
  </si>
  <si>
    <t>Ikut sholat ied nggak? Aku nggak ... Masjidnya ditutup grgr PPKM. Sedih</t>
  </si>
  <si>
    <t>@Partono_ADjem Cari perkara aja pak, ntar satu suro PPKM lagi... eh, satu muharrom.</t>
  </si>
  <si>
    <t>Cari perkara aja pak, ntar satu suro PPKM lagi... eh, satu muharrom.</t>
  </si>
  <si>
    <t>@badutmekdi24 Maksudku yang berkurban nonton penyembelihannya secara Live Conferences. PPKM gaboleh ada yang nonton</t>
  </si>
  <si>
    <t>Maksudku yang berkurban nonton penyembelihannya secara Live Conferences. PPKM gaboleh ada yang nonton</t>
  </si>
  <si>
    <t>Allahu Akbar...Allahu Akbar....yuk kita Sholad Ied di rumah saja bersama keluarga. Kita saling jaga diri &amp;amp; lingkungan kita semua dr serangan virus Corona varian Delta. Patuhi Prokes 6M saat PPKM Darurat, bagi yg belum vaksin, bersegeralah #EidAlAdha #IdulAdha2021 #IdulAdha1442H https://t.co/htX3xWhNuk</t>
  </si>
  <si>
    <t>Allahu Akbar...Allahu Akbar....yuk kita Sholad Ied di rumah saja bersama keluarga. Kita saling jaga diri &amp;amp; lingkungan kita semua dr serangan virus Corona varian Delta. Patuhi Prokes M saat PPKM Darurat, bagi yg belum vaksin, bersegeralah</t>
  </si>
  <si>
    <t>Kirain PPKM jalanan doang yg diblok ternyata medsos ku juga.
 KWKWKWK</t>
  </si>
  <si>
    <t>Kirain PPKM jalanan doang yg diblok ternyata medsos ku juga.KWKWKWK</t>
  </si>
  <si>
    <t>ngga solat ied selain ppkm, ya karena males juga sie</t>
  </si>
  <si>
    <t>@giellova di lingkungan kosan gaada yg sholat di masjid... terus mau sholat barengan sama mbak kosan, bingung doanya gimana ueueue... yang biasa kek gitu2 udah pulkam sebelum ppkm :"
 daannnn aku bangunnya kesiangan gara2 semalem gabisa tidur gara2 maag kambuh, ga nyaman bgt jadinya 😭😭</t>
  </si>
  <si>
    <t>di lingkungan kosan gaada yg sholat di masjid... terus mau sholat barengan sama mbak kosan, bingung doanya gimana ueueue... yang biasa kek gitu2 udah pulkam sebelum ppkm :"daannnn aku bangunnya kesiangan gara2 semalem gabisa tidur gara2 maag kambuh, ga nyaman bgt jadinya</t>
  </si>
  <si>
    <t>Hallo bung @Dennysiregar7 mohon pendapatnya bahwa pada masa PPKM, di Kupang dua hari lalu, seorang kepala daerah meninggal karena covid, tetapi jenasahnya dibolehkan diterbangkan kembali ke daerah asalnya untuk dikebumikan.
  @jokowi @satgascovid19id</t>
  </si>
  <si>
    <t>Hallo bung mohon pendapatnya bahwa pada masa PPKM, di Kupang dua hari lalu, seorang kepala daerah meninggal karena covid, tetapi jenasahnya dibolehkan diterbangkan kembali ke daerah asalnya untuk dikebumikan.</t>
  </si>
  <si>
    <t>Ppkm meresahkan salat we ndak ndak di sip sip an</t>
  </si>
  <si>
    <t>Hidup - Mati Warga URUSAN Warga... selain itu hanya Statistik Pemerintah.
 PPKM hanya menyengsarakan Warga https://t.co/9cU3qq0sBA</t>
  </si>
  <si>
    <t>Hidup - Mati Warga URUSAN Warga... selain itu hanya Statistik Pemerintah.PPKM hanya menyengsarakan Warga</t>
  </si>
  <si>
    <t>@kemalpalevi Seharusnya masing-masing kambing di kasih hand sanitizer takut nya abis salaman sama kambing lain yakan trus diperhatiin juga takut pas malem-malem ada yg diem-diem jalan ke mall kn lagi PPKM gak boleh itu</t>
  </si>
  <si>
    <t>Seharusnya masing-masing kambing di kasih hand sanitizer takut nya abis salaman sama kambing lain yakan trus diperhatiin juga takut pas malem-malem ada yg diem-diem jalan ke mall kn lagi PPKM gak boleh itu</t>
  </si>
  <si>
    <t>@Hendery1999 @bertanyarl Kan ppkm diperpanjang lagi</t>
  </si>
  <si>
    <t>Kan ppkm diperpanjang lagi</t>
  </si>
  <si>
    <t>@amflife Yang patut diingat peraturan dibuat itu untuk dilaksanakan bukan beralibi dg mengubah banyak narasi PSBB, new normal, PPKM? UU karantina jgn d praktikkan setengah2, pertanyaannya pemerintah mampu gak menanggung biaya hidup orang miskin yg rumahnya dempet2an ?</t>
  </si>
  <si>
    <t>Yang patut diingat peraturan dibuat itu untuk dilaksanakan bukan beralibi dg mengubah banyak narasi PSBB, new normal, PPKM? UU karantina jgn d praktikkan setengah2, pertanyaannya pemerintah mampu gak menanggung biaya hidup orang miskin yg rumahnya dempet2an ?</t>
  </si>
  <si>
    <t>@natelor ga tau ya, pdhl kan lagi ppkm😩 mau sholat di rumah siapa yg mau imamin😀</t>
  </si>
  <si>
    <t>ga tau ya, pdhl kan lagi ppkm mau sholat di rumah siapa yg mau imamin</t>
  </si>
  <si>
    <t>PPKM // Pekan Potong Kurban Makan.</t>
  </si>
  <si>
    <t>petugas patroli dan istilah PPKM adalah hal yg menakutkan bagiku. Dibikin tak berdaya, kolaps.</t>
  </si>
  <si>
    <t>@Joni35135255 @oc_narendra @melantonifan @diq_47 @Roudhat66563714 @Djoked2 Udah sarapan belom bong ? Sarapan giiih coz pura pura bahagia itu periiih kaya perut loe yg kena ppkm😂😂</t>
  </si>
  <si>
    <t>Udah sarapan belom bong ? Sarapan giiih coz pura pura bahagia itu periiih kaya perut loe yg kena ppkm</t>
  </si>
  <si>
    <t>@KAI121 Noted. Suami sdh jauh² hari daftar vaksinasi, krn KTP Smg, dpt jadwal ke-1 di Smg akhir Juni lalu. Krn kerja di JKT, jd balik lg kesana dong. Lalu ada PPKM. Dan KAI tdk mengikutsertakan kebutuhan vaksinasi ke-2 sbg kepentingan mendesak. Solusinya dong Pak @hendrarprihadi 🙏🏻 suwun</t>
  </si>
  <si>
    <t>Noted. Suami sdh jauh hari daftar vaksinasi, krn KTP Smg, dpt jadwal ke-1 di Smg akhir Juni lalu. Krn kerja di JKT, jd balik lg kesana dong. Lalu ada PPKM. Dan KAI tdk mengikutsertakan kebutuhan vaksinasi ke-2 sbg kepentingan mendesak. Solusinya dong Pak suwun</t>
  </si>
  <si>
    <t>@slytheorin_ iyaa mungkin karena ppkm</t>
  </si>
  <si>
    <t>iyaa mungkin karena ppkm</t>
  </si>
  <si>
    <t>sapi ama kambingnya disembelih virtual ga ya? kan lgi ppkm 🤔</t>
  </si>
  <si>
    <t>sapi ama kambingnya disembelih virtual ga ya? kan lgi ppkm</t>
  </si>
  <si>
    <t>@KimSaIsa @damdamsuittttt @ppyoongg @bertanyarl Nah iyagasiiiiii, ini udah pada stress berat Jakarta tuh. Kemana2 gabisa, gua aja kemaren mau ngelamar kerja jadi gabisa karena ppkm. Belum ngerasain rasanya tuh gimana💔Coba sendernya gausah pake emot itu, trus kek doain yang masih merah biar cepet hijau. Opini gua nih yaaa</t>
  </si>
  <si>
    <t>Nah iyagasiiiiii, ini udah pada stress berat Jakarta tuh. Kemana2 gabisa, gua aja kemaren mau ngelamar kerja jadi gabisa karena ppkm. Belum ngerasain rasanya tuh gimanaCoba sendernya gausah pake emot itu, trus kek doain yang masih merah biar cepet hijau. Opini gua nih yaaa</t>
  </si>
  <si>
    <t>@lmlimdaniel NAH IYA HAHAHHAHAHA, kayak, lagi ppkm jufa</t>
  </si>
  <si>
    <t>NAH IYA HAHAHHAHAHA, kayak, lagi ppkm jufa</t>
  </si>
  <si>
    <t>@BukanLayu ppkm gabisa kerumah lo tad, gmn kalo vc aja?</t>
  </si>
  <si>
    <t>ppkm gabisa kerumah lo tad, gmn kalo vc aja?</t>
  </si>
  <si>
    <t>@RestyCayaaah Betul jg sih pusat untuk inti stop perjalanan ya SPBU tutup smntara di saat PPKM.kan beres ga ribet penyekatan...</t>
  </si>
  <si>
    <t>Betul jg sih pusat untuk inti stop perjalanan ya SPBU tutup smntara di saat PPKM.kan beres ga ribet penyekatan...</t>
  </si>
  <si>
    <t>Lebaran taun ini dan taun kemarin ya d rumah aja, ga bole keluar PPKM. 
 Stay healthy. Happy ied Adha olllllll✨</t>
  </si>
  <si>
    <t>Lebaran taun ini dan taun kemarin ya d rumah aja, ga bole keluar PPKM. Stay healthy. Happy ied Adha olllllll</t>
  </si>
  <si>
    <t>Kehidupan PPKM ku https://t.co/XiB5r88zud</t>
  </si>
  <si>
    <t>Kehidupan PPKM ku</t>
  </si>
  <si>
    <t>@detikcom Kalo longgar ya gk usah ada ppkm.</t>
  </si>
  <si>
    <t>Kalo longgar ya gk usah ada ppkm.</t>
  </si>
  <si>
    <t>@Rizmaya__ @PDemokrat @SBYudhoyono @AgusYudhoyono @Edhie_Baskoro @PDemokrat sarankan strategi... Katakan Tidak... ✋🤚 pada PPKM... 😋😅</t>
  </si>
  <si>
    <t>sarankan strategi... Katakan Tidak... pada PPKM...</t>
  </si>
  <si>
    <t>sedi bget nie lagi ppkm jdi ngk bisa kemana mana 😩 sholat jga di rumah masing² 😔🤚🏻</t>
  </si>
  <si>
    <t>sedi bget nie lagi ppkm jdi ngk bisa kemana mana sholat jga di rumah masing</t>
  </si>
  <si>
    <t>@mannnnn11111 Ppkm atuhhh🙃</t>
  </si>
  <si>
    <t>Ppkm atuhhh</t>
  </si>
  <si>
    <t>Ppkm sialan masa sampe kebawa mimpi dikejar polisi gitu😭😭</t>
  </si>
  <si>
    <t>Ppkm sialan masa sampe kebawa mimpi dikejar polisi gitu</t>
  </si>
  <si>
    <t>gembor" melu pemerintah PPKM , entuk bantuan yo seko pemerintah , giliran pemerintah menganjurkan sholat ied dirumah masing" ra digugu , padahal bar ono kasus klaster jamaah masjid. ealaaah</t>
  </si>
  <si>
    <t>Hmm idul adha ga bisa kemana2 karena masih ppkm, ngapain ya hari ini ceilah</t>
  </si>
  <si>
    <t>S3lamat Idul Adha kawan pasti beda banget ya sama tahun lalu ada yang namanya #dirumahaja bcs ppkm tetap sehat kawan disana lekas membaik bumiku dan ayo kita lepas masker ayo kita sekolaah lagi 
 #EidMubarak
 #EidAlAdha https://t.co/hW1HcUUBdK</t>
  </si>
  <si>
    <t>S3lamat Idul Adha kawan pasti beda banget ya sama tahun lalu ada yang namanya bcs ppkm tetap sehat kawan disana lekas membaik bumiku dan ayo kita lepas masker ayo kita sekolaah lagi</t>
  </si>
  <si>
    <t>@zaskiaforever @WagimanDeep212_ Lha itu yang baru ketahuan... Yg nggak ketahuan kayaknya buanyak tuh 🥴🥴🥴
 Belum lg msalah WNA India yg diloloskan di bandara dulu. Biar PPKM berbulan bulan klo kebobolan terus kayak gini ya percuma 🤦🤦🤦</t>
  </si>
  <si>
    <t>Lha itu yang baru ketahuan... Yg nggak ketahuan kayaknya buanyak tuh Belum lg msalah WNA India yg diloloskan di bandara dulu. Biar PPKM berbulan bulan klo kebobolan terus kayak gini ya percuma</t>
  </si>
  <si>
    <t>otak ana keikut ppkm😇😇</t>
  </si>
  <si>
    <t>otak ana keikut ppkm</t>
  </si>
  <si>
    <t>PPKM = Pelan Pelan Keuangan Menipis</t>
  </si>
  <si>
    <t>bodoamat kalau emang indo masih ppkm pas oktober gua bakal nunggu rilis di bioskop sampe jenggotan juga w tunggu https://t.co/g05EYOKJJv</t>
  </si>
  <si>
    <t>bodoamat kalau emang indo masih ppkm pas oktober gua bakal nunggu rilis di bioskop sampe jenggotan juga w tunggu</t>
  </si>
  <si>
    <t>biasanya kalo sholat ied gituu kan mulai jam 7 ya. dan karena lagi ppkm gini gua mikir kan kalo mulai paling jam set 7. teruss tadi guee dateng jam 06.20, lah taunya udah selesai anjritttt 😭😭😭😭😭😭</t>
  </si>
  <si>
    <t>biasanya kalo sholat ied gituu kan mulai jam ya. dan karena lagi ppkm gini gua mikir kan kalo mulai paling jam set . teruss tadi guee dateng jam , lah taunya udah selesai anjritttt</t>
  </si>
  <si>
    <t>@yoodiest gapapa lagi ppkm juga, happy ied adha ya🥰</t>
  </si>
  <si>
    <t>gapapa lagi ppkm juga, happy ied adha ya</t>
  </si>
  <si>
    <t>Euy selama ppkm gimana dengan pengeluaran kalian..
 Di tekan apa tetep ajah seperti biasa!</t>
  </si>
  <si>
    <t>Euy selama ppkm gimana dengan pengeluaran kalian..Di tekan apa tetep ajah seperti biasa!</t>
  </si>
  <si>
    <t>@myhobiyworld Di dikt rmh ku ga ngadain sholat ied krn ppkm :(</t>
  </si>
  <si>
    <t>Di dikt rmh ku ga ngadain sholat ied krn ppkm</t>
  </si>
  <si>
    <t>@drismalaa gara gara ppkm ya?</t>
  </si>
  <si>
    <t>gara gara ppkm ya?</t>
  </si>
  <si>
    <t>@detikcom Lebih baik ga usah PPKM biar rakyat hidup seperti biasa. Yg hidup tetap hidup yg tidak bertahan semoga tenang.</t>
  </si>
  <si>
    <t>Lebih baik ga usah PPKM biar rakyat hidup seperti biasa. Yg hidup tetap hidup yg tidak bertahan semoga tenang.</t>
  </si>
  <si>
    <t>@dyxz__ sektor non esensial tetap boleh melakukan kegiatan kerja dengan kariawan yang kerja daring (wfh)
 begitulah salah satu bunyi pasal PPKM di negara wkwkwkland</t>
  </si>
  <si>
    <t>sektor non esensial tetap boleh melakukan kegiatan kerja dengan kariawan yang kerja daring (wfh)begitulah salah satu bunyi pasal PPKM di negara wkwkwkland</t>
  </si>
  <si>
    <t>@dianleonnita Iya cb deh. Etapi ppkm gatau Mr DIY buka apa engga</t>
  </si>
  <si>
    <t>Iya cb deh. Etapi ppkm gatau Mr DIY buka apa engga</t>
  </si>
  <si>
    <t>@CNNIndonesia Saya sarankan dimasa penerapan PPKM darurat pemerintah pusat&amp;amp;daerah kerahkan semua relawan&amp;amp;petugas satgascovid untuk langsung memberikan bantuan ke rumah2 warga.
 Pak @jokowi @ridwankamil @airlangga_hrt @ganjarpranowo @aniesbaswedan biar merata&amp;amp;tdk ada kerumunan2 dlm pencairan.</t>
  </si>
  <si>
    <t>Saya sarankan dimasa penerapan PPKM darurat pemerintah pusat&amp;ampaerah kerahkan semua relawan&amp;ampetugas satgascovid untuk langsung memberikan bantuan ke rumah2 warga.Pak biar merata&amp;amp;tdk ada kerumunan2 dlm pencairan.</t>
  </si>
  <si>
    <t>@najeoniie kenapa? ppkm kh?</t>
  </si>
  <si>
    <t>kenapa? ppkm kh?</t>
  </si>
  <si>
    <t>@inosfleur @lillibragirl Kelar ppkm wkwk</t>
  </si>
  <si>
    <t>Kelar ppkm wkwk</t>
  </si>
  <si>
    <t>jujur sampe detik ini gw gatau kepanjangan ppkm😁🙏🚑😅✅❤️‍🩹🚆😖</t>
  </si>
  <si>
    <t>jujur sampe detik ini gw gatau kepanjangan ppkm</t>
  </si>
  <si>
    <t>PPKM = Pagi Pagi Kontol Masuk🥰</t>
  </si>
  <si>
    <t>PPKM = Pagi Pagi Kontol Masuk</t>
  </si>
  <si>
    <t>idul adha versi ppkm xixi, alhamdulillah https://t.co/v02DPG2L2l</t>
  </si>
  <si>
    <t>idul adha versi ppkm xixi, alhamdulillah</t>
  </si>
  <si>
    <t>@JMX97LEE ppkm di perpanjangg</t>
  </si>
  <si>
    <t>ppkm di perpanjangg</t>
  </si>
  <si>
    <t>ini udah gak ppkm kan?</t>
  </si>
  <si>
    <t>@taeshirtless kenapa? ppkm yh?</t>
  </si>
  <si>
    <t>kenapa? ppkm yh?</t>
  </si>
  <si>
    <t>@patjeno ppkm deh</t>
  </si>
  <si>
    <t>ppkm deh</t>
  </si>
  <si>
    <t>@kaktaeyung kenapa? ppkm yh?</t>
  </si>
  <si>
    <t>@justjenwrites Jadi masjid deket rumah tuh mau ngadain sholat eid tp karna ppkm diem diem</t>
  </si>
  <si>
    <t>Jadi masjid deket rumah tuh mau ngadain sholat eid tp karna ppkm diem diem</t>
  </si>
  <si>
    <t>PPKM + isoman mau gila rasanya, sebulan dirumahkan 🏴‍☠️🆘⚰️🪦</t>
  </si>
  <si>
    <t>PPKM + isoman mau gila rasanya, sebulan dirumahkan</t>
  </si>
  <si>
    <t>@bunnyd0oy Kenapaa?? Ppkm kahh?</t>
  </si>
  <si>
    <t>Kenapaa?? Ppkm kahh?</t>
  </si>
  <si>
    <t>@NOTASLIMBOY PPKM atau PSBB yang benar bang?</t>
  </si>
  <si>
    <t>PPKM atau PSBB yang benar bang?</t>
  </si>
  <si>
    <t>Presiden Joko Widodo memberi penekanan agar dilakukan hukum PPKM dengan cara-cara yang humanis, santun, manusiawi &amp;amp; tidak berlebihan meski tetap tegas. PPKM adalah bentuk negara melindungi keselamatan rakyatnya. 
 @jokowi Lawan Pandemi https://t.co/e3XmVn3FGm</t>
  </si>
  <si>
    <t>Presiden Joko Widodo memberi penekanan agar dilakukan hukum PPKM dengan cara-cara yang humanis, santun, manusiawi &amp;amp; tidak berlebihan meski tetap tegas. PPKM adalah bentuk negara melindungi keselamatan rakyatnya. Lawan Pandemi</t>
  </si>
  <si>
    <t>@AREAJULID PPKM Darurat Jawa Bali nya diperpanjang gk sih?</t>
  </si>
  <si>
    <t>PPKM Darurat Jawa Bali nya diperpanjang gk sih?</t>
  </si>
  <si>
    <t>PPKM jadi diperpanjang Pak @jokowi @aniesbaswedan ?</t>
  </si>
  <si>
    <t>PPKM jadi diperpanjang Pak ?</t>
  </si>
  <si>
    <t>Keputusan PPKM tidak akan menyenangkan 
 Di lanjutkan rakyat kecil menjerit kesusahan mereka. 
 Di longgar kan dengan resiko lonjakan kasus, Nakes Menjerit kelelahan mereka. 
 Jadi mohon apapun keputusan nya kira nya kita dukung langkah pemerintah
 Smoga semua dlm lindungan Alloh</t>
  </si>
  <si>
    <t>Keputusan PPKM tidak akan menyenangkan Di lanjutkan rakyat kecil menjerit kesusahan mereka. Di longgar kan dengan resiko lonjakan kasus, Nakes Menjerit kelelahan mereka. Jadi mohon apapun keputusan nya kira nya kita dukung langkah pemerintahSmoga semua dlm lindungan Alloh</t>
  </si>
  <si>
    <t>@nahaechie Ppkm beb, syaapppp u juga</t>
  </si>
  <si>
    <t>Ppkm beb, syaapppp u juga</t>
  </si>
  <si>
    <t>selamat hari raya idul adha, tetap prokes dan tidak ada open house karena ppkm !! stay safe everybody https://t.co/p59es14Dt8</t>
  </si>
  <si>
    <t>selamat hari raya idul adha, tetap prokes dan tidak ada open house karena ppkm !! stay safe everybody</t>
  </si>
  <si>
    <t>KEGAGALAN PPKM SECARA NASIONAL MERUPAKAN KEGAGALN PEMERINTAH PUSAT KEGAGALAN PRESIDEN RI BKK JOKOWI KESLHAN FTL PPKM ADL : WARGANEGARA SDR DIBATASI MOBILITAS/ AKTIFITAS NYA EKONOMINYA SMTR NGR/ PEMERINTAH MENGABAIKAN TDK MEMENUHI KBTHAN TERUTAMA PANGAN INI FTL AKIBATNYA....</t>
  </si>
  <si>
    <t>@lillibragirl Iya aku juga masih karantina 😔 kalau udah gak ppkm ayo kita auce bertiga</t>
  </si>
  <si>
    <t>Iya aku juga masih karantina kalau udah gak ppkm ayo kita auce bertiga</t>
  </si>
  <si>
    <t>Sedih lebaran kali ini gak bisa gabung sama keluarga alif karena ppkm 🥺</t>
  </si>
  <si>
    <t>Sedih lebaran kali ini gak bisa gabung sama keluarga alif karena ppkm</t>
  </si>
  <si>
    <t>PPKM dengan konsep baru. PPKM perlu untuk menekan angka positif covid dan menekan penyebaran penularan. Yang perlu dievaluasi konsepnya krn semua lini kehidupan harus berjalan.
 Makanya Vaksin..!!! Ayo Vaksin..!! https://t.co/Uyrhe5Xymn</t>
  </si>
  <si>
    <t>PPKM dengan konsep baru. PPKM perlu untuk menekan angka positif covid dan menekan penyebaran penularan. Yang perlu dievaluasi konsepnya krn semua lini kehidupan harus berjalan.Makanya Vaksin..!!! Ayo Vaksin..!!</t>
  </si>
  <si>
    <t>Maksa amat mesjid buka. Segitu satu gang aja ada 6 keluarga yg positif. Tuhan aja ga memberatkan umatnya dalam beribadah ini umatnya napa ribet? 
 Gliran masalah gnian cuat² koar ibadah lebih baik rame², gliran ppkm disuruh diem dirumah aja kek cacing kepanasan pdhl buat senegara</t>
  </si>
  <si>
    <t>Maksa amat mesjid buka. Segitu satu gang aja ada keluarga yg positif. Tuhan aja ga memberatkan umatnya dalam beribadah ini umatnya napa ribet? Gliran masalah gnian cuat koar ibadah lebih baik rame, gliran ppkm disuruh diem dirumah aja kek cacing kepanasan pdhl buat senegara</t>
  </si>
  <si>
    <t>@ohmybeautybank Lagi ppkm ga kemana2 mendingan baju apa skincare mekup ga kepake serius ku aja nyesel😭</t>
  </si>
  <si>
    <t>Lagi ppkm ga kemana2 mendingan baju apa skincare mekup ga kepake serius ku aja nyesel</t>
  </si>
  <si>
    <t>@BliUncut lagi ppkm bli):</t>
  </si>
  <si>
    <t>lagi ppkm bli):</t>
  </si>
  <si>
    <t>@aulmaulidiana @kredivo SETELAH PPKM SELESAI AKU MAU BELAJAR SAMA MAIN BARENG TEMEN 
 .
 .
 @kredivo</t>
  </si>
  <si>
    <t>SETELAH PPKM SELESAI AKU MAU BELAJAR SAMA MAIN BARENG TEMEN ..</t>
  </si>
  <si>
    <t>@badutmekdi24 PPKM, nyembelih juga Live Conferences 😪</t>
  </si>
  <si>
    <t>PPKM, nyembelih juga Live Conferences</t>
  </si>
  <si>
    <t>@AREAJULID Ntar yg nyampe ke rakyat cuma 300 rb utk satu keluarga dan PPKM nya sebulan, makan indomie ama telor tiap hari</t>
  </si>
  <si>
    <t>Ntar yg nyampe ke rakyat cuma rb utk satu keluarga dan PPKM nya sebulan, makan indomie ama telor tiap hari</t>
  </si>
  <si>
    <t>@msaid_didu Bingung dengan ucapan bpk presiden...pls jgn PPkM lagi anda tidak memikirkan rakyat semakin terpuruk..</t>
  </si>
  <si>
    <t>Bingung dengan ucapan bpk presiden...pls jgn PPkM lagi anda tidak memikirkan rakyat semakin terpuruk..</t>
  </si>
  <si>
    <t>@ANDINI_MAHARAN1 @Swarnad71915084 @jokowi @henrysubiakto Rakyatnya bobok om atau lg PPKM = Pelan Pelan Kita Mati, jd ga ada yg bergerak. Apalagi ga ada komando nya😋</t>
  </si>
  <si>
    <t>Rakyatnya bobok om atau lg PPKM = Pelan Pelan Kita Mati, jd ga ada yg bergerak. Apalagi ga ada komando nya</t>
  </si>
  <si>
    <t>@detikcom Berarti akan diperpanjang? Keren, padahal PPKM ini gagal tak sanggup menekan kasus aktif... terus apa tujuannya</t>
  </si>
  <si>
    <t>Berarti akan diperpanjang? Keren, padahal PPKM ini gagal tak sanggup menekan kasus aktif... terus apa tujuannya</t>
  </si>
  <si>
    <t>@kookcyxie ppkm pastii</t>
  </si>
  <si>
    <t>ppkm pastii</t>
  </si>
  <si>
    <t>kuota snm di turunin, rektor kampus tau tu nile bukan murni, udh ditahap ini ko ppkm malah di perpanjang gmn si pak, bilang aja dana BOS buat party wagyu a5</t>
  </si>
  <si>
    <t>@kompascom @susipudjiastuti Gajimu pak @jokowi potongen, lumaya buat beli beras trus di bagi2 ke warga dampak ppkm, klo kita yg berkorban, apa yg hrs dikorbankan? Dpt duit tiap hari gk tentu, mkn juga seadanya loh😭</t>
  </si>
  <si>
    <t>Gajimu pak potongen, lumaya buat beli beras trus di bagi2 ke warga dampak ppkm, klo kita yg berkorban, apa yg hrs dikorbankan? Dpt duit tiap hari gk tentu, mkn juga seadanya loh</t>
  </si>
  <si>
    <t>PPKM diperpanjang sampe Edho Zell end live streaming youtube.</t>
  </si>
  <si>
    <t>Kalo tidak berkenan PPKM Mikro atau Darurat biarkan saja... tapi di LOCK tidak ada yang boleh keluar/masuk wilayah, langsung Pagar Betis.. kalo emang ada peningkatan yang terpapar kita sudah tahu PENYEBABnya, ternyata KETIDAKWARASAN lebih BAHAYA daripada VIRUS C19DELTA.. https://t.co/yKvQCtl1qw</t>
  </si>
  <si>
    <t>Kalo tidak berkenan PPKM Mikro atau Darurat biarkan saja... tapi di LOCK tidak ada yang boleh keluar/masuk wilayah, langsung Pagar Betis.. kalo emang ada peningkatan yang terpapar kita sudah tahu PENYEBABnya, ternyata KETIDAKWARASAN lebih BAHAYA daripada VIRUS C19DELTA..</t>
  </si>
  <si>
    <t>ws! Kalo scroll tiktok tu bawaanya pengen holideee tp inget klo ini lg ppkm😭😭 kalian jg gitu ga si</t>
  </si>
  <si>
    <t>ws! Kalo scroll tiktok tu bawaanya pengen holideee tp inget klo ini lg ppkm kalian jg gitu ga si</t>
  </si>
  <si>
    <t>Kalo ga PPKM Darurat harusnya hari ini ke Serang nih😤</t>
  </si>
  <si>
    <t>Kalo ga PPKM Darurat harusnya hari ini ke Serang nih</t>
  </si>
  <si>
    <t>@ggaaaa_ ditempat ku ppkm jd gabisa solat ied dilapangan</t>
  </si>
  <si>
    <t>ditempat ku ppkm jd gabisa solat ied dilapangan</t>
  </si>
  <si>
    <t>@SarahJayanti Parah ngidam pempek rama dr sebelum ppkm parah!!!😭 btw krim malam 1 erha abis wkakakakak 🤣</t>
  </si>
  <si>
    <t>Parah ngidam pempek rama dr sebelum ppkm parah!!! btw krim malam erha abis wkakakakak</t>
  </si>
  <si>
    <t>@antiromoantic omg iyaa iyaa ppkm yaa....</t>
  </si>
  <si>
    <t>omg iyaa iyaa ppkm yaa....</t>
  </si>
  <si>
    <t>Hari Raya Idhul Adha = PPKM (pelan Pelan Kamu Melebar)</t>
  </si>
  <si>
    <t>PPKM, Pernah Peduli Kemudian Muak</t>
  </si>
  <si>
    <t>@AREAJULID kenapa enggak dibuat borong dagangan warung
 yang buka saat ppkm saja biar tutup tepat waktu
 kenapa enggak diliburkan serentak selama
 2 minggu saja, supaya merata ISOMANnya
 kenapa enggak winning solution yang bagus sih
 kelasnya mengatur negara, transparannya gaada
 JeritanRakyat</t>
  </si>
  <si>
    <t>kenapa enggak dibuat borong dagangan warungyang buka saat ppkm saja biar tutup tepat waktukenapa enggak diliburkan serentak selama2 minggu saja, supaya merata ISOMANnyakenapa enggak winning solution yang bagus sihkelasnya mengatur negara, transparannya gaadaJeritanRakyat</t>
  </si>
  <si>
    <t>Lebih baik ppkm dihentikan, siap atau tidak siap, masyarakat harus lebih dewasa, tetapi collateral akan terjadi bagi mereka lemah, yang tua yang sakit dan termakan hoax, but life goes on. So pick your poison.</t>
  </si>
  <si>
    <t>@Abbysal6 @FWBESS Engga juga nderr, dsini PPKM juga. Pertokoan jam 8 juga udh pada tutup.</t>
  </si>
  <si>
    <t>Engga juga nderr, dsini PPKM juga. Pertokoan jam juga udh pada tutup.</t>
  </si>
  <si>
    <t>pak @jokowi @kemenkomarves @kemenhub151 
 apabila ada PPKM mohon dipertimbangkan lg terkait transportasi utk yg kerja luar kota.
 kereta lokal ditutup,akhirnya penumpang pada lari ke bis yg mana di bis ekonomi umum prokes kurang menurut saya apalagi jika armada yg jalan tidak 100%</t>
  </si>
  <si>
    <t>pak apabila ada PPKM mohon dipertimbangkan lg terkait transportasi utk yg kerja luar kota.kereta lokal ditutup,akhirnya penumpang pada lari ke bis yg mana di bis ekonomi umum prokes kurang menurut saya apalagi jika armada yg jalan tidak %</t>
  </si>
  <si>
    <t>Jadinya diperpanjang ga sih ini ppkm?</t>
  </si>
  <si>
    <t>@karinasauruss ppkm lah nga bisa sholat berjamaah</t>
  </si>
  <si>
    <t>ppkm lah nga bisa sholat berjamaah</t>
  </si>
  <si>
    <t>Pengen nemenin🥺 tp lagi ppkm https://t.co/TH2OZXROZw</t>
  </si>
  <si>
    <t>Pengen nemenin tp lagi ppkm</t>
  </si>
  <si>
    <t>ppkm jawa bali, sama aja dimanamana #ppkm #PPKMDaruratBerdampakBaik #EfekNyataPPKMDarurat #PPKMSengsarakanRakyat #PPKMDarurat https://t.co/KsKPMTeuCF</t>
  </si>
  <si>
    <t>ppkm jawa bali, sama aja dimanamana</t>
  </si>
  <si>
    <t>@fistiara ppkm po? haha</t>
  </si>
  <si>
    <t>ppkm po? haha</t>
  </si>
  <si>
    <t>Lucu bin lucu bin ndagel Contoh nyata bhw jokowi hnya pasif.
 Gk punya prakarsa apa2 ttng PPKM dia bergantung pd kebijakan bawahannya. https://t.co/77P8H7in4y</t>
  </si>
  <si>
    <t>Lucu bin lucu bin ndagel Contoh nyata bhw jokowi hnya pasif.Gk punya prakarsa apa2 ttng PPKM dia bergantung pd kebijakan bawahannya.</t>
  </si>
  <si>
    <t>@euph0riaw kenapa? ppkm ya?</t>
  </si>
  <si>
    <t>kenapa? ppkm ya?</t>
  </si>
  <si>
    <t>@mohmahfudmd Hmm menarik bahasannya pak, lanjutkan terus pak. Harus dianalisis terus pak film2 yg rancu terkait hukum, selagi waktu ppkm masih dilaksanakan. Kecuali kalo ada panggilan ya pak, baru kerja lg</t>
  </si>
  <si>
    <t>Hmm menarik bahasannya pak, lanjutkan terus pak. Harus dianalisis terus pak film2 yg rancu terkait hukum, selagi waktu ppkm masih dilaksanakan. Kecuali kalo ada panggilan ya pak, baru kerja lg</t>
  </si>
  <si>
    <t>bukan krn ppkm juga.. https://t.co/doh0AqCLSE</t>
  </si>
  <si>
    <t>bukan krn ppkm juga..</t>
  </si>
  <si>
    <t>@oxleyflora ppkm ya?</t>
  </si>
  <si>
    <t>ppkm ya?</t>
  </si>
  <si>
    <t>@amerrcno ppkm ya :(</t>
  </si>
  <si>
    <t>@geloraco ppkm darurat lewat zoom shg mrk bs terus diedukasi dan memperbaiki performancenya. utk mrk yg dpt toleransi berjualan hrs memakai masker dan wajib cuci tangan pake sabun sblm.makan dan ini hrs dibiasakan</t>
  </si>
  <si>
    <t>ppkm darurat lewat zoom shg mrk bs terus diedukasi dan memperbaiki performancenya. utk mrk yg dpt toleransi berjualan hrs memakai masker dan wajib cuci tangan pake sabun sblm.makan dan ini hrs dibiasakan</t>
  </si>
  <si>
    <t>Mohon infonya, PPKM dimakassar diperpanjang kah? Tabe 🙏</t>
  </si>
  <si>
    <t>Mohon infonya, PPKM dimakassar diperpanjang kah? Tabe</t>
  </si>
  <si>
    <t>Info dong kalo mau ke jogja pas ppkm gini bisa ga si</t>
  </si>
  <si>
    <t>PPKM = punya pacar kok miris</t>
  </si>
  <si>
    <t>Ini ppkm apa seblak, pake segala level - levelan.. 😌 https://t.co/JxsrERHVem</t>
  </si>
  <si>
    <t>Ini ppkm apa seblak, pake segala level - levelan..</t>
  </si>
  <si>
    <t>Aku sabar nunggu ppkm rampung :)</t>
  </si>
  <si>
    <t>Aku sabar nunggu ppkm rampung</t>
  </si>
  <si>
    <t>@sim_sus @datuakrajoangek Yg sesuai apa ya? Ppkm banyak yg ngeluh, lockdown pasti chaos...</t>
  </si>
  <si>
    <t>Yg sesuai apa ya? Ppkm banyak yg ngeluh, lockdown pasti chaos...</t>
  </si>
  <si>
    <t>@panggilajanata @Ivodewimarista Deg degan gara-gara PPKM Ivo mah,
 Takut dibubarin satgas</t>
  </si>
  <si>
    <t>Deg degan gara-gara PPKM Ivo mah,Takut dibubarin satgas</t>
  </si>
  <si>
    <t>Bingung mau kemana psbb ganti sampul ppkm, dan uu nya sama kekarantinaan. 
 Yg bang psbb dan ppkm bukan karantina sini gw tusuk bool lu pakai bambu runcing</t>
  </si>
  <si>
    <t>Bingung mau kemana psbb ganti sampul ppkm, dan uu nya sama kekarantinaan. Yg bang psbb dan ppkm bukan karantina sini gw tusuk bool lu pakai bambu runcing</t>
  </si>
  <si>
    <t>Ada sebuah aturan yang menggelitik saya di PPKM Darurat versi 2.0.
 Warung makan di ruang terbuka diizinkan buka sampai pukul 21.00, dengan waktu makan pengunjung maksimal 30 menit. 
 Ini yang disuruh pegang timer siapa ya?</t>
  </si>
  <si>
    <t>Ada sebuah aturan yang menggelitik saya di PPKM Darurat versi .Warung makan di ruang terbuka diizinkan buka sampai pukul , dengan waktu makan pengunjung maksimal menit. Ini yang disuruh pegang timer siapa ya?</t>
  </si>
  <si>
    <t>Pgn nonton ayah okin please di broker ngide bgt ppkm diperpanjang</t>
  </si>
  <si>
    <t>BANSOS MANA BANSOS 🧐🧐 
 Udah banyak korban yang tumbang akibat PPKM dan keserkahan pemerintah 😣</t>
  </si>
  <si>
    <t>BANSOS MANA BANSOS Udah banyak korban yang tumbang akibat PPKM dan keserkahan pemerintah</t>
  </si>
  <si>
    <t>jadi pengen steak21 AYCE. tapi lagi PPKM level belum tau di Medan. hmm https://t.co/WXThmhcQl1</t>
  </si>
  <si>
    <t>jadi pengen steak21 AYCE. tapi lagi PPKM level belum tau di Medan. hmm</t>
  </si>
  <si>
    <t>Surat tugas ppkm buat naik krl benar adanya 🙂 efek sebulan gak ngantor</t>
  </si>
  <si>
    <t>Surat tugas ppkm buat naik krl benar adanya efek sebulan gak ngantor</t>
  </si>
  <si>
    <t>Level Darurat PPKM
 -Level 1 ngga pedes 
 -Level 2 setengah pedes 
 -Level 3 pedes karetnya2
 -Level 4 Full pedesnya ujungnya do sobek
  Masalah sangsi dan aturannya sesuai udelnya aja</t>
  </si>
  <si>
    <t>Level Darurat PPKM-Level ngga pedes -Level setengah pedes -Level pedes karetnya2-Level Full pedesnya ujungnya do sobek Masalah sangsi dan aturannya sesuai udelnya aja</t>
  </si>
  <si>
    <t>@Khansayaang @AREAJULID allhamdulillah kak masih kedapetan☺️ semoga aja bulan² ini ppkm kaka dpt yg lebih ya kak bansos nya!🙏🏻☺️</t>
  </si>
  <si>
    <t>allhamdulillah kak masih kedapetan semoga aja bulan ini ppkm kaka dpt yg lebih ya kak bansos nya!</t>
  </si>
  <si>
    <t>Selama PPKM sering dimarahi istri karena kalau ditanya ngga pernah jawab, ngga mau bantu-bantu kerjaan rumah juga. Padahal kan sudah benar sesuai anjuran pemerintah untuk diam di rumah.</t>
  </si>
  <si>
    <t>Istilah PPKM Darurat bakal diubah jadi level 1-4, di mana level 4 masuk kategori = PPKM darurat..
 Ini negara dah kayak candy crush aja pakai level segala. Segitu menghindarnya kah dari kata "karantina" biar ga bisa dituntut scr UU?</t>
  </si>
  <si>
    <t>Istilah PPKM Darurat bakal diubah jadi level $NUMBER$, di mana level masuk kategori = PPKM darurat..Ini negara dah kayak candy crush aja pakai level segala. Segitu menghindarnya kah dari kata "karantina" biar ga bisa dituntut scr UU?</t>
  </si>
  <si>
    <t>Bagaimana PPKM Darurat mau efektif, jika sudah menyangkut ibadah berjemaah penegak hukum tidak mampu berbuat apa2. Beraninya cuma sama pedagang kecil, restoran dll. Sudahi saja PPKM ini. Fokus saja vaksinasi masif &amp;amp; prokes. Dan biarkan seluruh aktivitas ekonomi berjalan @jokowi</t>
  </si>
  <si>
    <t>Bagaimana PPKM Darurat mau efektif, jika sudah menyangkut ibadah berjemaah penegak hukum tidak mampu berbuat apa2. Beraninya cuma sama pedagang kecil, restoran dll. Sudahi saja PPKM ini. Fokus saja vaksinasi masif &amp;amp; prokes. Dan biarkan seluruh aktivitas ekonomi berjalan</t>
  </si>
  <si>
    <t>@nakamidaa Aku suka ppkm gapake m</t>
  </si>
  <si>
    <t>Aku suka ppkm gapake m</t>
  </si>
  <si>
    <t>ppkm februari 2021 jakarta</t>
  </si>
  <si>
    <t>ppkm februari jakarta</t>
  </si>
  <si>
    <t>KTP Kota Jogja, Tinggal di Kab.Bantul, Kerja di Kab.Sleman, Semangat Menembus Barikade PPKM!🤣</t>
  </si>
  <si>
    <t>KTP Kota Jogja, Tinggal di Kab.Bantul, Kerja di Kab.Sleman, Semangat Menembus Barikade PPKM!</t>
  </si>
  <si>
    <t>@taesnglrty wkwkwk tanganku emg suka brutal sama gak bisa diem jadi ya… sedangkan mau ke mall lgi PPKM 😭</t>
  </si>
  <si>
    <t>wkwkwk tanganku emg suka brutal sama gak bisa diem jadi ya sedangkan mau ke mall lgi PPKM</t>
  </si>
  <si>
    <t>PPKM = pelan pelan kalo masukin</t>
  </si>
  <si>
    <t>Banyak GA bersliweran di TL
 Semoga bisa jd hiburan di masa PPKM perpanjangan
 Tetap sehat tetap semangat
 Have a nice day 👍</t>
  </si>
  <si>
    <t>Banyak GA bersliweran di TLSemoga bisa jd hiburan di masa PPKM perpanjanganTetap sehat tetap semangatHave a nice day</t>
  </si>
  <si>
    <t>Klo pas sebelum ppkm,pagi2 udah hujan itu "musibah" buat kita para pedagang es teh poci nd penjual minuman+es yg lain...
 Tp sekarang jadi berkah,coz gak ngapa2in 😂😂😂😂,yg penting stok rokok 1 minggu kedepan masih aman terkendali..
 Nasib pengangguran 😂😭 https://t.co/dcLUYFdO9t</t>
  </si>
  <si>
    <t>Klo pas sebelum ppkm,pagi2 udah hujan itu "musibah" buat kita para pedagang es teh poci nd penjual minuman+es yg lain...Tp sekarang jadi berkah,coz gak ngapa2in ,yg penting stok rokok minggu kedepan masih aman terkendali..Nasib pengangguran</t>
  </si>
  <si>
    <t>@Joni35135255 @Ndoy11239269 @melantonifan @diq_47 @Roudhat66563714 @Djoked2 ya buat golongan sekolam mah gk ngaruh ppkm..
 kan masih ada dana yg bisa di korupsi..
 soal perut mah jgn kwatir..
 kalo kena hukum kan undang2nya yg di rubah biar lolos..
 ye kan ye kan</t>
  </si>
  <si>
    <t>ya buat golongan sekolam mah gk ngaruh ppkm..kan masih ada dana yg bisa di korupsi..soal perut mah jgn kwatir..kalo kena hukum kan undang2nya yg di rubah biar lolos..ye kan ye kan</t>
  </si>
  <si>
    <t>orang sejak ppkm jadi makin kreatip ya, salut 🥺🥺 https://t.co/rHqeQwTeWB</t>
  </si>
  <si>
    <t>orang sejak ppkm jadi makin kreatip ya, salut</t>
  </si>
  <si>
    <t>@Cirebon_news Min mau tanya, selama PPKM ini angkot GP, mobil elf, &amp;amp; angkot dalam kota D1-D9 masih beroperasi normal ga ya? #askcrb #askcirebon #tanyacirebon #tanyacrb #infocirebon #infocrb</t>
  </si>
  <si>
    <t>Min mau tanya, selama PPKM ini angkot GP, mobil elf, &amp;amp; angkot dalam kota D1-D9 masih beroperasi normal ga ya?</t>
  </si>
  <si>
    <t>Apakah ppkm udah selesai??</t>
  </si>
  <si>
    <t>@sheilasinna @Resadew @AREAJULID yups sbnrnya klo ditanya bersyukur ya saya bersyukur cuma sistem ppkm yg katanya ga boleh kmn² kerja dirumah aja sdngkn ibu bapak saya aja nyari uang kerja ya di luar,klo gabisa kerja mau nyukupin lanjut hidup dri mn coba.</t>
  </si>
  <si>
    <t>yups sbnrnya klo ditanya bersyukur ya saya bersyukur cuma sistem ppkm yg katanya ga boleh kmn kerja dirumah aja sdngkn ibu bapak saya aja nyari uang kerja ya di luar,klo gabisa kerja mau nyukupin lanjut hidup dri mn coba.</t>
  </si>
  <si>
    <t>@maswik_ Huft gak ado happynya ppkm</t>
  </si>
  <si>
    <t>Huft gak ado happynya ppkm</t>
  </si>
  <si>
    <t>@jeponsomi @Mondaiey Hey… PPKM saya sappol no peluk-peluk kecuali ada rasa</t>
  </si>
  <si>
    <t>Hey PPKM saya sappol no peluk-peluk kecuali ada rasa</t>
  </si>
  <si>
    <t>Dulu juga pernah bilang begitu, buktinya Kepolisian masih membiarkan penyebar hoax tentang vaksin, hoax tentang PPKM, hoax tentang covid. Padahal pelakunya dari kelompok yg sama.
  https://t.co/jAA8S8ltsY</t>
  </si>
  <si>
    <t>Dulu juga pernah bilang begitu, buktinya Kepolisian masih membiarkan penyebar hoax tentang vaksin, hoax tentang PPKM, hoax tentang covid. Padahal pelakunya dari kelompok yg sama.</t>
  </si>
  <si>
    <t>Sy ga sependapat dengan cara PPKM, sy sarankan perketat Prokes dan 3M.
 Karena ekonomi yg utama, kesehatan berdampingan dgn kesejahteraan.
 Kalo rakyat jatuh miskin kesehatan jg bergandengan dgn kemiskinan.
 Artinya kesehatan jgn jadi dalih.
 https://t.co/R7iDFW9VvJ</t>
  </si>
  <si>
    <t>Sy ga sependapat dengan cara PPKM, sy sarankan perketat Prokes dan M.Karena ekonomi yg utama, kesehatan berdampingan dgn kesejahteraan.Kalo rakyat jatuh miskin kesehatan jg bergandengan dgn kemiskinan.Artinya kesehatan jgn jadi dalih.</t>
  </si>
  <si>
    <t>@susipudjiastuti Kirain PPKM Pro</t>
  </si>
  <si>
    <t>Kirain PPKM Pro</t>
  </si>
  <si>
    <t>@BgsJlam PPKM mas.</t>
  </si>
  <si>
    <t>PPKM mas.</t>
  </si>
  <si>
    <t>@jokowi Tapi pak, Jika bursa saham indonesia ambrol dan rupaih melemah sampai akhir tahun, apakah akan PPKM sampai akhir tahun 2021 ?</t>
  </si>
  <si>
    <t>Tapi pak, Jika bursa saham indonesia ambrol dan rupaih melemah sampai akhir tahun, apakah akan PPKM sampai akhir tahun ?</t>
  </si>
  <si>
    <t>melewati masa sblm corona, psbb dan ppkm dengan org yang sama xixixi</t>
  </si>
  <si>
    <t>Banjarmasin ppkm kah ?</t>
  </si>
  <si>
    <t>ini ppkm ga diperpanjang kan?</t>
  </si>
  <si>
    <t>Tetep santuy walau PPKM di perpanjang. https://t.co/O63CFYWSoh</t>
  </si>
  <si>
    <t>Tetep santuy walau PPKM di perpanjang.</t>
  </si>
  <si>
    <t>PPKM= planga plongo kurang money</t>
  </si>
  <si>
    <t>abis ppkm selesai kita bakal sekolah offline gitu?</t>
  </si>
  <si>
    <t>@aguystmu @Dennysiregar7 @jokowi Pilihannya cuma dua, lockdown/ppkm dan bebas. Lockdown/ppkm kalo ada yg terjangkit dan parah, rumkit dan pengobatan gratis. Kalo bebas ya tanggung sendiri pengobatan dan vaksin. Pilih mana?
 Kalo mikir itu otaknya ikut dipake. Presiden memikirkan ppkm jg untuk kebaikan rakyatnya.</t>
  </si>
  <si>
    <t>Pilihannya cuma dua, lockdown/ppkm dan bebas. Lockdown/ppkm kalo ada yg terjangkit dan parah, rumkit dan pengobatan gratis. Kalo bebas ya tanggung sendiri pengobatan dan vaksin. Pilih mana?Kalo mikir itu otaknya ikut dipake. Presiden memikirkan ppkm jg untuk kebaikan rakyatnya.</t>
  </si>
  <si>
    <t>contoh PEMDA serta TOKOH2 Lokal yg tidak pernah gercep mematuhi kebaikan BIJAK Pemerintah Pusat
 Mereka di depan urusan Bansos
 Tapi Ngeyel diurusan yg sebenarnya
 didaerah yg diberlakukan PPKM beginian "banyak"
 dan FAKTA 🤔
 Warga juga Ngeyelan gak mau sabar 😌 so sad 😢 https://t.co/t9UEtSA7QS</t>
  </si>
  <si>
    <t>contoh PEMDA serta TOKOH2 Lokal yg tidak pernah gercep mematuhi kebaikan BIJAK Pemerintah PusatMereka di depan urusan BansosTapi Ngeyel diurusan yg sebenarnyadidaerah yg diberlakukan PPKM beginian "banyak"dan FAKTA Warga juga Ngeyelan gak mau sabar so sad</t>
  </si>
  <si>
    <t>@efenkha Haha, ppkm mata pelajaran baru ya😆😆</t>
  </si>
  <si>
    <t>Haha, ppkm mata pelajaran baru ya</t>
  </si>
  <si>
    <t>@BukuMojok Paket PPKM 1.</t>
  </si>
  <si>
    <t>Paket PPKM .</t>
  </si>
  <si>
    <t>Meski berat, kebijakan PPKM Darurat tidak bisa dihindari ini yang harus diambil pemerintah untuk mengurangi penularan dan kondisi rumah sakit yang overkapasitas, agar layanan kesehatan unt pasien kritis lainnya tidak terganggu.</t>
  </si>
  <si>
    <t>Kalo PPKM gini sbux ada tumblr day gak ya?</t>
  </si>
  <si>
    <t>@makansushiaja pinginnya tiduran digaji, ppkm terus gpp kl itu</t>
  </si>
  <si>
    <t>pinginnya tiduran digaji, ppkm terus gpp kl itu</t>
  </si>
  <si>
    <t>@her_alone Bukan dikorbankan bung, tapi disembelih untuk jadi tumbal PPKM Darurat diperpanjang?</t>
  </si>
  <si>
    <t>Bukan dikorbankan bung, tapi disembelih untuk jadi tumbal PPKM Darurat diperpanjang?</t>
  </si>
  <si>
    <t>@fadjroeL @jokowi @JubirPresidenRI Selamat pagi pak.
 Sy salah satu karyawan swasta yg bergerak dibidang perkebunan di Kaltim. Sebelum PPKM diterapkan, sy melaksanakan cuti tahunan (pulang kampung) ke Sumut.
 Sekarang masa cuti sy sudah mau habis, rencananya mau kembali ke Samarinda.</t>
  </si>
  <si>
    <t>Selamat pagi pak.Sy salah satu karyawan swasta yg bergerak dibidang perkebunan di Kaltim. Sebelum PPKM diterapkan, sy melaksanakan cuti tahunan (pulang kampung) ke Sumut.Sekarang masa cuti sy sudah mau habis, rencananya mau kembali ke Samarinda.</t>
  </si>
  <si>
    <t>@mhmila_ masih ppkm teh</t>
  </si>
  <si>
    <t>masih ppkm teh</t>
  </si>
  <si>
    <t>pagi pagi koler mandi - PPKM</t>
  </si>
  <si>
    <t>@susipudjiastuti Dari PSBB ~&amp;gt; PPKM ~&amp;gt; Level 1-4 ~&amp;gt; ??? (masih dicari istilah selanjutnya)</t>
  </si>
  <si>
    <t>Dari PSBB ~&amp;gt; PPKM ~&amp;gt; Level $NUMBER$ ~&amp;gt; ??? (masih dicari istilah selanjutnya)</t>
  </si>
  <si>
    <t>ngenes nggak sih, nunggu blackwidow dari jaman 2020 ehh pas udah tayang malah ppkm 
 Mau liat blackwidow yaAllah. Marvel kalau nggak kualitas 4k kayak ada yang kurang</t>
  </si>
  <si>
    <t>ngenes nggak sih, nunggu blackwidow dari jaman ehh pas udah tayang malah ppkm Mau liat blackwidow yaAllah. Marvel kalau nggak kualitas k kayak ada yang kurang</t>
  </si>
  <si>
    <t>Aku suka ppkm gapake pp😩</t>
  </si>
  <si>
    <t>Aku suka ppkm gapake pp</t>
  </si>
  <si>
    <t>Assalamu’alaikum warahmatullahi wabarakatuh,
 Selamat pagi Sahabat.
 Memperhatikan pelaksanaan PPKM dan perlawanan dari mereka yang tak setuju lockdown, akhirnya kita dibuat paham bahwa tekanan untuk memenuhi kebutuhan ekonomi lebih besar daripada tekanan menjaga kesehatan.</t>
  </si>
  <si>
    <t>Assalamualaikum warahmatullahi wabarakatuh,Selamat pagi Sahabat.Memperhatikan pelaksanaan PPKM dan perlawanan dari mereka yang tak setuju lockdown, akhirnya kita dibuat paham bahwa tekanan untuk memenuhi kebutuhan ekonomi lebih besar daripada tekanan menjaga kesehatan.</t>
  </si>
  <si>
    <t>mending PPKM di perpanjang sampai arsenal juara UCL</t>
  </si>
  <si>
    <t>Malaysia saat ini sedang lockdown. Indonesia saat ini sedang ppkm. Kalo km saat ini sedang apa 🙂</t>
  </si>
  <si>
    <t>Malaysia saat ini sedang lockdown. Indonesia saat ini sedang ppkm. Kalo km saat ini sedang apa</t>
  </si>
  <si>
    <t>@CNNIndonesia Rp. 200.000/30 hr = Rp. 6.067 dibagi lg berapa mulut dlm 1 keluarga penerima.
 diikurung PPKM manusiawikah bansos sejumlah itu???</t>
  </si>
  <si>
    <t>Rp. /30 hr = Rp. dibagi lg berapa mulut dlm keluarga penerima.diikurung PPKM manusiawikah bansos sejumlah itu???</t>
  </si>
  <si>
    <t>Bbrp org pengen PPKM, bahkanLOCKDOWN dan ujungnya menuntut bansos. 
 Beberapa lagi pilih PPKM dihapuskan dan berharap prokes jadi tameng utama. 
 Aku sih pilih yg kedua, org2 yg punya motivasi kuat dlm bertahan hidup, tidak hanya kesehatan, ekonomi keluarga jg jd prioritas utama</t>
  </si>
  <si>
    <t>Bbrp org pengen PPKM, bahkanLOCKDOWN dan ujungnya menuntut bansos. Beberapa lagi pilih PPKM dihapuskan dan berharap prokes jadi tameng utama. Aku sih pilih yg kedua, org2 yg punya motivasi kuat dlm bertahan hidup, tidak hanya kesehatan, ekonomi keluarga jg jd prioritas utama</t>
  </si>
  <si>
    <t>Rektor UI dan PPKM pake Level2an menaikan Imun 😂</t>
  </si>
  <si>
    <t>Rektor UI dan PPKM pake Level2an menaikan Imun</t>
  </si>
  <si>
    <t>ppkm lebih lama dari pada hubungan kita</t>
  </si>
  <si>
    <t>Pagi Ol,
 Selamat kembali memulai aktivitas ditengah suasana Hari Tasyrik dan diperpanjang nya PPKM, harus semangat. Karena kalo kita ga keluar kerja kita ga makan🙏</t>
  </si>
  <si>
    <t>Pagi Ol,Selamat kembali memulai aktivitas ditengah suasana Hari Tasyrik dan diperpanjang nya PPKM, harus semangat. Karena kalo kita ga keluar kerja kita ga makan</t>
  </si>
  <si>
    <t>@fatyccat ppkm jadi gini, jam tidurnya kacau😶 sedih tapi kek udah susah balik normal lagi😭</t>
  </si>
  <si>
    <t>ppkm jadi gini, jam tidurnya kacau sedih tapi kek udah susah balik normal lagi</t>
  </si>
  <si>
    <t>Ges maaf kemaren itu pengalihan isu PPKM</t>
  </si>
  <si>
    <t>Diperpanjang luweh, sing penting mari ppkm langsung ngerantau 😑</t>
  </si>
  <si>
    <t>Diperpanjang luweh, sing penting mari ppkm langsung ngerantau</t>
  </si>
  <si>
    <t>ppkm artinya pelan pelan ku mencintaimu https://t.co/Ppi4KsWAGU</t>
  </si>
  <si>
    <t>ppkm artinya pelan pelan ku mencintaimu</t>
  </si>
  <si>
    <t>Muazin. Hiburan dikala PPKM diperpanjang. Mudah2an ga adu penalti.</t>
  </si>
  <si>
    <t>@tempodotco Beda Lockdown dengan PPKM https://t.co/VYp3lRfv2c</t>
  </si>
  <si>
    <t>Beda Lockdown dengan PPKM</t>
  </si>
  <si>
    <t>Pertanyaan sy kenapa pemerintah memaksakan keputusan PPKM yg jelas sekali ekonomi rakyat hancur, knp ga berkoban memaksakan prokes saja.. demi rakyat. Yaitu perketat 3M tanpa batas aktifitas.
 satgas terus mengawal bukan mengancam. Piss
 https://t.co/ZJuqcHIKa4</t>
  </si>
  <si>
    <t>Pertanyaan sy kenapa pemerintah memaksakan keputusan PPKM yg jelas sekali ekonomi rakyat hancur, knp ga berkoban memaksakan prokes saja.. demi rakyat. Yaitu perketat M tanpa batas aktifitas.satgas terus mengawal bukan mengancam. Piss</t>
  </si>
  <si>
    <t>PPKM itu memang gak enak, tp sakitnya gak seberapa dibanding kehilangan orang yang kamu sayang.
 Kamu pikir pemerintah perlu bikin PPKM, kalau prokes sebelumnya sdh dituruti dan kasus covid gak semakin memburuk? 
 Pikir lagi. Dibalik kenyinyiran km ada org yg mati.</t>
  </si>
  <si>
    <t>PPKM itu memang gak enak, tp sakitnya gak seberapa dibanding kehilangan orang yang kamu sayang.Kamu pikir pemerintah perlu bikin PPKM, kalau prokes sebelumnya sdh dituruti dan kasus covid gak semakin memburuk? Pikir lagi. Dibalik kenyinyiran km ada org yg mati.</t>
  </si>
  <si>
    <t>Dalam keadaan ppkm darurat dan sesuai himbauan dr kemenag. Kami melaksanakan sholat idhul adha di rumah...ikhtiar kita bersama https://t.co/q5yb8WZBog</t>
  </si>
  <si>
    <t>Dalam keadaan ppkm darurat dan sesuai himbauan dr kemenag. Kami melaksanakan sholat idhul adha di rumah...ikhtiar kita bersama</t>
  </si>
  <si>
    <t>Apakah ppkm solusi mengurangi lunjakan jumlah korban covid-19?</t>
  </si>
  <si>
    <t>@susipudjiastuti IMENDAGRI nya menyebutkan PPKM Mikro....</t>
  </si>
  <si>
    <t>IMENDAGRI nya menyebutkan PPKM Mikro....</t>
  </si>
  <si>
    <t>Ppkm di perpanjang lagi :')</t>
  </si>
  <si>
    <t>@anotherofanes Manggil dulu bagi2nya ntar abis ppkm selese🤣</t>
  </si>
  <si>
    <t>Manggil dulu bagi2nya ntar abis ppkm selese</t>
  </si>
  <si>
    <t>Berandai andai, coba gaji seluruh pegawai PNS, BUMN, TNI POLRI, tenaga kesehatan dipotong 50% selama PPKM, biar tau rasanya jadi pedagang kecil dan pekerja harian bagaimana. Semua y, bukan pegawai rangkap influencer 🙃.
 Mudah2an virusnya hilang pelan2 agar gaji tdk dipotong terus</t>
  </si>
  <si>
    <t>Berandai andai, coba gaji seluruh pegawai PNS, BUMN, TNI POLRI, tenaga kesehatan dipotong % selama PPKM, biar tau rasanya jadi pedagang kecil dan pekerja harian bagaimana. Semua y, bukan pegawai rangkap influencer .Mudah2an virusnya hilang pelan2 agar gaji tdk dipotong terus</t>
  </si>
  <si>
    <t>@deborakezia Yang alesannya bosen di rumah mah I’m also glad di perpanjang because screw those people, tapi kalau buat orang yang udah susah cari nafkah tambah ppkm gak bisa lagi cari nafkah ya... kurang setuju ya</t>
  </si>
  <si>
    <t>Yang alesannya bosen di rumah mah Im also glad di perpanjang because screw those people, tapi kalau buat orang yang udah susah cari nafkah tambah ppkm gak bisa lagi cari nafkah ya... kurang setuju ya</t>
  </si>
  <si>
    <t>@violetta_kalei ktnya PPKM baru tgl 26 julikan? (baca di ig beritamedan)</t>
  </si>
  <si>
    <t>ktnya PPKM baru tgl julikan? (baca di ig beritamedan)</t>
  </si>
  <si>
    <t>@detikcom Di tambah terus...apakah sudah ada yg dapat saat ppkm kemaren ya????</t>
  </si>
  <si>
    <t>Di tambah terus...apakah sudah ada yg dapat saat ppkm kemaren ya????</t>
  </si>
  <si>
    <t>Bisa mimpi ada penyegatan PPKM aja udah aneh</t>
  </si>
  <si>
    <t>@is_pelssy Perpanjangan PPKM akan membuat semakin panjang babak adu tos"an sappol dgn rakyat..
 Dan akan semakin dibuat olok2 sama netizen</t>
  </si>
  <si>
    <t>Perpanjangan PPKM akan membuat semakin panjang babak adu tos"an sappol dgn rakyat..Dan akan semakin dibuat olok2 sama netizen</t>
  </si>
  <si>
    <t>Perpanjangan ppkm -&amp;gt; wfh hampir 3 minggu. Syukuri aja...</t>
  </si>
  <si>
    <t>Perpanjangan ppkm -&amp;gt; wfh hampir minggu. Syukuri aja...</t>
  </si>
  <si>
    <t>- Vaksin jadi objek bisnis, korup, menyusupkan TKA cina ke Indonesia !
 - Rakyat tolak PPKM !
 - Bangkalan Madura, Masyarakat dhadang polisi saat masuk Masjid untuk sholat Idul Adha.
 Rzim jokowi rzim PKI komunis !
 #LengserkanJokowi
 https://t.co/sTBrvskkka</t>
  </si>
  <si>
    <t>- Vaksin jadi objek bisnis, korup, menyusupkan TKA cina ke Indonesia !- Rakyat tolak PPKM !- Bangkalan Madura, Masyarakat dhadang polisi saat masuk Masjid untuk sholat Idul Adha.Rzim jokowi rzim PKI komunis !://</t>
  </si>
  <si>
    <t>Apa mungkin karena flight semakin sedikit trus jadwal penerbangan juga banyak berubah karena efek dari PPKM ya? 🤔</t>
  </si>
  <si>
    <t>Apa mungkin karena flight semakin sedikit trus jadwal penerbangan juga banyak berubah karena efek dari PPKM ya?</t>
  </si>
  <si>
    <t>Mungkin 10 taun lagi, pas pelajaran sejarah, soal ujiannya nambah :
 Ketika masa pandemi Covid-19, kapan Indonesia memberlakukan PPKM darurat?
 Kapan Indonesia mengganti nama PPKM darurat dengan level 1-4? 
 😌😌</t>
  </si>
  <si>
    <t>Mungkin taun lagi, pas pelajaran sejarah, soal ujiannya nambah :Ketika masa pandemi Covid-19, kapan Indonesia memberlakukan PPKM darurat?Kapan Indonesia mengganti nama PPKM darurat dengan level $NUMBER$?</t>
  </si>
  <si>
    <t>@susipudjiastuti Harusnya jadi Ppkm ceria.</t>
  </si>
  <si>
    <t>Harusnya jadi Ppkm ceria.</t>
  </si>
  <si>
    <t>Ppkm jadinya sampe kapan?</t>
  </si>
  <si>
    <t>@susipudjiastuti Selama trend penderita Corona masih tinggi maka PPKM akan terus diberlakukan. Ayo sukseskan vaksinasi dan tetap lakukan prokes 6M. Tolak berita hoax dan provokasi sesat yang bikin pandemi ini berlarut-larut</t>
  </si>
  <si>
    <t>Selama trend penderita Corona masih tinggi maka PPKM akan terus diberlakukan. Ayo sukseskan vaksinasi dan tetap lakukan prokes M. Tolak berita hoax dan provokasi sesat yang bikin pandemi ini berlarut-larut</t>
  </si>
  <si>
    <t>Presiden Jokowi tentang PPKM... dilanjutkan... ?
 https://t.co/mdVkcu16QU</t>
  </si>
  <si>
    <t>Presiden Jokowi tentang PPKM... dilanjutkan... ?</t>
  </si>
  <si>
    <t>Hai kak yang hobi makan tapi pengen kurus bisa yuk pesen kaos keren ini. Bs bantu bgt kak toko ku sepi semenjak ppkm ya jualan online.</t>
  </si>
  <si>
    <t>Ppkm sampek tahun depan aja sekalian bos</t>
  </si>
  <si>
    <t>@jayapuraupdate Papua Barat
 ..PPKM</t>
  </si>
  <si>
    <t>Papua Barat..PPKM</t>
  </si>
  <si>
    <t>PPKM nya diperpanjang guys. Pas banget nih PPKM : Pelan pelan kita melebar. Kapan buka gym nya ? 😂 https://t.co/zI857vsROR</t>
  </si>
  <si>
    <t>PPKM nya diperpanjang guys. Pas banget nih PPKM : Pelan pelan kita melebar. Kapan buka gym nya ?</t>
  </si>
  <si>
    <t>@tirta_hudhi Kayaknya udah gak aneh bang, di kalimalang di pasar sumber artha jam 7 masih pada ngopi, klo ribet pemeriksaan klo ada TV yg ngeliput #Lucu #Dagelan #ppkm</t>
  </si>
  <si>
    <t>Kayaknya udah gak aneh bang, di kalimalang di pasar sumber artha jam masih pada ngopi, klo ribet pemeriksaan klo ada TV yg ngeliput</t>
  </si>
  <si>
    <t>Padahal turunnya kasus bukan karna ppkm tapi karna testingnya yg turun🙈 https://t.co/aAk2PRDNU5</t>
  </si>
  <si>
    <t>Padahal turunnya kasus bukan karna ppkm tapi karna testingnya yg turun</t>
  </si>
  <si>
    <t>PPKM sama pendaftaran CPNS sehati apa yak? sama-sama diperpanjang 😂</t>
  </si>
  <si>
    <t>PPKM sama pendaftaran CPNS sehati apa yak? sama-sama diperpanjang</t>
  </si>
  <si>
    <t>@schfess Belomm, tunggu ppkm selesai keknya</t>
  </si>
  <si>
    <t>Belomm, tunggu ppkm selesai keknya</t>
  </si>
  <si>
    <t>@_Mamang_ Gapapa si haha kageeet ajaaaa
 garagara PPKM nyuakss jadi gbisa cukur rambut😉</t>
  </si>
  <si>
    <t>Gapapa si haha kageeet ajaaaagaragara PPKM nyuakss jadi gbisa cukur rambut</t>
  </si>
  <si>
    <t>PSI mingkem ttg PPKM, apa beda sama Buzzer? https://t.co/j8gbRmcaNT</t>
  </si>
  <si>
    <t>PSI mingkem ttg PPKM, apa beda sama Buzzer?</t>
  </si>
  <si>
    <t>Agar PPKM Darurat sukses :
 1. Pemerintah terus ingatkan Masyarakat untuk kurangi mobilisasi dan perketat melakukan 5M
 2. Masyarakat terus ingatkan Pemerintah untuk tingkatkan kinerja program pengaman sosial dan genjot full 3T.</t>
  </si>
  <si>
    <t>Agar PPKM Darurat sukses :1. Pemerintah terus ingatkan Masyarakat untuk kurangi mobilisasi dan perketat melakukan M2. Masyarakat terus ingatkan Pemerintah untuk tingkatkan kinerja program pengaman sosial dan genjot full T.</t>
  </si>
  <si>
    <t>@adearmando1 Gagal buzzerp membiadabkan ppkm yg diperpanjang. Gagal juga buzzerp membiadabkan larangan rangkap jabatan. Twktwktwktwktwk</t>
  </si>
  <si>
    <t>Gagal buzzerp membiadabkan ppkm yg diperpanjang. Gagal juga buzzerp membiadabkan larangan rangkap jabatan. Twktwktwktwktwk</t>
  </si>
  <si>
    <t>@Aqim2107 efek kelamaan ppkm kali :') miris</t>
  </si>
  <si>
    <t>efek kelamaan ppkm kali :') miris</t>
  </si>
  <si>
    <t>saking sepi nya kalau di chat orang bales nya plg lama 5 menit doang, butuh temen ngobrol aja, suntuk ppkm</t>
  </si>
  <si>
    <t>saking sepi nya kalau di chat orang bales nya plg lama menit doang, butuh temen ngobrol aja, suntuk ppkm</t>
  </si>
  <si>
    <t>Sejak awal sudah saya blg, pemberlakuan PSBB/PPKM bertenggat waktu itu tdk akan efektif. Mestinya itu tanpa batas waktu dgn dukungan kebijakan yg tdk asal-asalan.
 Terapkan Prokes scr ketat tp @Rasional, bantu @Ekonomi_keluarga, distribusi @Vitamin dll utk d'konsumsi warga.</t>
  </si>
  <si>
    <t>Sejak awal sudah saya blg, pemberlakuan PSBB/PPKM bertenggat waktu itu tdk akan efektif. Mestinya itu tanpa batas waktu dgn dukungan kebijakan yg tdk asal-asalan.Terapkan Prokes scr ketat tp , bantu , distribusi dll utk d'konsumsi warga.</t>
  </si>
  <si>
    <t>@Nafaradesign Mangkanya kalau bikin pernyataan mencla mencle..lhawong ternyata ppkm..,</t>
  </si>
  <si>
    <t>Mangkanya kalau bikin pernyataan mencla mencle..lhawong ternyata ppkm..,</t>
  </si>
  <si>
    <t>@Dennysiregar7 @jokowi Beneran Om @Dennysiregar7 PPKM lebih humanis, daripada lockdown... tinggal kita aja yg disiplin jaga Prokes.. 👍 
 #sehatselalusemuanya</t>
  </si>
  <si>
    <t>Beneran Om PPKM lebih humanis, daripada lockdown... tinggal kita aja yg disiplin jaga Prokes..</t>
  </si>
  <si>
    <t>ppkm = pelan pelan kan mas?</t>
  </si>
  <si>
    <t>Jangan Lupa Idul Adha itu 3 hari,....Jadi apa hubungannya dengan PPKM diperpanjang sampai tgl 25? 
 YNTKTS</t>
  </si>
  <si>
    <t>Jangan Lupa Idul Adha itu hari,....Jadi apa hubungannya dengan PPKM diperpanjang sampai tgl ? YNTKTS</t>
  </si>
  <si>
    <t>@Flufffyyys Masih, sampe tanggal 25 ppkm nya</t>
  </si>
  <si>
    <t>Masih, sampe tanggal ppkm nya</t>
  </si>
  <si>
    <t>Sebenarnya di masa PPKM ini,
 uang itu masih bisa dicari tapi susah.</t>
  </si>
  <si>
    <t>Sebenarnya di masa PPKM ini,uang itu masih bisa dicari tapi susah.</t>
  </si>
  <si>
    <t>PPKM diperpanjang 10x pun nggak ada hasilnya selama kaum nyinyir dan tukang hoax blm "dihabisi",,</t>
  </si>
  <si>
    <t>PPKM diperpanjang x pun nggak ada hasilnya selama kaum nyinyir dan tukang hoax blm "dihabisi",,</t>
  </si>
  <si>
    <t>@VIVAcoid Coba tuntutan epidemiolog ini dilengkapi, dengan tuntutan agar pemerintah menjamin kehidupan orang-orang yang terdampak PPKM Darurat, jangan cover one-side.</t>
  </si>
  <si>
    <t>Coba tuntutan epidemiolog ini dilengkapi, dengan tuntutan agar pemerintah menjamin kehidupan orang-orang yang terdampak PPKM Darurat, jangan cover one-side.</t>
  </si>
  <si>
    <t>@detikcom Bali lokdon .. 
 Jawa lokdon 
 Kalimantan lockdo 
 sulawesi ... Sumatra ... Lockdon...
 Karena bos nya dari pulau pulau ini.. ga bakal berani ambil opsi ini... PPKM ae tapi TKA masuk terus</t>
  </si>
  <si>
    <t>Bali lokdon .. Jawa lokdon Kalimantan lockdo sulawesi ... Sumatra ... Lockdon...Karena bos nya dari pulau pulau ini.. ga bakal berani ambil opsi ini... PPKM ae tapi TKA masuk terus</t>
  </si>
  <si>
    <t>Sudah tidak paham lagi soal PPKM di perpanjang.</t>
  </si>
  <si>
    <t>@jokowi Modyar mergo PPKM diperpanjang bukan mergo covid, covid hilang sampai ganti presiden</t>
  </si>
  <si>
    <t>Modyar mergo PPKM diperpanjang bukan mergo covid, covid hilang sampai ganti presiden</t>
  </si>
  <si>
    <t>Jadi cuma sampe tgl 26 ini ppkm?? Hmm..</t>
  </si>
  <si>
    <t>Jadi cuma sampe tgl ini ppkm?? Hmm..</t>
  </si>
  <si>
    <t>@nirwan_anestesi Prediksi saya, PPKM kelar, pake istilah lain dok.... Tp istirahat dulu 😀😀
 Selama perlakuan tidak setara di segala lini....
 🙏🙏🙏</t>
  </si>
  <si>
    <t>Prediksi saya, PPKM kelar, pake istilah lain dok.... Tp istirahat dulu Selama perlakuan tidak setara di segala lini....</t>
  </si>
  <si>
    <t>@hilmaamalias Sek ppkm</t>
  </si>
  <si>
    <t>Sek ppkm</t>
  </si>
  <si>
    <t>Jika UNDUR UNDUR Secara ALAMI JALAN nya ...
 ..... MUNDUR.....
 Itulah yg Seharusnya.
 Agar... Tidak Ber Akibat, TIMBUL Tenggelam.
 Kerusakan.
 TAPI jika UNDUR UNDUR ada yg memaksa &amp;amp; mengutik utik...Agar Tetap.... MAJU.
 LEBIH Baik...Kita ...
 MUNDUR Ken.
 PPKM.
 Pak Pak Kapan Mundur.</t>
  </si>
  <si>
    <t>Jika UNDUR UNDUR Secara ALAMI JALAN nya ........ MUNDUR.....Itulah yg Seharusnya.Agar... Tidak Ber Akibat, TIMBUL Tenggelam.Kerusakan.TAPI jika UNDUR UNDUR ada yg memaksa &amp;amp; mengutik utik...Agar Tetap.... MAJU.LEBIH Baik...Kita ...MUNDUR Ken.PPKM.Pak Pak Kapan Mundur.</t>
  </si>
  <si>
    <t>@RyaWiedy Selamat pagi
 Salam sehat perpanjangan PPKM jangan membuat kendor tetaplah semangat 🦾</t>
  </si>
  <si>
    <t>Selamat pagiSalam sehat perpanjangan PPKM jangan membuat kendor tetaplah semangat</t>
  </si>
  <si>
    <t>cape ppkm, gelut terus sm mas pacar</t>
  </si>
  <si>
    <t>[Cm] mau nanya, NIK-ku di pddikti beda sama NIK yang asli. Kalau misalnya aku daftar kmmi pake nik yang salah di pddikti boleh ga? Lagi ppkm, belum bisa ngurus NIK ke kampus tp pengen ikut kelas kemendikbud huhu :((</t>
  </si>
  <si>
    <t>[Cm] mau nanya, NIK-ku di pddikti beda sama NIK yang asli. Kalau misalnya aku daftar kmmi pake nik yang salah di pddikti boleh ga? Lagi ppkm, belum bisa ngurus NIK ke kampus tp pengen ikut kelas kemendikbud huhu</t>
  </si>
  <si>
    <t>Trus skarang mau berangkat kerja dari Plumbon ke Cirebon kok asa linglung haha.. Apa kabar kondisi kota? WAG kantor ribut PPKM &amp;amp; penyekatan dimana-mana, angkot GP &amp;amp; mobil elef masih beroperasi ga selama PPKM? Beneran gatau situasi kota selama 2 minggu terakhir 😅 #tanyacirebon</t>
  </si>
  <si>
    <t>Trus skarang mau berangkat kerja dari Plumbon ke Cirebon kok asa linglung haha.. Apa kabar kondisi kota? WAG kantor ribut PPKM &amp;amp; penyekatan dimana-mana, angkot GP &amp;amp; mobil elef masih beroperasi ga selama PPKM? Beneran gatau situasi kota selama minggu terakhir</t>
  </si>
  <si>
    <t>Dari sekian banyak jokes akronim PPKM, ini yg paling nyata ಥ_ಥ https://t.co/rdelvFYpzm</t>
  </si>
  <si>
    <t>Dari sekian banyak jokes akronim PPKM, ini yg paling nyata _</t>
  </si>
  <si>
    <t>Bansos PPKM https://t.co/EhQNsFrF0Z</t>
  </si>
  <si>
    <t>Bansos PPKM</t>
  </si>
  <si>
    <t>@kompascom Ini bikin aturan PPKM apa lomba makan. 😅</t>
  </si>
  <si>
    <t>Ini bikin aturan PPKM apa lomba makan.</t>
  </si>
  <si>
    <t>@Indonesia_Pedia @ganjarpranowo Betul,,,ppkm malah mempersempit ruang gerak dunia usaha,apalagi sekarang ini byk petugas yg arogansi ,jangan diperpanjang bila hanya membuat penderitaan rakyat berkepanjangan.</t>
  </si>
  <si>
    <t>Betul,,,ppkm malah mempersempit ruang gerak dunia usaha,apalagi sekarang ini byk petugas yg arogansi ,jangan diperpanjang bila hanya membuat penderitaan rakyat berkepanjangan.</t>
  </si>
  <si>
    <t>💀 "Lihat dong negara lain, udah pada pergi ke Mars dan Bulan. Kita masi ributin ppkm,"
 ☠️ "Berisik lu. Tiap bangsa ada caranya. Jangan disamain..."</t>
  </si>
  <si>
    <t>"Lihat dong negara lain, udah pada pergi ke Mars dan Bulan. Kita masi ributin ppkm," "Berisik lu. Tiap bangsa ada caranya. Jangan disamain..."</t>
  </si>
  <si>
    <t>Ppkm diperpanjang, hubungan kita gimana?</t>
  </si>
  <si>
    <t>@jokowi Sy pergi ke jakarta untuk mengunjungi kakak yg meninggal, karna ppkm sy terpaksa bertahan, sedangkan bekal sudah mau habis 
 Sekarang malah ppkm di perpanjang 
 Kira2 ada yg bisa bantu g ya biaar sy bisa cepat pulamg</t>
  </si>
  <si>
    <t>Sy pergi ke jakarta untuk mengunjungi kakak yg meninggal, karna ppkm sy terpaksa bertahan, sedangkan bekal sudah mau habis Sekarang malah ppkm di perpanjang Kira2 ada yg bisa bantu g ya biaar sy bisa cepat pulamg</t>
  </si>
  <si>
    <t>@tempodotco Alhamdulillah... Cicilan rumah saya dibayarin ya bu selama ppkm?</t>
  </si>
  <si>
    <t>Alhamdulillah... Cicilan rumah saya dibayarin ya bu selama ppkm?</t>
  </si>
  <si>
    <t>Pusing bgt astaga, PPKM bener" bkin gw stress. Masalah blom kelar, klrga lgi sakit, kerjaan entah gmna, keuangan mkin mepet. Ini copit jga ga nurun" 🥺😭</t>
  </si>
  <si>
    <t>Pusing bgt astaga, PPKM bener" bkin gw stress. Masalah blom kelar, klrga lgi sakit, kerjaan entah gmna, keuangan mkin mepet. Ini copit jga ga nurun"</t>
  </si>
  <si>
    <t>PPKM di perpanjang lagi. Ah sudah lah</t>
  </si>
  <si>
    <t>@UB54254859 Klo gak ppkm kita renang yuk diresinda</t>
  </si>
  <si>
    <t>Klo gak ppkm kita renang yuk diresinda</t>
  </si>
  <si>
    <t>@caturseptiana31 Gakuat bun ppkm gak selesai2 🤤🥲</t>
  </si>
  <si>
    <t>Gakuat bun ppkm gak selesai2</t>
  </si>
  <si>
    <t>@njusJR Jangan merokok dulu ya, apalagi pas PPKM (pelan pelan kita miskin), karena penghasilan sedikit berkurang dari biasanya. ntar biar awet, beli rokok, tapi gak usah dikorekin yaa Pak @iam_luckiy https://t.co/NYSkQjZflO</t>
  </si>
  <si>
    <t>Jangan merokok dulu ya, apalagi pas PPKM (pelan pelan kita miskin), karena penghasilan sedikit berkurang dari biasanya. ntar biar awet, beli rokok, tapi gak usah dikorekin yaa Pak</t>
  </si>
  <si>
    <t>PPKM ( pande pande kita mutar )</t>
  </si>
  <si>
    <t>Dah lah, waktunya kita kerja sekarang. PPKM dah selsai kan? 
 Gimana nih, pada dirumah aja angka naik terus, 😒</t>
  </si>
  <si>
    <t>Dah lah, waktunya kita kerja sekarang. PPKM dah selsai kan? Gimana nih, pada dirumah aja angka naik terus,</t>
  </si>
  <si>
    <t>@Dennysiregar7 @jokowi Ulah mereka..kita kena getah ny PPKM nasional..preett</t>
  </si>
  <si>
    <t>Ulah mereka..kita kena getah ny PPKM nasional..preett</t>
  </si>
  <si>
    <t>Apakah PPKM suatu bentuk kegagalan pemerintah..? Sehingga di perpanjang masa berlaku nya.</t>
  </si>
  <si>
    <t>@convomf belom, ppkm kan diperpanjang</t>
  </si>
  <si>
    <t>belom, ppkm kan diperpanjang</t>
  </si>
  <si>
    <t>PPKM : plonga plongo kurang money</t>
  </si>
  <si>
    <t>@kh_notodiputro Buzzerp gagal membendung ppkm</t>
  </si>
  <si>
    <t>Buzzerp gagal membendung ppkm</t>
  </si>
  <si>
    <t>@yarachantique @Gi_Grey @iG_grey baru kena PPKM aja dah ngeluh mewek koar2.. aku yg bangkrut 2 bulan sejak covid 19 hadir aja masih bisa ketawa ketawa kok..</t>
  </si>
  <si>
    <t>baru kena PPKM aja dah ngeluh mewek koar2.. aku yg bangkrut bulan sejak covid hadir aja masih bisa ketawa ketawa kok..</t>
  </si>
  <si>
    <t>@susipudjiastuti jadi masihkah ppkm, tagihan listrik tetep ga bisa buka toko</t>
  </si>
  <si>
    <t>jadi masihkah ppkm, tagihan listrik tetep ga bisa buka toko</t>
  </si>
  <si>
    <t>PPKM di perpanjanggggggggggggg... https://t.co/sKy0m6T8jS</t>
  </si>
  <si>
    <t>PPKM di perpanjanggggggggggggg...</t>
  </si>
  <si>
    <t>Selamat pagi ,, 
 PPKM nya di perpanjangan ya https://t.co/j1GWo4QhQA</t>
  </si>
  <si>
    <t>Selamat pagi ,, PPKM nya di perpanjangan ya</t>
  </si>
  <si>
    <t>@txtdrbekasi Gmna ni pak? Jd ppkm gabole buka sama sekali? @mas_triadhianto</t>
  </si>
  <si>
    <t>Gmna ni pak? Jd ppkm gabole buka sama sekali?</t>
  </si>
  <si>
    <t>@ShopeeID Aquarius min
 Hp udh ada seh
 Tpi klw mimin mw kasih alhmdllh bngt buat zoom metting
 Semoga shoppe semakin exsist wlwpn di tengah ppkm</t>
  </si>
  <si>
    <t>Aquarius minHp udh ada sehTpi klw mimin mw kasih alhmdllh bngt buat zoom mettingSemoga shoppe semakin exsist wlwpn di tengah ppkm</t>
  </si>
  <si>
    <t>Met pagi gaes, dah ga kehitung WFH dg PPKM nya. Rasanya jadi dah nyaman dg WFH yg xtra kerja ak lebih bnyk kerja. Kerasa Produktif, tp jadi ttp pingin break juga. Aplg klu lihat jalanan kosong, kayaknya enak buat jalan2. tetap semangat tuk WFH. Have a great Wednesday my friends https://t.co/9QxiyNAiNh</t>
  </si>
  <si>
    <t>Met pagi gaes, dah ga kehitung WFH dg PPKM nya. Rasanya jadi dah nyaman dg WFH yg xtra kerja ak lebih bnyk kerja. Kerasa Produktif, tp jadi ttp pingin break juga. Aplg klu lihat jalanan kosong, kayaknya enak buat jalan2. tetap semangat tuk WFH. Have a great Wednesday my friends</t>
  </si>
  <si>
    <t>@Beritasatu At least jadi punya jeda waktu buat mikirin pakai nama apalagi selain PPKM selepas tanggal 25 Juli</t>
  </si>
  <si>
    <t>At least jadi punya jeda waktu buat mikirin pakai nama apalagi selain PPKM selepas tanggal Juli</t>
  </si>
  <si>
    <t>@nksthi Ppkm
 Pelan pelan kita mati wkwk</t>
  </si>
  <si>
    <t>PpkmPelan pelan kita mati wkwk</t>
  </si>
  <si>
    <t>Cpt selesai kek ppkm mo pulang nihh😭</t>
  </si>
  <si>
    <t>Cpt selesai kek ppkm mo pulang nihh</t>
  </si>
  <si>
    <t>Jangan cuma ramai didunia maya turun ke jalan lah demo protes! Eh iya kan PPKM mana boleh bisa aja yaa buat gaduh dimasa begini emang presiden aing doang yang bisa wkwk #rektorui #COVID19 #IndonesiaKolaps</t>
  </si>
  <si>
    <t>Jangan cuma ramai didunia maya turun ke jalan lah demo protes! Eh iya kan PPKM mana boleh bisa aja yaa buat gaduh dimasa begini emang presiden aing doang yang bisa wkwk</t>
  </si>
  <si>
    <t>@ririsein Terhalang ppkm kerjaan akumah huhuhu</t>
  </si>
  <si>
    <t>Terhalang ppkm kerjaan akumah huhuhu</t>
  </si>
  <si>
    <t>@tempodotco Apakah PPKM Darurat akan dilanjutkan dengan PPKM Longgar atau PPKM Relaksasi jika situasi membaik?</t>
  </si>
  <si>
    <t>Apakah PPKM Darurat akan dilanjutkan dengan PPKM Longgar atau PPKM Relaksasi jika situasi membaik?</t>
  </si>
  <si>
    <t>@detikcom Ppkm tai asu</t>
  </si>
  <si>
    <t>Ppkm tai asu</t>
  </si>
  <si>
    <t>Ya ampun pak jokowi yg terhormat. Sangat berdampak ya di perpanjangan PPKM ini. Ooiyaa kak ini salah satu bisnis terbesar pemerintah</t>
  </si>
  <si>
    <t>Ppkm : pernah perhatian kemudian menghilang
 Ppkm : pria pria kangen motoran 
 Ppkm : pengen pogo kaga mungkin
 Yok tambahin lagi singkatanny</t>
  </si>
  <si>
    <t>Ppkm : pernah perhatian kemudian menghilangPpkm : pria pria kangen motoran Ppkm : pengen pogo kaga mungkinYok tambahin lagi singkatanny</t>
  </si>
  <si>
    <t>Hahahaha PPKM diperpanjang</t>
  </si>
  <si>
    <t>Tiap waktu liat berita semoga ppkm dipercepat, biar bisa bergerak untuk pulang 😂</t>
  </si>
  <si>
    <t>Tiap waktu liat berita semoga ppkm dipercepat, biar bisa bergerak untuk pulang</t>
  </si>
  <si>
    <t>Balikpapan PPKM Level 4😥
 Aku jadi pergi ke puskesmas tidak ya😔</t>
  </si>
  <si>
    <t>Balikpapan PPKM Level Aku jadi pergi ke puskesmas tidak ya</t>
  </si>
  <si>
    <t>Terminal 3 ni besar &amp;amp; luas, trus karna PPKM jadi semua dibatesin termasuk pintunya jg. Jadi ya gitu, lari sana-lari sini.</t>
  </si>
  <si>
    <t>Terminal ni besar &amp;amp; luas, trus karna PPKM jadi semua dibatesin termasuk pintunya jg. Jadi ya gitu, lari sana-lari sini.</t>
  </si>
  <si>
    <t>Ada yang komen kritis karena ppkm di perpanjang,salah satunnya ''plis kah terakhir, jangan di tambah lagi,tolong ini mah''
 Situnya sendiri dihimbau untuk tidak melakukan kegiatan yang berkerumun aja masih dableg ngadain ngumpul2, dengan mengatasnamakan ''momentnya kapan lagi''.</t>
  </si>
  <si>
    <t>Ada yang komen kritis karena ppkm di perpanjang,salah satunnya ''plis kah terakhir, jangan di tambah lagi,tolong ini mah''Situnya sendiri dihimbau untuk tidak melakukan kegiatan yang berkerumun aja masih dableg ngadain ngumpul2, dengan mengatasnamakan ''momentnya kapan lagi''.</t>
  </si>
  <si>
    <t>sedih itu disaat ppkm gajelas dan korona tidak terkendali, Nenek sendiri meninggal tapi posisinya diluar kota 😭😭😭😭😭😭😭 ya Allah Innalillahi semoga mimi Husnul Khotimah 🤲🏻</t>
  </si>
  <si>
    <t>sedih itu disaat ppkm gajelas dan korona tidak terkendali, Nenek sendiri meninggal tapi posisinya diluar kota ya Allah Innalillahi semoga mimi Husnul Khotimah</t>
  </si>
  <si>
    <t>@Farrasnya Kang baso ppkm wkwk</t>
  </si>
  <si>
    <t>Kang baso ppkm wkwk</t>
  </si>
  <si>
    <t>@anitakumalasari Efek PPKM</t>
  </si>
  <si>
    <t>Efek PPKM</t>
  </si>
  <si>
    <t>@ganjarpranowo PPKM diperpanjang sampai tanggal 6 Agustus, dan jika hasilnya sama aja maka akan diadakan adu penalti</t>
  </si>
  <si>
    <t>PPKM diperpanjang sampai tanggal Agustus, dan jika hasilnya sama aja maka akan diadakan adu penalti</t>
  </si>
  <si>
    <t>Lockdown salah ppkm juga salah.. maunya negara ini apa sih sebenernya :\\\\</t>
  </si>
  <si>
    <t>Lockdown salah ppkm juga salah.. maunya negara ini apa sih sebenernya</t>
  </si>
  <si>
    <t>@Dennysiregar7 @jokowi Lockdown kalo negara mau tanggung mah ga masalah .... Kan ada UU nya
 Yg jadi masalah skrg , namanya PPKM tapi praktek nya spt lockdown !!!!</t>
  </si>
  <si>
    <t>Lockdown kalo negara mau tanggung mah ga masalah .... Kan ada UU nyaYg jadi masalah skrg , namanya PPKM tapi praktek nya spt lockdown !!!!</t>
  </si>
  <si>
    <t>ppkm diperpanjang? dah bosen bgt dirumah😩</t>
  </si>
  <si>
    <t>ppkm diperpanjang? dah bosen bgt dirumah</t>
  </si>
  <si>
    <t>Kuatin lagi pundaknya, baru liat berita. PPKM diperpanjang. Aku udah pusing bgt gada pemasukan. Sana sini gada panggilan kerja. Badanku dah down parah. Aku paksain juga ga bisa. Aku harus apa 😭 gapapa yau gapapa, yuk bisa. Pelan pelan yaa, harus sembuh dulu. Bismillah</t>
  </si>
  <si>
    <t>Kuatin lagi pundaknya, baru liat berita. PPKM diperpanjang. Aku udah pusing bgt gada pemasukan. Sana sini gada panggilan kerja. Badanku dah down parah. Aku paksain juga ga bisa. Aku harus apa gapapa yau gapapa, yuk bisa. Pelan pelan yaa, harus sembuh dulu. Bismillah</t>
  </si>
  <si>
    <t>@kirarachelsea @HanifahAndini96 @silentreader888 @AryatamaAditya Dengan adanya PPKM akan berhasil menuju keberhasilan.. 
 Dan juga secepatnya pandemi covid akan berakhir di Indonesia.
  Aamiin Yra ....
 Slmt pagi Rara sehat2 ya semua keluarga...</t>
  </si>
  <si>
    <t>Dengan adanya PPKM akan berhasil menuju keberhasilan.. Dan juga secepatnya pandemi covid akan berakhir di Indonesia. Aamiin Yra ....Slmt pagi Rara sehat2 ya semua keluarga...</t>
  </si>
  <si>
    <t>ppkm diperpanjang = ngga kencan . fix jomblo lebih lama lagi :))</t>
  </si>
  <si>
    <t>ppkm diperpanjang = ngga kencan . fix jomblo lebih lama lagi</t>
  </si>
  <si>
    <t>@hnishin_ ppkm tetep dibuka ya</t>
  </si>
  <si>
    <t>ppkm tetep dibuka ya</t>
  </si>
  <si>
    <t>@Metro_TV Kalau pejabat , PPKM di perpanjang terus ngga masalah..bisa dirumah terima gaji penuh..kan di tanggung APBN gajinya..lha rakyat gimana ?</t>
  </si>
  <si>
    <t>Kalau pejabat , PPKM di perpanjang terus ngga masalah..bisa dirumah terima gaji penuh..kan di tanggung APBN gajinya..lha rakyat gimana ?</t>
  </si>
  <si>
    <t>Sinih gw bisikin...
 Tgl 20 Juli 2021,, Saat Takbir Menggema "الله اكبر"
 Saat kita PPKM DARURAT, dan Shalat IDUL ADHA pun di rumah..
 Loe Tahu Nggak Disaat Yang sama China Lg Banjir Bandang,,, https://t.co/iVT4LcZ1lN</t>
  </si>
  <si>
    <t>Sinih gw bisikin...Tgl Juli ,, Saat Takbir Menggema " "Saat kita PPKM DARURAT, dan Shalat IDUL ADHA pun di rumah..Loe Tahu Nggak Disaat Yang sama China Lg Banjir Bandang,,,</t>
  </si>
  <si>
    <t>Mari kita lihat apakah kereta pagi sepadat seperti sebelum ppkm? 😂</t>
  </si>
  <si>
    <t>Mari kita lihat apakah kereta pagi sepadat seperti sebelum ppkm?</t>
  </si>
  <si>
    <t>Ini akibat pemerintah menerapkan PPKM, tapi rakyat tidak dijamin kebutuhannya. Mereka bisa mati.
 KH Hafidz Abdurrahman @har030324 
 Khadim Ma'had Syaraful Haramain https://t.co/oxwmQWeYEH</t>
  </si>
  <si>
    <t>Ini akibat pemerintah menerapkan PPKM, tapi rakyat tidak dijamin kebutuhannya. Mereka bisa mati.KH Hafidz Abdurrahman Khadim Ma'had Syaraful Haramain</t>
  </si>
  <si>
    <t>@CNNIndonesia Jangankan PPKM, dsuruh pakai masker masih banyak yg ngeyel. Sok peduli dg nakes tapi kelakuan sebaliknya.
 Dalam barisan yg sama, mereka yg ga percaya Covid &amp;amp; mnolak vaksinasi.
 Dalam barisan yg sama, mereka yg demo menolak PPKM, mengeluh soal perut tapi tetap angkat tagar halu.
 😊</t>
  </si>
  <si>
    <t>Jangankan PPKM, dsuruh pakai masker masih banyak yg ngeyel. Sok peduli dg nakes tapi kelakuan sebaliknya.Dalam barisan yg sama, mereka yg ga percaya Covid &amp;amp; mnolak vaksinasi.Dalam barisan yg sama, mereka yg demo menolak PPKM, mengeluh soal perut tapi tetap angkat tagar halu.</t>
  </si>
  <si>
    <t>PPKM tapi bandara masih dibuka WKWK</t>
  </si>
  <si>
    <t>ppkm bkin gue kedubrugan aja, rajin pagi2 uda masak nasi wkwk</t>
  </si>
  <si>
    <t>Pemerintah tidak menggunakan istilah 'PPKM darurat' dalam penanganan COVID-19 #EfekBaikPPKMDarurat https://t.co/jaEKZkjKoQ</t>
  </si>
  <si>
    <t>Pemerintah tidak menggunakan istilah 'PPKM darurat' dalam penanganan COVID-19</t>
  </si>
  <si>
    <t>Kalo dari data yg dipaparkan ini, masa sebelum PPKM, kasus nya malah hampir 0 (liat di idul fitri), ini ga ada pembatasan "darurat".
 Tapi setelah ada solusi yg disebut PPKM, kasus malah tinggi. Tapi kata pak Gub sekarang udh menurun kok. Alhamdulillah.
 Tapi kan... https://t.co/PM4vLm5xWQ</t>
  </si>
  <si>
    <t>Kalo dari data yg dipaparkan ini, masa sebelum PPKM, kasus nya malah hampir (liat di idul fitri), ini ga ada pembatasan "darurat".Tapi setelah ada solusi yg disebut PPKM, kasus malah tinggi. Tapi kata pak Gub sekarang udh menurun kok. Alhamdulillah.Tapi kan...</t>
  </si>
  <si>
    <t>OK, kemaren rame anak menteri yg ketauan honeymoon di luar negeri itu kyknya emg gasalah deh. Ada digital artist yang aku follow di IG, dilihat dari story-nya, doi bebas keluar masuk Indonesia selama PPKM darurat. Berarti emg jalur penerbangan International di Indo gk ditutup kh?</t>
  </si>
  <si>
    <t>ppkm : pagi pagi kangen mbin :) https://t.co/X0RARlbYN9</t>
  </si>
  <si>
    <t>ppkm : pagi pagi kangen mbin</t>
  </si>
  <si>
    <t>@FauzanMusthofa Namanya juga lapar :) ppkm kalik</t>
  </si>
  <si>
    <t>Namanya juga lapar ppkm kalik</t>
  </si>
  <si>
    <t>/wal ppkm ya? 😇🙏</t>
  </si>
  <si>
    <t>/wal ppkm ya?</t>
  </si>
  <si>
    <t>Silahkan PPKM berjilid ataupun berlanjut pak @jokowi , Tapi tutup juga tagihan BANK, PDAM, Listrik. 
 Urusan perut biar kami yg usahakan sendiri..!! 😁😖
 _ https://t.co/FpImeem63U</t>
  </si>
  <si>
    <t>Silahkan PPKM berjilid ataupun berlanjut pak , Tapi tutup juga tagihan BANK, PDAM, Listrik. Urusan perut biar kami yg usahakan sendiri..!! _</t>
  </si>
  <si>
    <t>@traveloka Istirahat
 Apa PPKM kaga cukup ya, kenapa nemunya istirahat😆</t>
  </si>
  <si>
    <t>IstirahatApa PPKM kaga cukup ya, kenapa nemunya istirahat</t>
  </si>
  <si>
    <t>1,5 th via online pertemuan kami. Bosan? Banget. Tapi demi kami taat pada aturan pemerintah apalagi PPKM. Pemerintah sdh berupaya melakukan utk menekan penyebaran virus dg berbagai kebijakan. Ga ada yg enak. Tapi mari kita semua berupaya agar segera lepas dr pandemi ini. AMDG https://t.co/SeQ7BhqjtW</t>
  </si>
  <si>
    <t>th via online pertemuan kami. Bosan? Banget. Tapi demi kami taat pada aturan pemerintah apalagi PPKM. Pemerintah sdh berupaya melakukan utk menekan penyebaran virus dg berbagai kebijakan. Ga ada yg enak. Tapi mari kita semua berupaya agar segera lepas dr pandemi ini. AMDG</t>
  </si>
  <si>
    <t>@zarazettirazr @CNNIndonesia Jelas kan mbak 
 PPKM ( plin plan keputusan mu) level 4 (super pedas)</t>
  </si>
  <si>
    <t>Jelas kan mbak PPKM ( plin plan keputusan mu) level (super pedas)</t>
  </si>
  <si>
    <t>@poconghypebeast PPKM pedes banget gila gangerti lagi mo meninggoy</t>
  </si>
  <si>
    <t>PPKM pedes banget gila gangerti lagi mo meninggoy</t>
  </si>
  <si>
    <t>@romaanpicisan Hihihi gemoyyy pisannn.
 Kapan yaa huhu. Ppkm teross bikin kangen. Jadi mau nangis teros 😭</t>
  </si>
  <si>
    <t>Hihihi gemoyyy pisannn.Kapan yaa huhu. Ppkm teross bikin kangen. Jadi mau nangis teros</t>
  </si>
  <si>
    <t>@nameisnoval Nih kalah gak tau ppkm, semoga membantu 🙏 https://t.co/QcB9pMLEPd</t>
  </si>
  <si>
    <t>Nih kalah gak tau ppkm, semoga membantu</t>
  </si>
  <si>
    <t>ih ada yg blg ppkm kyk level richeese jd pengen richeese kan</t>
  </si>
  <si>
    <t>@CNNIndonesia Seharusnya mereka yg tdk bergaji (misal : pedagang kecil yg kehilangan pendapatan karna ppkm) yg diberikan bantuan. Yg masih bergaji tetap, walaupun di bwh 3,5jt, insya Allah cukup. Smg k dpn nya bs lbh adil &amp;amp; bijaksana...aamiiin</t>
  </si>
  <si>
    <t>Seharusnya mereka yg tdk bergaji (misal : pedagang kecil yg kehilangan pendapatan karna ppkm) yg diberikan bantuan. Yg masih bergaji tetap, walaupun di bwh jt, insya Allah cukup. Smg k dpn nya bs lbh adil &amp;amp; bijaksana...aamiiin</t>
  </si>
  <si>
    <t>PPKM: Perbanyak sholawat, perbanyak shodaqoh, kuatkan iman dan menjauhi maksiat</t>
  </si>
  <si>
    <t>Begitulah kehidupan, jika sudah datang masanya. Tak akan bisa diperpanjang seperti PPKM, diperpendek seperti Hukuman penguasa, atau dihapuskan seperti hukum yg dilanggar orang terpandang. Selamat gini hari.</t>
  </si>
  <si>
    <t>"kondisi ppkm dan pandemi, membuat kebutuhan akan pegawai menjadi berkurang"</t>
  </si>
  <si>
    <t>di Indonesia masih PPKM ya ? WKWKWKWK 😞</t>
  </si>
  <si>
    <t>di Indonesia masih PPKM ya ? WKWKWKWK</t>
  </si>
  <si>
    <t>ppkm dah selesai atau diperpanjang lagi?</t>
  </si>
  <si>
    <t>@Anonymous_2024 Presiden masa PPKM</t>
  </si>
  <si>
    <t>Presiden masa PPKM</t>
  </si>
  <si>
    <t>@kompascom PSBB, PPKM , LVL 1234567 , Gonta ganti nama dan istilah , perubahannya kagak ada malah rakyat semakin dibuat susah</t>
  </si>
  <si>
    <t>PSBB, PPKM , LVL , Gonta ganti nama dan istilah , perubahannya kagak ada malah rakyat semakin dibuat susah</t>
  </si>
  <si>
    <t>Pertama, evaluasi penerapan PPKM Darurat. Kedua, pemantauan pelaksanaan testing, tracing, dan treatment (3 T). Ketiga, pelaksanaan vaksinasi.</t>
  </si>
  <si>
    <t>@collegemenfess sequel psbb sampe ppkm https://t.co/DIWX6ib7st</t>
  </si>
  <si>
    <t>sequel psbb sampe ppkm</t>
  </si>
  <si>
    <t>@detikcom Korban imbas dari PPKM Darurat nih... iman nya terlalu tipis..🙃</t>
  </si>
  <si>
    <t>Korban imbas dari PPKM Darurat nih... iman nya terlalu tipis..</t>
  </si>
  <si>
    <t>PPKM Pembatasan bukan pelarangan... Sekarang malah jadi lelucon
 Planga Plongo Kagak Mikir...
 👇
 #PakdeMenclaMencle
 #PakdeMenclaMencle https://t.co/LB1rqrMSqh</t>
  </si>
  <si>
    <t>PPKM Pembatasan bukan pelarangan... Sekarang malah jadi leluconPlanga Plongo Kagak Mikir...</t>
  </si>
  <si>
    <t>Katanya setelah PPKM, kita bakal ada namanya PPKN...</t>
  </si>
  <si>
    <t>PPKM
 para pendaki kangen muncak https://t.co/ft5li9Zz1w</t>
  </si>
  <si>
    <t>PPKMpara pendaki kangen muncak</t>
  </si>
  <si>
    <t>ppkm diperpanjang sampai monsta x bikin self mv lagi</t>
  </si>
  <si>
    <t>anak2 smua n di rumah trus skrg PPKm gmn mau ketemu org barunya, udh main aplkssi cari jodoh jg tapi gitu gitu aj. Org2 di desa ku dah pd nikah muda 😪kudu pie aku guis? Aku pengen nikah huhu, apa yg salah dgnku, Apakah cita cita ku buat nikah sama org yg aku cinta n (cont)</t>
  </si>
  <si>
    <t>anak2 smua n di rumah trus skrg PPKm gmn mau ketemu org barunya, udh main aplkssi cari jodoh jg tapi gitu gitu aj. Org2 di desa ku dah pd nikah muda kudu pie aku guis? Aku pengen nikah huhu, apa yg salah dgnku, Apakah cita cita ku buat nikah sama org yg aku cinta n (cont)</t>
  </si>
  <si>
    <t>@bangZhack86 kemarin saya pergi ke rmh RT niatnya mau minta surat pengantar untuk bikin surat izin perpanjang ppkm ke polisi. eeeh itu si ReTe malah bingung sendiri nya sambil garuk garuk kepala.</t>
  </si>
  <si>
    <t>kemarin saya pergi ke rmh RT niatnya mau minta surat pengantar untuk bikin surat izin perpanjang ppkm ke polisi. eeeh itu si ReTe malah bingung sendiri nya sambil garuk garuk kepala.</t>
  </si>
  <si>
    <t>Ppkm bener2 bisa mutus persaudaraan dah</t>
  </si>
  <si>
    <t>selama ppkm berat gw naik jadi 70 kg, serasa kelas lightweight di ufc
 bismillah mukul mcgregor https://t.co/BLoccwLkWp</t>
  </si>
  <si>
    <t>selama ppkm berat gw naik jadi kg, serasa kelas lightweight di ufcbismillah mukul mcgregor</t>
  </si>
  <si>
    <t>@Bang_Has1705 Saya kira kirim aspirasi...PEMBUAT ATURAN PPKM SURUH MUNDUR...NGRUSAK RAKYAT.</t>
  </si>
  <si>
    <t>Saya kira kirim aspirasi...PEMBUAT ATURAN PPKM SURUH MUNDUR...NGRUSAK RAKYAT.</t>
  </si>
  <si>
    <t>Justru kesadaran Entelah yang rendah,
 Sebab PPKM dengan menutup jalan, kerumunan malah banyak terjadi, bahkan makin parah. https://t.co/LV9SkRPnqh</t>
  </si>
  <si>
    <t>Justru kesadaran Entelah yang rendah,Sebab PPKM dengan menutup jalan, kerumunan malah banyak terjadi, bahkan makin parah.</t>
  </si>
  <si>
    <t>@Anismw_ Ah elu, masih ppkm weh kan bisa cerita via wa 😶</t>
  </si>
  <si>
    <t>Ah elu, masih ppkm weh kan bisa cerita via wa</t>
  </si>
  <si>
    <t>@indostruggles ppkm rasa revisian</t>
  </si>
  <si>
    <t>ppkm rasa revisian</t>
  </si>
  <si>
    <t>@tukangsuntikk1 Duh skrg kalo liat orang nge gym jd iri banget, membershipku sebulan ga kepake krna ppkm 🥲</t>
  </si>
  <si>
    <t>Duh skrg kalo liat orang nge gym jd iri banget, membershipku sebulan ga kepake krna ppkm</t>
  </si>
  <si>
    <t>@KompasTV gpp belakangnye sama sama at
 ppkm darurAT
 level empAT
 hehehe</t>
  </si>
  <si>
    <t>gpp belakangnye sama sama atppkm darurATlevel empAThehehe</t>
  </si>
  <si>
    <t>Ppkm level 4 ckckck. Dah kya game snake hape Nokia</t>
  </si>
  <si>
    <t>Ppkm level ckckck. Dah kya game snake hape Nokia</t>
  </si>
  <si>
    <t>Pengalaman naik KRL @CommuterLine dimasa PPKM ini yg harusnya antri sesuai aturan yg berlaku kecuali ibu hamil, disabilitas, lanjut usia &amp;amp; ibu membawa anak. Ko masih ada aja orang yg masih bisa masuk tanpa antri hanya menunjukkan surat yang entah itu dri institut pemerintah mana.</t>
  </si>
  <si>
    <t>Pengalaman naik KRL dimasa PPKM ini yg harusnya antri sesuai aturan yg berlaku kecuali ibu hamil, disabilitas, lanjut usia &amp;amp; ibu membawa anak. Ko masih ada aja orang yg masih bisa masuk tanpa antri hanya menunjukkan surat yang entah itu dri institut pemerintah mana.</t>
  </si>
  <si>
    <t>kapan ppkm usai cokk pengen dolan aku</t>
  </si>
  <si>
    <t>@poconghypebeast Bikin juga dong PPKM ala skripsi</t>
  </si>
  <si>
    <t>Bikin juga dong PPKM ala skripsi</t>
  </si>
  <si>
    <t>Gakerasa PPKM dah lewat. Kangen offline, tapi PPKM masih dapet updatean https://t.co/HiWte8xc1p</t>
  </si>
  <si>
    <t>Gakerasa PPKM dah lewat. Kangen offline, tapi PPKM masih dapet updatean</t>
  </si>
  <si>
    <t>Sjk ppkm tgl 3 juli. 
 Ribuan warga: sudah meninggal. Itu pun angkanya sudah dikorting &amp;amp; bnyk yg meninggal mendadak sblm dites.
 Pemerintah @jokowi : baru cek stok beras. Baru berjanji. Bakal menyalurkan. Baru bikin rencana. Baru menganggarkan.
 Pembagian tugasnya gak asik.</t>
  </si>
  <si>
    <t>Sjk ppkm tgl juli. Ribuan warga: sudah meninggal. Itu pun angkanya sudah dikorting &amp;amp; bnyk yg meninggal mendadak sblm dites.Pemerintah : baru cek stok beras. Baru berjanji. Bakal menyalurkan. Baru bikin rencana. Baru menganggarkan.Pembagian tugasnya gak asik.</t>
  </si>
  <si>
    <t>ppkm kapan selese si☹️</t>
  </si>
  <si>
    <t>ppkm kapan selese si</t>
  </si>
  <si>
    <t>Ppkm tuh ya sia smua yg ada di poto, People People Kaya Monyet https://t.co/s8Ae6l5TTK</t>
  </si>
  <si>
    <t>Ppkm tuh ya sia smua yg ada di poto, People People Kaya Monyet</t>
  </si>
  <si>
    <t>@arieftgh @AREAJULID Kan 90 an tengil ga waktu ppkm tengilnya pas demo klo ga si skrng anak yg 90 an pada nikah semua pada sibuk urus keluarga</t>
  </si>
  <si>
    <t>Kan an tengil ga waktu ppkm tengilnya pas demo klo ga si skrng anak yg an pada nikah semua pada sibuk urus keluarga</t>
  </si>
  <si>
    <t>@nkrismawa Jalan ditutup, ppkm :)</t>
  </si>
  <si>
    <t>Jalan ditutup, ppkm</t>
  </si>
  <si>
    <t>@AREAJULID PPKM adalah "POTONG PELER KANJUT MANEH"</t>
  </si>
  <si>
    <t>PPKM adalah "POTONG PELER KANJUT MANEH"</t>
  </si>
  <si>
    <t>@IvoneHall Mas anang lg galau bebs krn ppkm diperpanjang 😆😆😆😆🤭🙈 panjang x lebar x tinggi : nam rebu ketemu beratnya bebs 😂😂😂😂,</t>
  </si>
  <si>
    <t>Mas anang lg galau bebs krn ppkm diperpanjang panjang x lebar x tinggi : nam rebu ketemu beratnya bebs ,</t>
  </si>
  <si>
    <t>ppkm dikosan aja buat pikiranku berantakan. pls God pls enlighten me</t>
  </si>
  <si>
    <t>Apakah pantas seorang yang terkenal mengadakan acara ulang tahun ditengah PPKM??</t>
  </si>
  <si>
    <t>@ramzyzaswara @negativisme Di kira ratusan ribu warga indonesia mau dikasih 1 solusi yang sama, buktinya PPKM ini aja sebagian ada yang patuh sebagian besar orasi ke jalan gak setuju 🤣</t>
  </si>
  <si>
    <t>Di kira ratusan ribu warga indonesia mau dikasih solusi yang sama, buktinya PPKM ini aja sebagian ada yang patuh sebagian besar orasi ke jalan gak setuju</t>
  </si>
  <si>
    <t>@BukuMojok PPKm 4</t>
  </si>
  <si>
    <t>PPKm</t>
  </si>
  <si>
    <t>@mutmuthea Selama PPKM sudah jelas semua kegiatan dilakukan di rumah. Memang agak repot ya, Kak tapi demia kebaikan bersama ya harus dijalankan.</t>
  </si>
  <si>
    <t>Selama PPKM sudah jelas semua kegiatan dilakukan di rumah. Memang agak repot ya, Kak tapi demia kebaikan bersama ya harus dijalankan.</t>
  </si>
  <si>
    <t>@arieftgh @AREAJULID Kan pas anak 90an rewaja belom ada ppkm bang</t>
  </si>
  <si>
    <t>Kan pas anak an rewaja belom ada ppkm bang</t>
  </si>
  <si>
    <t>@kompascom Bagi org2 yg ngerti bhyanya covid-19 tanpa di perpanjangnya ppkm pun mrka akan patuh di rmh sj dan takut jajan sembarangan</t>
  </si>
  <si>
    <t>Bagi org2 yg ngerti bhyanya covid-19 tanpa di perpanjangnya ppkm pun mrka akan patuh di rmh sj dan takut jajan sembarangan</t>
  </si>
  <si>
    <t>@FWBESS Ppkm lohhh</t>
  </si>
  <si>
    <t>Ppkm lohhh</t>
  </si>
  <si>
    <t>tpi boonk alias kaga jelas bgt u jmet lagi ppkm malah ngumpul sana sini, masker lepas😩 kaga keren, malah keliatan bg</t>
  </si>
  <si>
    <t>tpi boonk alias kaga jelas bgt u jmet lagi ppkm malah ngumpul sana sini, masker lepas kaga keren, malah keliatan bg</t>
  </si>
  <si>
    <t>Macam mana pula kau, Pak. Sudah satu tahun masih sibuk bahas istilah. 
 Mending ayo pikirkan solusi biar rakyat kecil bisa ikut PPKM tapi tanpa perlu kelaparan. https://t.co/zIWtGfvPWu</t>
  </si>
  <si>
    <t>Macam mana pula kau, Pak. Sudah satu tahun masih sibuk bahas istilah. Mending ayo pikirkan solusi biar rakyat kecil bisa ikut PPKM tapi tanpa perlu kelaparan.</t>
  </si>
  <si>
    <t>PPKM : Proses Penundaan Kelulusan Mahasiswa. 
 😭😭 https://t.co/qTqUmm2gaf</t>
  </si>
  <si>
    <t>PPKM : Proses Penundaan Kelulusan Mahasiswa.</t>
  </si>
  <si>
    <t>Di tempat kalian masih PPKM?</t>
  </si>
  <si>
    <t>Mereka ini tidak termasuk dalam penerima bantuan sosial tunai (BST) dan program keluarga harapan. Bantuan tersebut diharapkan dapat membantu mengurangi beban masyarakat di masa perpanjangan PPKM darurat.</t>
  </si>
  <si>
    <t>@LinaMichael93 Iya tapi ppkm ga mau diperpanjang</t>
  </si>
  <si>
    <t>Iya tapi ppkm ga mau diperpanjang</t>
  </si>
  <si>
    <t>PPKM diperpanjang dengan Status pake Level. 
 Astaghfirullah udah kaya main game aja. Eeeh ups, kan ini memang hanya permainan :)</t>
  </si>
  <si>
    <t>PPKM diperpanjang dengan Status pake Level. Astaghfirullah udah kaya main game aja. Eeeh ups, kan ini memang hanya permainan</t>
  </si>
  <si>
    <t>@laksmi2801 Asma aku juga makin jadi selama ppkm 😵‍💫</t>
  </si>
  <si>
    <t>Asma aku juga makin jadi selama ppkm</t>
  </si>
  <si>
    <t>@CNNIndonesia PPKM tapi ga dikasih makan...</t>
  </si>
  <si>
    <t>PPKM tapi ga dikasih makan...</t>
  </si>
  <si>
    <t>Baru sembuh udh harus ngelsnggar ppkm cuma karena orang2 kolot yang ga ngerti ada teknologi yang namanya “Zoom” ato “Google Meet” buat meeting, capek lah anjing</t>
  </si>
  <si>
    <t>Baru sembuh udh harus ngelsnggar ppkm cuma karena orang2 kolot yang ga ngerti ada teknologi yang namanya Zoom ato Google Meet buat meeting, capek lah anjing</t>
  </si>
  <si>
    <t>@NaranyaDO hahah iya tar kalau udah ga ppkm ya 😅 aku punya balong juga disana</t>
  </si>
  <si>
    <t>hahah iya tar kalau udah ga ppkm ya aku punya balong juga disana</t>
  </si>
  <si>
    <t>PPKM mu level berapa ?</t>
  </si>
  <si>
    <t>@sushitorashuu Gara2 ppkm level 4 ni lomba di kampus w jadi online njir 😭</t>
  </si>
  <si>
    <t>Gara2 ppkm level ni lomba di kampus w jadi online njir</t>
  </si>
  <si>
    <t>@PresidenKopi PPKM level 4 berapa biji CABE nya ... ???</t>
  </si>
  <si>
    <t>PPKM level berapa biji CABE nya ... ???</t>
  </si>
  <si>
    <t>@bowosusilo94 Sudah tahu, Kak. Tapi bersyukur ya meskipun PPKM diperpanjang, bantuan dari pemerintah juga semakin banyak.</t>
  </si>
  <si>
    <t>Sudah tahu, Kak. Tapi bersyukur ya meskipun PPKM diperpanjang, bantuan dari pemerintah juga semakin banyak.</t>
  </si>
  <si>
    <t>@AREAJULID Pake nanya ppkm apaan. Ppkm adalah kalian, pemuda pemuda kayak monyet</t>
  </si>
  <si>
    <t>Pake nanya ppkm apaan. Ppkm adalah kalian, pemuda pemuda kayak monyet</t>
  </si>
  <si>
    <t>@JeromePolin PPKM ngefek nya ke hubungan kita yg makin lama makin renggang.</t>
  </si>
  <si>
    <t>PPKM ngefek nya ke hubungan kita yg makin lama makin renggang.</t>
  </si>
  <si>
    <t>@Hi_Quds Harapan kita semua menurun ya, Mbak. Apalagi dg PPKM ini.</t>
  </si>
  <si>
    <t>Harapan kita semua menurun ya, Mbak. Apalagi dg PPKM ini.</t>
  </si>
  <si>
    <t>@hariankompas @harisfirdaus Ppkm udah usai &amp;amp; berubah nama jd level2an, pemerintah (akhirnya) baru berjanji. 😭</t>
  </si>
  <si>
    <t>Ppkm udah usai &amp;amp; berubah nama jd level2an, pemerintah (akhirnya) baru berjanji.</t>
  </si>
  <si>
    <t>Setiap kepala daerah harusnya memahami keadaan.
 Spt pak @ganjarpranowo yg sangat paham apa yg hrs dilakukan di tengah Pandemi ini.
 Baik di skenario PPKM diperpanjang ato tidak.
 Yg jelas smua hrs bersinergi &amp;amp; bergotong royong menyelesaikan Pandemi ini.
 Smoga smua dimudahkan. https://t.co/rID7TWktPM</t>
  </si>
  <si>
    <t>Setiap kepala daerah harusnya memahami keadaan.Spt pak yg sangat paham apa yg hrs dilakukan di tengah Pandemi ini.Baik di skenario PPKM diperpanjang ato tidak.Yg jelas smua hrs bersinergi &amp;amp; bergotong royong menyelesaikan Pandemi ini.Smoga smua dimudahkan.</t>
  </si>
  <si>
    <t>PPKM : Pemberlakuan Pembatasan Kemanusiaan Masyarakat</t>
  </si>
  <si>
    <t>PPKM jancoooo*😭😭</t>
  </si>
  <si>
    <t>PPKM jancoooo*</t>
  </si>
  <si>
    <t>@Hilmi28 Pandemi ini semakin di sebarkan maka TDK akan berakhir ,MK SDH i lah kata2 covid maka akan tenang negri ini,ppkm gak perlu yg penting jaga diri sendiri masjid tempat mengadu malah ditutup ,ekonomi negri ini SDH trn level maka hrs nya pemimpin negri ini paham dg ini</t>
  </si>
  <si>
    <t>Pandemi ini semakin di sebarkan maka TDK akan berakhir ,MK SDH i lah kata2 covid maka akan tenang negri ini,ppkm gak perlu yg penting jaga diri sendiri masjid tempat mengadu malah ditutup ,ekonomi negri ini SDH trn level maka hrs nya pemimpin negri ini paham dg ini</t>
  </si>
  <si>
    <t>PPKM Level 4 fix
 PPKM Level 5 
 PPKM Final version
 PPKM final fix bismillah
 PPKM final fix bismillah terakhir
 PPKM final fix bismillah terakhir revisi 1
 PPKM final fix bismillah terakhir revisi print
 PPKM final fix bismillah keridewe tenan print
 PPKM final alhamdulillah print https://t.co/b6n5uC4iJS</t>
  </si>
  <si>
    <t>PPKM Level fixPPKM Level PPKM Final versionPPKM final fix bismillahPPKM final fix bismillah terakhirPPKM final fix bismillah terakhir revisi PPKM final fix bismillah terakhir revisi printPPKM final fix bismillah keridewe tenan printPPKM final alhamdulillah print</t>
  </si>
  <si>
    <t>Gamang karena perlawanan rakyat thd PPKM yg merupakan akal-akalan untuk tidak melaksanakan Kekarantinaan Wilayah sbgmn yg diatur UU.. https://t.co/6d2wRRJdXY</t>
  </si>
  <si>
    <t>Gamang karena perlawanan rakyat thd PPKM yg merupakan akal-akalan untuk tidak melaksanakan Kekarantinaan Wilayah sbgmn yg diatur UU..</t>
  </si>
  <si>
    <t>@Hi_Quds Berharap banget dengan adanya penambahan perpanjangan masa PPKM ini kasus Covid jadi menurun.</t>
  </si>
  <si>
    <t>Berharap banget dengan adanya penambahan perpanjangan masa PPKM ini kasus Covid jadi menurun.</t>
  </si>
  <si>
    <t>Terorganisir dan terencana.. skenario para Oposisi licik..
 Demo tolak PPKM malah teriak Revolusi.. #politikBusuk #kaumMUNAFIK #BarisanSakitHati https://t.co/sorQ2jgf2g</t>
  </si>
  <si>
    <t>Terorganisir dan terencana.. skenario para Oposisi licik..Demo tolak PPKM malah teriak Revolusi..</t>
  </si>
  <si>
    <t>Ppkm udah ky boncabe ya berlevel, huhu</t>
  </si>
  <si>
    <t>PPKM = Pagi Pagi Kita Mbadut https://t.co/tdF9ZHcdKD</t>
  </si>
  <si>
    <t>PPKM = Pagi Pagi Kita Mbadut</t>
  </si>
  <si>
    <t>Kalangan bawah pengen cepet cepet ppkm selesai (walaupun seharusnya belum) biar bisa kerja lagi masih bisa dimengerti, tapi kalangan menengah ke atas pengen hal yang sama cuma karena udah bosen pengen liburan, dan jalan-jalan, emang udah ga ada otak lagi. Go to hell.</t>
  </si>
  <si>
    <t>@dishub_bwi uji kir kendaraan masih buka ya di masa ppkm?</t>
  </si>
  <si>
    <t>uji kir kendaraan masih buka ya di masa ppkm?</t>
  </si>
  <si>
    <t>@armanke13 @CNNIndonesia PPKM itu kebijakan Pemerintah, Pemerintah Kota adalah perwakilan Pemerintah di kota, ya demonya ke Kantor Walikota,.. 
 😁</t>
  </si>
  <si>
    <t>PPKM itu kebijakan Pemerintah, Pemerintah Kota adalah perwakilan Pemerintah di kota, ya demonya ke Kantor Walikota,..</t>
  </si>
  <si>
    <t>ppkm darurat diperpanjang sampai kamu sayang aku</t>
  </si>
  <si>
    <t>@detikcom Sudah nurut pak selama ppkm. Di rumah terus. Seandai nya berkhayal sejenak. 1, beras 50 kg. 2, minyak goreng 50 kg. 2, indomie, bumbu lengkap. 4 sayur Dan buah an</t>
  </si>
  <si>
    <t>Sudah nurut pak selama ppkm. Di rumah terus. Seandai nya berkhayal sejenak. , beras kg. , minyak goreng kg. , indomie, bumbu lengkap. sayur Dan buah an</t>
  </si>
  <si>
    <t>@lilaccountz PPKM kalo level 4 bikin diare ga sih?</t>
  </si>
  <si>
    <t>PPKM kalo level bikin diare ga sih?</t>
  </si>
  <si>
    <t>@DrTaufan1 @BunnedU Lebih baik lagi tolak yang buat PPKM nya agar tak akal2an lagi cari2 istilah utk menyusahkan rakyat kecil</t>
  </si>
  <si>
    <t>Lebih baik lagi tolak yang buat PPKM nya agar tak akal2an lagi cari2 istilah utk menyusahkan rakyat kecil</t>
  </si>
  <si>
    <t>ni ppkm keanya ampe aku punya anak</t>
  </si>
  <si>
    <t>ppkm cepet selesai dong, gue kangen mau main sama temen 😫</t>
  </si>
  <si>
    <t>ppkm cepet selesai dong, gue kangen mau main sama temen</t>
  </si>
  <si>
    <t>@nameisnoval @satgascovid19id @aniesbaswedan @DivHumas_Polri @jokowi ciduk nih pak ga taat prokes, kita pada taat dirumah karena ppkm. Eh mereka enak enak kumpul bareng https://t.co/yHDZe7aKvv</t>
  </si>
  <si>
    <t>ciduk nih pak ga taat prokes, kita pada taat dirumah karena ppkm. Eh mereka enak enak kumpul bareng</t>
  </si>
  <si>
    <t>@KOTAK_1ndonesia @Pencerah__ Sampai saat ini gak habis pikir dan masih heran dengan sikap pemda/pemkab/pemkot yg didaerahnya melakukan pembiyaran terhadap aksi kerumunan yang mengatas namakan kegiatan keagamaan dimasa pemberlakuan PPKM DARURAT dn skrg jd PPKM LEVEL.
 TIDAK TEGASSS !!!</t>
  </si>
  <si>
    <t>Sampai saat ini gak habis pikir dan masih heran dengan sikap pemda/pemkab/pemkot yg didaerahnya melakukan pembiyaran terhadap aksi kerumunan yang mengatas namakan kegiatan keagamaan dimasa pemberlakuan PPKM DARURAT dn skrg jd PPKM LEVEL.TIDAK TEGASSS !!!</t>
  </si>
  <si>
    <t>apa itu ppkm apa itu ppkm. sumpah yg blg kaya gt muka lo jelek bgt</t>
  </si>
  <si>
    <t>@Nrumadiun323 @prabowo Apaan ini???? Pakai bahasa Indonesia dengan baik dan benar...🥺....efek PPKM dan jarang bertemu orang ya...sampai lupa bagaimana cara berbahasa Indonesia????? Jangan sampai lupa dengan negara Indonesia hasil jerih payah leluhur kita lo????</t>
  </si>
  <si>
    <t>Apaan ini???? Pakai bahasa Indonesia dengan baik dan benar.......efek PPKM dan jarang bertemu orang ya...sampai lupa bagaimana cara berbahasa Indonesia????? Jangan sampai lupa dengan negara Indonesia hasil jerih payah leluhur kita lo????</t>
  </si>
  <si>
    <t>Cecebs kalo lapar nyerangnya ke yang bertanggung jawab NGASIH makan selama PPKM ya, jangan sradak sruduk ke sesama netizen dan rakyat. Percuma. Yg biasa ngasih makan klean lagi gag punya duid:) klean nyerang2 juga gag dibayar u know :):)</t>
  </si>
  <si>
    <t>Cecebs kalo lapar nyerangnya ke yang bertanggung jawab NGASIH makan selama PPKM ya, jangan sradak sruduk ke sesama netizen dan rakyat. Percuma. Yg biasa ngasih makan klean lagi gag punya duid klean nyerang2 juga gag dibayar u know</t>
  </si>
  <si>
    <t>ppkm lv 4 kebayang lv 30 gmana pedesnya ya alloh</t>
  </si>
  <si>
    <t>ppkm lv kebayang lv gmana pedesnya ya alloh</t>
  </si>
  <si>
    <t>@tirta_hudhi Sangat beda sekali Dok ketika PSBB masih banyak tabungannya,, waktu PPKM ini tabungannya udah abis jadi ga ada lagi namanya janda bolong janda bolong, ga gilak aja udh bersyukur klo sekarang</t>
  </si>
  <si>
    <t>Sangat beda sekali Dok ketika PSBB masih banyak tabungannya,, waktu PPKM ini tabungannya udah abis jadi ga ada lagi namanya janda bolong janda bolong, ga gilak aja udh bersyukur klo sekarang</t>
  </si>
  <si>
    <t>@tribunnews Pribadi yg ngeyel bs dieksekusi nggak, yg msh demo2 udah tau lg ppkm @Reisa_BA</t>
  </si>
  <si>
    <t>Pribadi yg ngeyel bs dieksekusi nggak, yg msh demo2 udah tau lg ppkm</t>
  </si>
  <si>
    <t>#PakdeMenclaMencle
 ... seharusnya keselamatan nyawa rakyat prioritas utama dimasa pandemi covid : hanya karena takut dengan kata karantina, corona jadi merajalela ! rakyat menderita dan sengsara, layak melawan menolak ppkm darurat bung ....
 #PakdeMenclaMencle
 🆘 😷😷
 _ https://t.co/HJQ6gVVo0n</t>
  </si>
  <si>
    <t>... seharusnya keselamatan nyawa rakyat prioritas utama dimasa pandemi covid : hanya karena takut dengan kata karantina, corona jadi merajalela ! rakyat menderita dan sengsara, layak melawan menolak ppkm darurat bung .... _</t>
  </si>
  <si>
    <t>Ppkm dikota ku, kalau kalian lurus kalian kena stop, ditanyain surat vaksin dan segala macem. Tapi kalau kalian belok, kalian bakal lewat tanpa surat vaksin dll cuma ya sedikit lebih jauh aja perjalanan kalian wkwkwk yang belum vaksin mah tinggal belok aja:)</t>
  </si>
  <si>
    <t>Ppkm dikota ku, kalau kalian lurus kalian kena stop, ditanyain surat vaksin dan segala macem. Tapi kalau kalian belok, kalian bakal lewat tanpa surat vaksin dll cuma ya sedikit lebih jauh aja perjalanan kalian wkwkwk yang belum vaksin mah tinggal belok aja</t>
  </si>
  <si>
    <t>@Bangzull__ Mumpung ppkm sekarg aja. 1jt cukup hahaha</t>
  </si>
  <si>
    <t>Mumpung ppkm sekarg aja. jt cukup hahaha</t>
  </si>
  <si>
    <t>@Syarman59 @BEM_SI @BEMUI_Official Kalo begini terus ya.....malah PPKM tambah diperpanjang
 Niatnya apa sih bikin demo?
 Mau buat cluster baru gitu?
 Mau nambahin kasus?
 Kalo makin banyak nti jgn salahin pemerintah ya!!!!</t>
  </si>
  <si>
    <t>Kalo begini terus ya.....malah PPKM tambah diperpanjangNiatnya apa sih bikin demo?Mau buat cluster baru gitu?Mau nambahin kasus?Kalo makin banyak nti jgn salahin pemerintah ya!!!!</t>
  </si>
  <si>
    <t>Jkt ppkm https://t.co/iGT54u3JZh</t>
  </si>
  <si>
    <t>Jkt ppkm</t>
  </si>
  <si>
    <t>@tyongfenj ttp aja bingung gak sih soalnya masih ppkm huhu</t>
  </si>
  <si>
    <t>ttp aja bingung gak sih soalnya masih ppkm huhu</t>
  </si>
  <si>
    <t>@keuangannews_id Iya ..ppkm darurat diganti level 4</t>
  </si>
  <si>
    <t>Iya ..ppkm darurat diganti level</t>
  </si>
  <si>
    <t>PPKM level 4 dapet exp dari mana woi?</t>
  </si>
  <si>
    <t>PPKM level dapet exp dari mana woi?</t>
  </si>
  <si>
    <t>Pas pisan ppkm longgar tgl 25 gajian</t>
  </si>
  <si>
    <t>Pas pisan ppkm longgar tgl gajian</t>
  </si>
  <si>
    <t>@nurulrahma Alhamdulillah, meskipun PPKM diperpanjang tapi bantuan juga banyak diberikan. Semoga Indonesia cepat sembuh dari Covid ini ya Mbak.</t>
  </si>
  <si>
    <t>Alhamdulillah, meskipun PPKM diperpanjang tapi bantuan juga banyak diberikan. Semoga Indonesia cepat sembuh dari Covid ini ya Mbak.</t>
  </si>
  <si>
    <t>ni ppkm dibikin 4 level berasa lagi maen maze runner lu lari lari nyari kehidupan layak dan berlindung dari pandemi dengan posisi lu di tes sama pemerintah</t>
  </si>
  <si>
    <t>ni ppkm dibikin level berasa lagi maen maze runner lu lari lari nyari kehidupan layak dan berlindung dari pandemi dengan posisi lu di tes sama pemerintah</t>
  </si>
  <si>
    <t>Saya pesan seblak di deket rumah
 🙍‍♀️ Penjual 👦 saya
 👦 teh beli seblak 3 10k-an
 🙍‍♀️ ok gus, mau PPKM LEVEL BERAPA.
 👦 HAH apa itu?
 🙍‍♀️ ini istilah baru gus, sesuai tren, dunia twitter sdg tren PPKM yg ada level2an gitu gus.
 👦 wkwkw oh iya, mau coba PPKM level 4 teh.
 🙍‍♀️ siap</t>
  </si>
  <si>
    <t>Saya pesan seblak di deket rumah Penjual saya teh beli seblak k-an ok gus, mau PPKM LEVEL BERAPA. HAH apa itu? ini istilah baru gus, sesuai tren, dunia twitter sdg tren PPKM yg ada level2an gitu gus. wkwkw oh iya, mau coba PPKM level teh. siap</t>
  </si>
  <si>
    <t>@nameisnoval mau keadilannya aja sih. diluar sana orang cari rezeki susah karna ppkm. coba yang ini diapaaiin gitu :) @SatpolPP_DKI @SATPOLPPBogor @aniesbaswedan @jokowi @KompasTV @AREAJULID</t>
  </si>
  <si>
    <t>mau keadilannya aja sih. diluar sana orang cari rezeki susah karna ppkm. coba yang ini diapaaiin gitu</t>
  </si>
  <si>
    <t>Sahabat.. PPKM hanya menutup rejekimu dari sebagian pintu darat saja, sedangkan pintu langit selalu dibuka oleh dzat pemberi rizki. Maka jangan lupa angkat kedua telapak tanganmu setinggi tingginya 🤲🤲🤲</t>
  </si>
  <si>
    <t>Sahabat.. PPKM hanya menutup rejekimu dari sebagian pintu darat saja, sedangkan pintu langit selalu dibuka oleh dzat pemberi rizki. Maka jangan lupa angkat kedua telapak tanganmu setinggi tingginya</t>
  </si>
  <si>
    <t>@nameisnoval Gatau deh apa itu PPKM.
  Yg aku tau mah hanya, byk orang yg kehilangan pekerjaannya, rumah sakit dimana mana penuh, cari duit makin susah, penertiban pedagang kecil oleh satpol PP arogan, rakyat disuruh diem dirumah pas saat PPKM.</t>
  </si>
  <si>
    <t>Gatau deh apa itu PPKM. Yg aku tau mah hanya, byk orang yg kehilangan pekerjaannya, rumah sakit dimana mana penuh, cari duit makin susah, penertiban pedagang kecil oleh satpol PP arogan, rakyat disuruh diem dirumah pas saat PPKM.</t>
  </si>
  <si>
    <t>smlm mimpinya cantik tp sedih banget, gegara PPKM kga bisa kemana² eh jadi mimpi jalan²🥺
 hari ini sndri di klinik tiba² disuruh kejawa, kita ke hutan, sawah seru deh eh tp tiba² kita ke makam Alm. Mbah kakung (trnyt i kangen ziarah ke jawa, tahun ini blm ke makam. maaf y mbah😭)</t>
  </si>
  <si>
    <t>smlm mimpinya cantik tp sedih banget, gegara PPKM kga bisa kemana eh jadi mimpi jalanhari ini sndri di klinik tiba disuruh kejawa, kita ke hutan, sawah seru deh eh tp tiba kita ke makam Alm. Mbah kakung (trnyt i kangen ziarah ke jawa, tahun ini blm ke makam. maaf y mbah)</t>
  </si>
  <si>
    <t>Masa Presiden @jokowi tidak tau kalau demonstrasi menolak PPKM di Bandung dilakukan oleh orang-orang yang berada dibawah komando salah satu pembantu Presiden sendiri..😂
 Pecat menteri Nadiem Makarim..!! https://t.co/l96Wd8Uc7C</t>
  </si>
  <si>
    <t>Masa Presiden tidak tau kalau demonstrasi menolak PPKM di Bandung dilakukan oleh orang-orang yang berada dibawah komando salah satu pembantu Presiden sendiri..Pecat menteri Nadiem Makarim..!!</t>
  </si>
  <si>
    <t>@BANKBRI_ID min, kartu ATM terblokir gimana ya min? Mau ngurus ke Bank lagi PPKM</t>
  </si>
  <si>
    <t>min, kartu ATM terblokir gimana ya min? Mau ngurus ke Bank lagi PPKM</t>
  </si>
  <si>
    <t>Jika PPKM diperpanjang, dan hasilnya sama saja
 Maka akan dilanjutkan dengan adu penalti.</t>
  </si>
  <si>
    <t>Jika PPKM diperpanjang, dan hasilnya sama sajaMaka akan dilanjutkan dengan adu penalti.</t>
  </si>
  <si>
    <t>@tempodotco Kenapa nggak PPKM STADIUM 4 saja</t>
  </si>
  <si>
    <t>Kenapa nggak PPKM STADIUM saja</t>
  </si>
  <si>
    <t>@UyokBack PPKM Level 1 bungkus daon pisang
 PPKM Level 2 bungkus kertas nasi karet 2
 PPKM Level 3 bungkus kertas nasi disobek
 PPKM Level 4 bungkus kotak nasi kertas
 dah kaya nasi uduk 🤦‍♂️</t>
  </si>
  <si>
    <t>PPKM Level bungkus daon pisangPPKM Level bungkus kertas nasi karet PPKM Level bungkus kertas nasi disobekPPKM Level bungkus kotak nasi kertasdah kaya nasi uduk</t>
  </si>
  <si>
    <t>@nameisnoval Anak anjing, udh tau ppkm pake kumpul, mana pada gabawa masker. Emg lo pada sebelum kumpul, udh pada swab tes? Muke gada yang cakep sok iye, bye cakepan juga mutualan gua</t>
  </si>
  <si>
    <t>Anak anjing, udh tau ppkm pake kumpul, mana pada gabawa masker. Emg lo pada sebelum kumpul, udh pada swab tes? Muke gada yang cakep sok iye, bye cakepan juga mutualan gua</t>
  </si>
  <si>
    <t>@nocontextsorum PPKM SATPOL</t>
  </si>
  <si>
    <t>PPKM SATPOL</t>
  </si>
  <si>
    <t>@AREAJULID walaupun lg ga ppkm tp seengganya pake masker lah anjir, gua maen betiga sm temen rumah aja maskeran terus yallah mau nangis amat</t>
  </si>
  <si>
    <t>walaupun lg ga ppkm tp seengganya pake masker lah anjir, gua maen betiga sm temen rumah aja maskeran terus yallah mau nangis amat</t>
  </si>
  <si>
    <t>@littleukiyo ayo mbak ayo bubar saya gak pesen badut pesta PPKM ini ckck</t>
  </si>
  <si>
    <t>ayo mbak ayo bubar saya gak pesen badut pesta PPKM ini ckck</t>
  </si>
  <si>
    <t>👶🏻 : PPKM tukang cat ya?
 👧🏻 : ko tau?
 👶🏻 : soalnya kamu telah mewarnai hidup ku</t>
  </si>
  <si>
    <t>: PPKM tukang cat ya? : ko tau? : soalnya kamu telah mewarnai hidup ku</t>
  </si>
  <si>
    <t>@anccxiety PPKM ( Pusing Pikiran Karena Merindu) yhaaaaà</t>
  </si>
  <si>
    <t>PPKM ( Pusing Pikiran Karena Merindu) yhaaaa</t>
  </si>
  <si>
    <t>@__AnakKolong Ini orang tahu nggak tujuan PPKM? Yang diminta untuk membatasi ibadah dan BUKAN MELARANGNYA. 
 Yang dia batasi malah cara make OTAKNYA, dan disuruh membangkang! 
 Kesannya relijius tapi nggak PINTER BLASSS</t>
  </si>
  <si>
    <t>Ini orang tahu nggak tujuan PPKM? Yang diminta untuk membatasi ibadah dan BUKAN MELARANGNYA. Yang dia batasi malah cara make OTAKNYA, dan disuruh membangkang! Kesannya relijius tapi nggak PINTER BLASSS</t>
  </si>
  <si>
    <t>Awalnya candaan sekarang Kelabakan ?
 Dari PSBB, PPKM, Hingga Level 1-4, Bukannya Terkendali Covid Malah Menjadi² 
 Hilangnya nyawa Rakyat bukan Mainan, Akibat kebijakan Mencla Mencle 👎🏻👎🏻
 #PakdeMenclaMencle
 #PakdeMenclaMencle https://t.co/lvS95T6wTG</t>
  </si>
  <si>
    <t>Awalnya candaan sekarang Kelabakan ?Dari PSBB, PPKM, Hingga Level $NUMBER$, Bukannya Terkendali Covid Malah Menjadi Hilangnya nyawa Rakyat bukan Mainan, Akibat kebijakan Mencla Mencle</t>
  </si>
  <si>
    <t>Jadi kan aku makan yogurt ori tiap hari tp karena ppkm jadi stol dulu 2 minggu karena males grocerry shopping ya
 Aku biasa beli yang ada di vidio terakhir yang uk kecil gt kan tp karna ga ada aku suruh vidioin aja yang gede, aku mikirnya kan gpp deh lagian lagi ppkm gini https://t.co/Zf5HLoqYdY</t>
  </si>
  <si>
    <t>Jadi kan aku makan yogurt ori tiap hari tp karena ppkm jadi stol dulu minggu karena males grocerry shopping yaAku biasa beli yang ada di vidio terakhir yang uk kecil gt kan tp karna ga ada aku suruh vidioin aja yang gede, aku mikirnya kan gpp deh lagian lagi ppkm gini</t>
  </si>
  <si>
    <t>@Dennysiregar7 Tujuan ppkm baik, tp rakyatnya susah diatur dan gak tertib. Kalau mau dikerasi, salah juga. Walau ppkm, coba liat kenyataannya, tetep aja ngumpul sana sini. Jd menurut saya percuma sih.</t>
  </si>
  <si>
    <t>Tujuan ppkm baik, tp rakyatnya susah diatur dan gak tertib. Kalau mau dikerasi, salah juga. Walau ppkm, coba liat kenyataannya, tetep aja ngumpul sana sini. Jd menurut saya percuma sih.</t>
  </si>
  <si>
    <t>/wal selama ppkm di pulau jawa, pengiriman paket jadi lebih lambat lah? atau ttp sama aja?</t>
  </si>
  <si>
    <t>@mentariduha abis ppkm</t>
  </si>
  <si>
    <t>@bonengnengg abis ppkm we'll move to bali ya</t>
  </si>
  <si>
    <t>abis ppkm we'll move to bali ya</t>
  </si>
  <si>
    <t>PPKM level 4 ternyata lebih pedes daripada bon cabe level 15</t>
  </si>
  <si>
    <t>PPKM level ternyata lebih pedes daripada bon cabe level</t>
  </si>
  <si>
    <t>@ruhutsitompul Diam kau @ruhutsitompul ...rakyat mau perubahan...kau pikir hebat x PPKM kau itu latteung..bodat besar kau</t>
  </si>
  <si>
    <t>Diam kau ...rakyat mau perubahan...kau pikir hebat x PPKM kau itu latteung..bodat besar kau</t>
  </si>
  <si>
    <t>Selama ppkm ini, pemerintah ngasih bantuan nggak sih? Jujur aku nggak tau, tapi ya mungkin mesti dipikirin lah buat kebijakan tapi juga buat solusi gimana rakyat Indonesia ini walaupun ppkm tapi masih bisa makan.</t>
  </si>
  <si>
    <t>apa itu ppkm? https://t.co/IIHWqzbAB3</t>
  </si>
  <si>
    <t>apa itu ppkm?</t>
  </si>
  <si>
    <t>PPKM Level 1-4
 Dalam pikiran ku "iki status gunung merapi po piye?"</t>
  </si>
  <si>
    <t>PPKM Level $NUMBER$Dalam pikiran ku "iki status gunung merapi po piye?"</t>
  </si>
  <si>
    <t>@tialamauugm aku juga g boleh latihan dulu😭 ppkm</t>
  </si>
  <si>
    <t>aku juga g boleh latihan dulu ppkm</t>
  </si>
  <si>
    <t>@farhanlontong Kalo memang terpaksa keluar, taat prokes aja sih. Tpi emg toko nya buka pas ppkm gni ?</t>
  </si>
  <si>
    <t>Kalo memang terpaksa keluar, taat prokes aja sih. Tpi emg toko nya buka pas ppkm gni ?</t>
  </si>
  <si>
    <t>@ArmanMeilana PPKM berlevel loh</t>
  </si>
  <si>
    <t>PPKM berlevel loh</t>
  </si>
  <si>
    <t>@panca66 @dayatia Rektor UI gantiin LBP jd koordinator PPKM, virus corona kabur dr Indonesia</t>
  </si>
  <si>
    <t>Rektor UI gantiin LBP jd koordinator PPKM, virus corona kabur dr Indonesia</t>
  </si>
  <si>
    <t>@ZAEffendy Kita juga 
 TDK suka PPKM...
 Yukk taati prokes
 Segera vaksin
 Kasus turun...PPKM dilonggarkan
 Semoga</t>
  </si>
  <si>
    <t>Kita juga TDK suka PPKM...Yukk taati prokesSegera vaksinKasus turun...PPKM dilonggarkanSemoga</t>
  </si>
  <si>
    <t>@nameisnoval ppkm(pelan pelan kamu m"""i)akibat pansos.anak muda.klo di grebek ntar ngangis</t>
  </si>
  <si>
    <t>ppkm(pelan pelan kamu m"""i)akibat pansos.anak muda.klo di grebek ntar ngangis</t>
  </si>
  <si>
    <t>Baru kali ini naik kereta ppkm wkwk sampe di stasiun disambut toa dan satpam:
 "SURAT TUGASNYA DIKELUARKAN"
 "MASKER DOBEL"
 "BARIS BERI JARAK SATU LENGAN"
 beneran baris dulu buat tap in,
 terus baris lagi sampe underground,
 terus nunggu kereta deh</t>
  </si>
  <si>
    <t>Baru kali ini naik kereta ppkm wkwk sampe di stasiun disambut toa dan satpam:"SURAT TUGASNYA DIKELUARKAN""MASKER DOBEL""BARIS BERI JARAK SATU LENGAN"beneran baris dulu buat tap in,terus baris lagi sampe underground,terus nunggu kereta deh</t>
  </si>
  <si>
    <t>kenapasi ppkm ada level nya? kaya lagi pesen richeese:(</t>
  </si>
  <si>
    <t>kenapasi ppkm ada level nya? kaya lagi pesen richeese</t>
  </si>
  <si>
    <t>https://t.co/PiBEb40kYb
 Sikap arogan aparat seperti ini yy tdk boleh di tiru se olah yg punya negri ini tdk melihat org lain apakah ini salah 1 tupoksi dr petugas ppkm? Akibat ppkm bnyk aparat yg petantang petenteng</t>
  </si>
  <si>
    <t>arogan aparat seperti ini yy tdk boleh di tiru se olah yg punya negri ini tdk melihat org lain apakah ini salah tupoksi dr petugas ppkm? Akibat ppkm bnyk aparat yg petantang petenteng</t>
  </si>
  <si>
    <t>Tinggal bilang saja kalau ppkm darurat itu tidak di perpanjang. Gitu aja kok repot muter2 ngomongnya. Jujur apa adanya itu memang gak mudah, terlalu mewah itu bagi elite2 penguasa rupanya https://t.co/WyBFF7qV79</t>
  </si>
  <si>
    <t>Tinggal bilang saja kalau ppkm darurat itu tidak di perpanjang. Gitu aja kok repot muter2 ngomongnya. Jujur apa adanya itu memang gak mudah, terlalu mewah itu bagi elite2 penguasa rupanya</t>
  </si>
  <si>
    <t>@p3bi PPKM level 4, Pura Pura Kagak Mengerti level pat pat gulipat</t>
  </si>
  <si>
    <t>PPKM level , Pura Pura Kagak Mengerti level pat pat gulipat</t>
  </si>
  <si>
    <t>PPKM
 Pernah Pacaran Kemudian Menikah. 💍 https://t.co/Vsma9fwaCs</t>
  </si>
  <si>
    <t>PPKMPernah Pacaran Kemudian Menikah.</t>
  </si>
  <si>
    <t>PPKM Darurat diperpanjang sampai kau jadi milikku uwoooo uwoooo uwoooo</t>
  </si>
  <si>
    <t>@CNNIndonesia PPKM, kebijakan nanggung yang mengatasnamakan kemanusiaan dengan mencekik manusia nya 😂😂😂</t>
  </si>
  <si>
    <t>PPKM, kebijakan nanggung yang mengatasnamakan kemanusiaan dengan mencekik manusia nya</t>
  </si>
  <si>
    <t>@jansen_jsp Mgkn karna dirasa ngk mungkin buat istilah PPKM Super Darurat, setelahnya akan ada lagi PPKM Super Duper Darurat jika kasus meningkat setelah diberlakukan PPKM Darurat, pemilihan istilahnya kedepan makin sulit ...</t>
  </si>
  <si>
    <t>Mgkn karna dirasa ngk mungkin buat istilah PPKM Super Darurat, setelahnya akan ada lagi PPKM Super Duper Darurat jika kasus meningkat setelah diberlakukan PPKM Darurat, pemilihan istilahnya kedepan makin sulit ...</t>
  </si>
  <si>
    <t>Ppkm level 4 , 
 Dengan bergantinya judul biasa isinya akan berubah tapi ini sama aja 
 Dan ahh sudahlah</t>
  </si>
  <si>
    <t>Ppkm level , Dengan bergantinya judul biasa isinya akan berubah tapi ini sama aja Dan ahh sudahlah</t>
  </si>
  <si>
    <t>@tifaneeaaa . idup org2 pada lg susah trus dia ikut berkontribusi jalan2 pas ppkm demi tidak stress. coba lu pikir, berapa banyak org yg kehilangan pekerjaannya, ekonomi keluarganya anjlok grgr ppkm. trus lu masih bs seneng2 post ig story!!! fucked up bgt</t>
  </si>
  <si>
    <t>. idup org2 pada lg susah trus dia ikut berkontribusi jalan2 pas ppkm demi tidak stress. coba lu pikir, berapa banyak org yg kehilangan pekerjaannya, ekonomi keluarganya anjlok grgr ppkm. trus lu masih bs seneng2 post ig story!!! fucked up bgt</t>
  </si>
  <si>
    <t>@nameisnoval Lo sekolah sampe mana? Ortu lu gak sanggup ngebiayain nya kah sampe gatau ppkm?miskin jg</t>
  </si>
  <si>
    <t>Lo sekolah sampe mana? Ortu lu gak sanggup ngebiayain nya kah sampe gatau ppkm?miskin jg</t>
  </si>
  <si>
    <t>@Irwan2yah @kemenhub151 @KemenkesRI @BNPB_Indonesia Klu sekarang ppkm bener pegawai nya ..harus ada surat pengantar kerja</t>
  </si>
  <si>
    <t>Klu sekarang ppkm bener pegawai nya ..harus ada surat pengantar kerja</t>
  </si>
  <si>
    <t>@ArtTeeno @DiantyYasmin3 See gak kasihan sama petugas medis dan kalangan rakyat bawah yg bergantung pada interaksi utk sambung hidup...PPKM diperpanjang bukan karena maunya pemerintah tapi maunya sebagian kelompok dimana kelompok yg sama yg akan koar2 menyalahkan ketika pandemi memuburuk...</t>
  </si>
  <si>
    <t>See gak kasihan sama petugas medis dan kalangan rakyat bawah yg bergantung pada interaksi utk sambung hidup...PPKM diperpanjang bukan karena maunya pemerintah tapi maunya sebagian kelompok dimana kelompok yg sama yg akan koar2 menyalahkan ketika pandemi memuburuk...</t>
  </si>
  <si>
    <t>@geloraco mereka ditunggangi kepentingan keluarganya. 
 anak istrinya butuh nafkah utk memenuhi kebutuhan hidup. PSBB/PPKM dan apapun namanya hanya menyusahkan rakyat kecil. dan hanya memuaskan sekelompok orang yg hidupnya sdh nyaman.</t>
  </si>
  <si>
    <t>mereka ditunggangi kepentingan keluarganya. anak istrinya butuh nafkah utk memenuhi kebutuhan hidup. PSBB/PPKM dan apapun namanya hanya menyusahkan rakyat kecil. dan hanya memuaskan sekelompok orang yg hidupnya sdh nyaman.</t>
  </si>
  <si>
    <t>Morning, semangat terus walau ppkm darurat :)</t>
  </si>
  <si>
    <t>Morning, semangat terus walau ppkm darurat</t>
  </si>
  <si>
    <t>Ayolah Gaes..... Mau sampai berapa lagi corona ini menyiksa kita ?
 Mau berapa banyak lagi saudara/i kita yang jadi korban keganasan corona Blakasadut ini ?
 Oleh sebab itu #StopBebalPatuhiAturanPPKM ,PPKM tidak akan berarti apa² tanpa peran serta kita semua. https://t.co/b0GulHoBZG</t>
  </si>
  <si>
    <t>Ayolah Gaes..... Mau sampai berapa lagi corona ini menyiksa kita ?Mau berapa banyak lagi saudara/i kita yang jadi korban keganasan corona Blakasadut ini ?Oleh sebab itu ,PPKM tidak akan berarti apa tanpa peran serta kita semua.</t>
  </si>
  <si>
    <t>@RVsmfown IHH CEPATT ADUIN ORG LGI PPKM IBADAH DIRUMAH JG GAPAAPA</t>
  </si>
  <si>
    <t>IHH CEPATT ADUIN ORG LGI PPKM IBADAH DIRUMAH JG GAPAAPA</t>
  </si>
  <si>
    <t>selamat pagi gengs 3 hari lagi kelar ppkm darurat tp tetep gbs kmn kmn huahahaha 🙁</t>
  </si>
  <si>
    <t>selamat pagi gengs hari lagi kelar ppkm darurat tp tetep gbs kmn kmn huahahaha</t>
  </si>
  <si>
    <t>@ana_khoz Udh sengsara krena PPKM, malh ada yg bginian. Angel terahe ngatur</t>
  </si>
  <si>
    <t>Udh sengsara krena PPKM, malh ada yg bginian. Angel terahe ngatur</t>
  </si>
  <si>
    <t>@CNNIndonesia Lha yo yg ky gini ini..yg bikin pandemi berlangsung terus2an. Bukan mereda, malah smakin meningkat. Mbok ya kalo ga mau ada ppkm ppkm an, ya patuh prokes knp to? Gr2 org2 kek gini, yg kena imbas org banyak. Demo, bergerombol, ga pake masker. Wes adu abab ga karuan sisan.</t>
  </si>
  <si>
    <t>Lha yo yg ky gini ini..yg bikin pandemi berlangsung terus2an. Bukan mereda, malah smakin meningkat. Mbok ya kalo ga mau ada ppkm ppkm an, ya patuh prokes knp to? Gr2 org2 kek gini, yg kena imbas org banyak. Demo, bergerombol, ga pake masker. Wes adu abab ga karuan sisan.</t>
  </si>
  <si>
    <t>@Hernanurf Dampak ppkm po</t>
  </si>
  <si>
    <t>Dampak ppkm po</t>
  </si>
  <si>
    <t>@nameisnoval PPKM tuh singkatan dari Pemberlakuan Pembatasan Kegiatan Masyarakat, Bang. Mangkannya jangan nongkrong mulu di warkop, baca berita kek sekali-kali. Seenggaknya kalo mau jadi beban keluarga harus punya social awareness juga dong. 😲 https://t.co/QGoketQ3OV</t>
  </si>
  <si>
    <t>PPKM tuh singkatan dari Pemberlakuan Pembatasan Kegiatan Masyarakat, Bang. Mangkannya jangan nongkrong mulu di warkop, baca berita kek sekali-kali. Seenggaknya kalo mau jadi beban keluarga harus punya social awareness juga dong.</t>
  </si>
  <si>
    <t>@tempodotco Yg tidak terkena covids tapi tidak bisa mencari nafkah krn PPKM masih tetap tidak dapat bandos? 
 Vaksinasi massal terasa semakin jarang dilakukan akhir2 ini.</t>
  </si>
  <si>
    <t>Yg tidak terkena covids tapi tidak bisa mencari nafkah krn PPKM masih tetap tidak dapat bandos? Vaksinasi massal terasa semakin jarang dilakukan akhir2 ini.</t>
  </si>
  <si>
    <t>PSBB
 PPKM Mikro
 PPKM Darurat
 PPKM Level 4
 .
 .
 .
 .
 PPKM Raja Terakhir</t>
  </si>
  <si>
    <t>PSBBPPKM MikroPPKM DaruratPPKM Level ....PPKM Raja Terakhir</t>
  </si>
  <si>
    <t>Baru jaga perbatasan PPKM aja ngeluh panas-panasan sama debu-debuan. Yang lu bentak itu jaga simbol negara blok. 
 Ga punya kode etik pula nanya" KTA &amp;amp; rampas dompet.</t>
  </si>
  <si>
    <t>Baru jaga perbatasan PPKM aja ngeluh panas-panasan sama debu-debuan. Yang lu bentak itu jaga simbol negara blok. Ga punya kode etik pula nanya" KTA &amp;amp; rampas dompet.</t>
  </si>
  <si>
    <t>PPKM dan di rumah gini mau gofood jg sungkan sm Abangnya, la wong jalannya tutupan kabeh 24 jam, kebijakan paling tidak bermutu,</t>
  </si>
  <si>
    <t>PPKM dan di rumah gini mau gofood jg sungkan sm Abangnya, la wong jalannya tutupan kabeh jam, kebijakan paling tidak bermutu,</t>
  </si>
  <si>
    <t>Habis PPKM apalagi ya. Gonta ganti judul ga selesai2.</t>
  </si>
  <si>
    <t>PPKM sampe tagal 20 bantuan kagak ada Rakyat di kurung yg cari makan di denda . Tp mereka yg punya jabataan enak diem di rmh juga udh di gaji ma negara.
 #LockdownJokowi
 #LockdownJokowi</t>
  </si>
  <si>
    <t>PPKM sampe tagal bantuan kagak ada Rakyat di kurung yg cari makan di denda . Tp mereka yg punya jabataan enak diem di rmh juga udh di gaji ma negara.</t>
  </si>
  <si>
    <t>Tasikmalaya - 
 “Saya menentang aturan PPKM ini, karena tidak berprikemanusian dan tidak berkerakyatan, saya menolak untuk tutup, saya sebagai pedagang kopi, petani kopi, tukang cimol, nasi goreng, tukang seblak menolak aturan ini,” kata Naza Fitri. https://t.co/bLbPEkedA0 https://t.co/41he4y9cQz</t>
  </si>
  <si>
    <t>Tasikmalaya - Saya menentang aturan PPKM ini, karena tidak berprikemanusian dan tidak berkerakyatan, saya menolak untuk tutup, saya sebagai pedagang kopi, petani kopi, tukang cimol, nasi goreng, tukang seblak menolak aturan ini, kata Naza Fitri.</t>
  </si>
  <si>
    <t>Mulai kehabisan ide buat kegiatan selama di rumah. Bosen banget sialan, apalagi gue pribadi di rumah udah lama banget sebelum ppkm, pas covid di sini lagi parah parahnya. Sampe sekarang belum reda juga😭</t>
  </si>
  <si>
    <t>Mulai kehabisan ide buat kegiatan selama di rumah. Bosen banget sialan, apalagi gue pribadi di rumah udah lama banget sebelum ppkm, pas covid di sini lagi parah parahnya. Sampe sekarang belum reda juga</t>
  </si>
  <si>
    <t>Rakyat disuruh patuh prokes, pemerintah abai urus hajat hidup rakyat yang terdampak. 
 Menghindari kata "lockdown", menggantinya dari psbb menjadi ppkm, dst. 
 Hingga sekarang ini orang² itu masih dengan pedenya bahwa caranya ampuh. 
 #LengserkanPakLurah
 #LengserkanPakLurah https://t.co/zWSRJnq6mw</t>
  </si>
  <si>
    <t>Rakyat disuruh patuh prokes, pemerintah abai urus hajat hidup rakyat yang terdampak. Menghindari kata "lockdown", menggantinya dari psbb menjadi ppkm, dst. Hingga sekarang ini orang itu masih dengan pedenya bahwa caranya ampuh.</t>
  </si>
  <si>
    <t>ppkm anju ppkm gila</t>
  </si>
  <si>
    <t>Walah...lgi PPKM DARURAT ngadain kegiatan offline https://t.co/PKh30jSwoG</t>
  </si>
  <si>
    <t>Walah...lgi PPKM DARURAT ngadain kegiatan offline</t>
  </si>
  <si>
    <t>Yg pengabdi pada PPKM biar covid turun atau bilang "Yuk biar cepet selesai yuk" Selesai juga idup orang, boro" diem dirumah buat makan sehari - hari aja harus liat pemasukan dari penjualan, kalau emng mau cepet selesai kenapa swab, vitamin, oksigen ga digratiskan?</t>
  </si>
  <si>
    <t>@PutraWadapi Sekarang ini Darurat Nasional dan si opung yg menjadi pimpinan PPKM Darurat tidak berani mengambil sikap tegas bahkan berani membela orang/pengusaha yg melanggar. Contohnya TKA dari sumber Covid tetap bisa masuk ke Indonesia.. Proses dan tangkap semua yg melanggar.. itulah ADIL.</t>
  </si>
  <si>
    <t>Sekarang ini Darurat Nasional dan si opung yg menjadi pimpinan PPKM Darurat tidak berani mengambil sikap tegas bahkan berani membela orang/pengusaha yg melanggar. Contohnya TKA dari sumber Covid tetap bisa masuk ke Indonesia.. Proses dan tangkap semua yg melanggar.. itulah ADIL.</t>
  </si>
  <si>
    <t>@WulandElisabeth Lagi ppkm... Susah kemana mana..</t>
  </si>
  <si>
    <t>Lagi ppkm... Susah kemana mana..</t>
  </si>
  <si>
    <t>@arifinpribadi @jokowi @GeneralMoeldoko @PDemokrat barusan sebelumnya @PDemokrat, @AnnisaPohan tereak2 minta lokdon... cuman ppkm udah ribut soal idul adha (yg pasti ada peosedur keamanannya). memang nggak jauh2 ama bapaknya dan suaminya</t>
  </si>
  <si>
    <t>barusan sebelumnya , tereak2 minta lokdon... cuman ppkm udah ribut soal idul adha (yg pasti ada peosedur keamanannya). memang nggak jauh2 ama bapaknya dan suaminya</t>
  </si>
  <si>
    <t>setelah mikir sampe pagi gini akhirnya dicheck out juga dgn iming2 kebutuhan dasar semua krn balik bandung terasa sangat lama yg disebabkan ppkm dan makin menghawatirkannya pandemi yang anjinun di sini</t>
  </si>
  <si>
    <t>Tangkepin lah itu juga orang2 yg gak patuh ppkm. Skalian kenain pasal kelalaian yang mengakibatkan hilangnya nyawa https://t.co/YLzdtUnXFM</t>
  </si>
  <si>
    <t>Tangkepin lah itu juga orang2 yg gak patuh ppkm. Skalian kenain pasal kelalaian yang mengakibatkan hilangnya nyawa</t>
  </si>
  <si>
    <t>Area Kedungwuni, Doro , dan beberapa tempat usaha kuliner di Kab. PKL, sejak PPKM Darurat ini diberlakukan, geliat pengunjung sepi sekali.
 Pedagang yang kebanyakan wong cilik itu pada ngeluh.
 ___
 Foto👇, kejadian semalam diambil dari status WA kawan, Pringlangu-Pekalongan.</t>
  </si>
  <si>
    <t>Area Kedungwuni, Doro , dan beberapa tempat usaha kuliner di Kab. PKL, sejak PPKM Darurat ini diberlakukan, geliat pengunjung sepi sekali.Pedagang yang kebanyakan wong cilik itu pada ngeluh.___Foto, kejadian semalam diambil dari status WA kawan, Pringlangu-Pekalongan.</t>
  </si>
  <si>
    <t>@filyamustika Disini susah, kudu pake suket domisili dari pak RT/RW atau pake suket dr kantor. Laaahh PPKM gini disuruhnya juga pake surat2an segala.</t>
  </si>
  <si>
    <t>Disini susah, kudu pake suket domisili dari pak RT/RW atau pake suket dr kantor. Laaahh PPKM gini disuruhnya juga pake surat2an segala.</t>
  </si>
  <si>
    <t>@republikaonline Ko bantu PPKM emang negara dah bangkrut ya</t>
  </si>
  <si>
    <t>Ko bantu PPKM emang negara dah bangkrut ya</t>
  </si>
  <si>
    <t>PPKM (Pak Presiden Kudu Mundur) https://t.co/q5DIMYYM4Z</t>
  </si>
  <si>
    <t>PPKM (Pak Presiden Kudu Mundur)</t>
  </si>
  <si>
    <t>@ramadhatil Percayalah yg sekelas ibukota saja tidak lockdown hanya sekedar ppkm yg dilapangan tidak mengatur tegas hanya berbentuk himbauan²</t>
  </si>
  <si>
    <t>Percayalah yg sekelas ibukota saja tidak lockdown hanya sekedar ppkm yg dilapangan tidak mengatur tegas hanya berbentuk himbauan</t>
  </si>
  <si>
    <t>@jokowi PPKM kasih bantuan pak jangan PPKM terus ttp tdk ada bantuan, bagaimana rakyat mau mentaati nya... Butuh lepas, harian, karyawan beda dengan ASN walau Kami tak kerja tak makan pak... Beda dg ASN walaupun bertahun mereka PPKM mereka tetap dapat gaji....</t>
  </si>
  <si>
    <t>PPKM kasih bantuan pak jangan PPKM terus ttp tdk ada bantuan, bagaimana rakyat mau mentaati nya... Butuh lepas, harian, karyawan beda dengan ASN walau Kami tak kerja tak makan pak... Beda dg ASN walaupun bertahun mereka PPKM mereka tetap dapat gaji....</t>
  </si>
  <si>
    <t>PPKM
 PELAN PELAN KAMU MAT*** https://t.co/JzsBN9LZXV</t>
  </si>
  <si>
    <t>PPKMPELAN PELAN KAMU MAT***</t>
  </si>
  <si>
    <t>PPKM
 Punten Pak Kapan mundur
 #MundurAjaPakde #PPKM</t>
  </si>
  <si>
    <t>PPKMPunten Pak Kapan mundur</t>
  </si>
  <si>
    <t>Kalo si paspampres sudah menunjukkan identitas dan kartu anggota... Dan masih diperiksa ini dan itu oleh Petugas PPKM saya setuju Polisi itu ditindak.. Tp kalo tidak..?? Yah Nggaklah..!!
 Terus bawa2 teman datengin Mapolres, mau ngapain..?? Sok jago...?? https://t.co/TOcEfdd9Bg</t>
  </si>
  <si>
    <t>Kalo si paspampres sudah menunjukkan identitas dan kartu anggota... Dan masih diperiksa ini dan itu oleh Petugas PPKM saya setuju Polisi itu ditindak.. Tp kalo tidak..?? Yah Nggaklah..!!Terus bawa2 teman datengin Mapolres, mau ngapain..?? Sok jago...??</t>
  </si>
  <si>
    <t>GaNas
 Centeng tiongkok komunis
 KNews.id- Koordinator PPKM Darurat Jawa-Bali, Luhut Binsar Pandjaitan mgtkan bhw RI tlh mlkkan komunikasi dgn Beijing utk penanganan pandemi covid-19.
 Wayahe
 #LengserkanPakLurah
 #LengserkanPakLurah https://t.co/zFalVKPMlL</t>
  </si>
  <si>
    <t>GaNasCenteng tiongkok komunisKNews.id-Koordinator PPKM Darurat Jawa-Bali, Luhut Binsar Pandjaitan mgtkan bhw RI tlh mlkkan komunikasi dgn Beijing utk penanganan pandemi covid-19.Wayahe</t>
  </si>
  <si>
    <t>Sebenernya mau ppkm atau lockdown itu gamasalah. Tapi yg jd masalah ga semua sektor punya pemikiran yg sama. Semisal tempat bekerja tidak menyuruh wfh tapi semua jalan ditutup lalu bagaimana cara berjualan nya😂😂😂😂</t>
  </si>
  <si>
    <t>Sebenernya mau ppkm atau lockdown itu gamasalah. Tapi yg jd masalah ga semua sektor punya pemikiran yg sama. Semisal tempat bekerja tidak menyuruh wfh tapi semua jalan ditutup lalu bagaimana cara berjualan nya</t>
  </si>
  <si>
    <t>@fentianaaa PPKM (Pelan Pelan Kehabisan Money)</t>
  </si>
  <si>
    <t>PPKM (Pelan Pelan Kehabisan Money)</t>
  </si>
  <si>
    <t>@otnayramitsme @ganjarpranowo @antoniusimail @DiniHrdianti @SahabatGanjar @GanjarNusantara Asal jgn spt PPKM di Jakarta ya pak Ganjar...👏👏👍👍👍
 PPKM Petantang Petenteng Kayak Monyet marah2 ga jelas dan salah pula 🤭🤭🤭🤣🤣🤣🤣</t>
  </si>
  <si>
    <t>Asal jgn spt PPKM di Jakarta ya pak Ganjar...PPKM Petantang Petenteng Kayak Monyet marah2 ga jelas dan salah pula</t>
  </si>
  <si>
    <t>@Endriyw PPKM. Pemerintah Pengkhianatan Kepada Masyarakat.
 #MundurAjaPakde 
 #MundurAjaPakde</t>
  </si>
  <si>
    <t>PPKM. Pemerintah Pengkhianatan Kepada Masyarakat.</t>
  </si>
  <si>
    <t>anjay dari epic turun ke grandmaster hiksrot
 PPKM = Pelan Pelan Kita Miskin ? https://t.co/tDMWw21qab</t>
  </si>
  <si>
    <t>anjay dari epic turun ke grandmaster hiksrotPPKM = Pelan Pelan Kita Miskin ?</t>
  </si>
  <si>
    <t>@kompascom @msaid_didu Kenapa kelaparan, lha wong Rakyat pd lg nyari duit dr dagang di musim Pandemi dan penerapan PPKM eh pd di usirin, di angkutin barang dagangannya, bahkan yg parah di siram pake Mobil Pemadam Kebakaran.terus bilangnya PPKM tp aturan sm kayak Lockdown dan gak ada bantuan ke Rakyat.</t>
  </si>
  <si>
    <t>Kenapa kelaparan, lha wong Rakyat pd lg nyari duit dr dagang di musim Pandemi dan penerapan PPKM eh pd di usirin, di angkutin barang dagangannya, bahkan yg parah di siram pake Mobil Pemadam Kebakaran.terus bilangnya PPKM tp aturan sm kayak Lockdown dan gak ada bantuan ke Rakyat.</t>
  </si>
  <si>
    <t>Sumpah sih org jahat bgt! Mana tau org mau bikin acara tau tau ada kebijakan PPKM darurat. Ini pun udah dicancel semua undangan dan jadinya cuma kasih nasi box doang..
 Ya Allah sedih bgt 😢
 Kalo engga suka coba ditegur dulu secara langsung biar orgnya kasih penjelasan</t>
  </si>
  <si>
    <t>Sumpah sih org jahat bgt! Mana tau org mau bikin acara tau tau ada kebijakan PPKM darurat. Ini pun udah dicancel semua undangan dan jadinya cuma kasih nasi box doang..Ya Allah sedih bgt Kalo engga suka coba ditegur dulu secara langsung biar orgnya kasih penjelasan</t>
  </si>
  <si>
    <t>@muhamad_faizz24 Sombong bener ini petugas PPKM. Coba adu nyali sama loreng paspampres</t>
  </si>
  <si>
    <t>Sombong bener ini petugas PPKM. Coba adu nyali sama loreng paspampres</t>
  </si>
  <si>
    <t>@AqseJuga @basulthanah_oet Iya Bi..
 Sedang terjadi PPKM
 Para Penzalim Ketimpa Malapetaka.</t>
  </si>
  <si>
    <t>Iya Bi..Sedang terjadi PPKMPara Penzalim Ketimpa Malapetaka.</t>
  </si>
  <si>
    <t>@alextham878 Justru @PDemokrat sedang menjerumuskan umat Islam, shg apabila PPKM ini banyak dilanggar oleh umat, maka akan banyak yg tertular covid 19. Itukah yg diharapkan oleh @PDemokrat ?</t>
  </si>
  <si>
    <t>Justru sedang menjerumuskan umat Islam, shg apabila PPKM ini banyak dilanggar oleh umat, maka akan banyak yg tertular covid . Itukah yg diharapkan oleh ?</t>
  </si>
  <si>
    <t>@msaid_didu Nih orang dungu komen lu ga ada kerjaan didu , mata lu picek rakyat pada menderita cari makan susah gara2 ppkm lo malah komen ga jelas udah ikut pasulan lo saja did klo ga turun bunuh diri itu jauh lebih baik ajak juga di rocky ya</t>
  </si>
  <si>
    <t>Nih orang dungu komen lu ga ada kerjaan didu , mata lu picek rakyat pada menderita cari makan susah gara2 ppkm lo malah komen ga jelas udah ikut pasulan lo saja did klo ga turun bunuh diri itu jauh lebih baik ajak juga di rocky ya</t>
  </si>
  <si>
    <t>Dengan dalih tipu-tipu PSBB dan PPKM, bukti kalau Rezim 62 tidak serius dalam upaya penyelamatan bangsa dari wabah Corona.
 #LengserkanPakLurah
 #LengserkanPakLurah</t>
  </si>
  <si>
    <t>Dengan dalih tipu-tipu PSBB dan PPKM, bukti kalau Rezim tidak serius dalam upaya penyelamatan bangsa dari wabah Corona.</t>
  </si>
  <si>
    <t>@muhamad_faizz24 ini ppkm sm rakyt psti tmbah sadis...
 kl bukn ppkm biasa pke soogook an ..
 mkan itu do it 
 msuk ny bgitu ----&amp;gt; kluar jg bgitu</t>
  </si>
  <si>
    <t>ini ppkm sm rakyt psti tmbah sadis...kl bukn ppkm biasa pke soogook an ..mkan itu do it msuk ny bgitu ----&amp;gt; kluar jg bgitu</t>
  </si>
  <si>
    <t>Sholat jum'at ditiadakan di pabrik selama PPKM Darurat. Kata teman, ada Corona diatas Tuhan 😬</t>
  </si>
  <si>
    <t>Sholat jum'at ditiadakan di pabrik selama PPKM Darurat. Kata teman, ada Corona diatas Tuhan</t>
  </si>
  <si>
    <t>Wih seoul bersiap buat ppkm juga</t>
  </si>
  <si>
    <t>harusnya hari ini balik ke site, berhubung kena imbas PPKM mari melanjutkan tidur kembali ✨</t>
  </si>
  <si>
    <t>harusnya hari ini balik ke site, berhubung kena imbas PPKM mari melanjutkan tidur kembali</t>
  </si>
  <si>
    <t>PPKM
 "Perbanyak dzikir, Perbanyak sedekah, Kuatkan imam dan Mengurangi maksiat"
 Darurattt</t>
  </si>
  <si>
    <t>PPKM"Perbanyak dzikir, Perbanyak sedekah, Kuatkan imam dan Mengurangi maksiat"Darurattt</t>
  </si>
  <si>
    <t>Para calon penumpang pesawat diwajibkan menunjukkan kartu bukti vaksin, minimal vaksinasi dosis pertama. Hal ini diberlakukan semenjak PPKM Darurat sampai waktu yang ditentukan kemudian</t>
  </si>
  <si>
    <t>@selimutanmetmet Kan belum PPKM, Den</t>
  </si>
  <si>
    <t>Kan belum PPKM, Den</t>
  </si>
  <si>
    <t>@detikcom baru aja paspampres, kemarin2 dokter disuruh pulang karena PPKM darurat 🤣😂</t>
  </si>
  <si>
    <t>baru aja paspampres, kemarin2 dokter disuruh pulang karena PPKM darurat</t>
  </si>
  <si>
    <t>Min @infojogja kalo mau masuk jogja saat ppkm syaratnya apa yaa
 Tolong dibantu yaa min</t>
  </si>
  <si>
    <t>Min kalo mau masuk jogja saat ppkm syaratnya apa yaaTolong dibantu yaa min</t>
  </si>
  <si>
    <t>Pemprov Jatim mengajak peran aktif masyarakat untuk turut serta mengawal proses PPKM Darurat yang sedang berlangsung</t>
  </si>
  <si>
    <t>@ruhutsitompul Kekamaan PPKM https://t.co/9lKgLZZ72e</t>
  </si>
  <si>
    <t>Kekamaan PPKM</t>
  </si>
  <si>
    <t>PPKM
 Pagi Pagi Ketemu Mantan
 Padahal Pengen Ketemu mbayu</t>
  </si>
  <si>
    <t>PPKMPagi Pagi Ketemu MantanPadahal Pengen Ketemu mbayu</t>
  </si>
  <si>
    <t>PPKM
 Pagi Pagi Kangen Mas nya
 jangan nanya mas yang mana.</t>
  </si>
  <si>
    <t>PPKMPagi Pagi Kangen Mas nyajangan nanya mas yang mana.</t>
  </si>
  <si>
    <t>Persoalan PPKM/semi lockdown ini dari dulu mmg polemik sih. Taruhannya kesehatan atau ekonomi. Urusan kesehatan taruhannya nyawa. Urusan ekonomi taruhannya perut dan stabilitas negara.</t>
  </si>
  <si>
    <t>Mewaspadai manuver politik pegawai KPK yang tidak lolos TWK. PPKM Basmi Covid https://t.co/mGuF8Juc6g</t>
  </si>
  <si>
    <t>Mewaspadai manuver politik pegawai KPK yang tidak lolos TWK. PPKM Basmi Covid</t>
  </si>
  <si>
    <t>Pemerintah Kota (Pemko) Padang Memastikan Bahwa Penerapan Pengetatan Pemberlakuan Pembatasan Kegiatan Masyarakat (PPKM) Mikro tanpa ada Penyekatan.
 Mulai diterapkan hari Kamis (8/7/2021) sampai Selasa (20/7/2021) atau Bertetapan dengan Hari Raya Iduladha.</t>
  </si>
  <si>
    <t>Pemerintah Kota (Pemko) Padang Memastikan Bahwa Penerapan Pengetatan Pemberlakuan Pembatasan Kegiatan Masyarakat (PPKM) Mikro tanpa ada Penyekatan.Mulai diterapkan hari Kamis (8/7/2021) sampai Selasa (20/7/2021) atau Bertetapan dengan Hari Raya Iduladha.</t>
  </si>
  <si>
    <t>@Cobeh09 PPKM = Pengen Pergi Ke Moskow.</t>
  </si>
  <si>
    <t>PPKM = Pengen Pergi Ke Moskow.</t>
  </si>
  <si>
    <t>@kkigoid selamat pagi min.. mau tanya kl ambil stsi langsung ke kantor bs kah? atau lg wfh krn ppkm? mohon info nya min.. terima kasih🙏🏻</t>
  </si>
  <si>
    <t>selamat pagi min.. mau tanya kl ambil stsi langsung ke kantor bs kah? atau lg wfh krn ppkm? mohon info nya min.. terima kasih</t>
  </si>
  <si>
    <t>lg ppkm gini bole naik ojol ga si?</t>
  </si>
  <si>
    <t>@Bagus_n_f_s Lagi ppkm bos ndak boleh ider dulu</t>
  </si>
  <si>
    <t>Lagi ppkm bos ndak boleh ider dulu</t>
  </si>
  <si>
    <t>@strwberriescgrt Masih PPKM, jadi tahan dulu ya na</t>
  </si>
  <si>
    <t>Masih PPKM, jadi tahan dulu ya na</t>
  </si>
  <si>
    <t>Sebuah kata kunci
 - ppkm
 - kudel
 - kangkung
 - Tut wuri handayani</t>
  </si>
  <si>
    <t>Sebuah kata kunci- ppkm- kudel- kangkung- Tut wuri handayani</t>
  </si>
  <si>
    <t>Lion Air Group Hentikan Penerbangan ke Papua, Alasannya karena PPKM dan Beberapa Kota Belum Bisa Melayani Tes PCR https://t.co/rSMpcNoFty</t>
  </si>
  <si>
    <t>Lion Air Group Hentikan Penerbangan ke Papua, Alasannya karena PPKM dan Beberapa Kota Belum Bisa Melayani TesPCR</t>
  </si>
  <si>
    <t>@fvckannisa Pelihara prempun ku manja (PPKM)😂</t>
  </si>
  <si>
    <t>Pelihara prempun ku manja (PPKM)</t>
  </si>
  <si>
    <t>@Dimasaw_co @Kayakuwek @Uki23 @aniesbaswedan @Metro_TV PPKM kebijakan dari mana???... itu aja jawab.. ntar bisa tau siapa yg lu bisa omelin..</t>
  </si>
  <si>
    <t>PPKM kebijakan dari mana???... itu aja jawab.. ntar bisa tau siapa yg lu bisa omelin..</t>
  </si>
  <si>
    <t>PPKM.
 Pernah pendekatan Kemudian Menghilang.
 #isoman</t>
  </si>
  <si>
    <t>PPKM.Pernah pendekatan Kemudian Menghilang.</t>
  </si>
  <si>
    <t>@SalmanAlFaruqi Wkwkwkwkwk sabar maann selesai PPKM mungkin</t>
  </si>
  <si>
    <t>Wkwkwkwkwk sabar maann selesai PPKM mungkin</t>
  </si>
  <si>
    <t>aku suka ppkm, tanpa pp.</t>
  </si>
  <si>
    <t>Tumben banget jodantae lama.. apa karena ppkm ya</t>
  </si>
  <si>
    <t>Pagi - pagi kangen muncak (PPKM) https://t.co/la158NY3wg</t>
  </si>
  <si>
    <t>Pagi - pagi kangen muncak (PPKM)</t>
  </si>
  <si>
    <t>@PaRW__ PPKM Pulang Pulang Kamu Marah😜</t>
  </si>
  <si>
    <t>PPKM Pulang Pulang Kamu Marah</t>
  </si>
  <si>
    <t>🥲 mudah-mudahan gak diperpanjang PPKM nya. Ga bisa ke palangka ini 🥲🥲🥲</t>
  </si>
  <si>
    <t>mudah-mudahan gak diperpanjang PPKM nya. Ga bisa ke palangka ini</t>
  </si>
  <si>
    <t>Bau bau PPKM jilid dua nihh 🙄🤔</t>
  </si>
  <si>
    <t>Bau bau PPKM jilid dua nihh</t>
  </si>
  <si>
    <t>@Bang_Garr Alhamdulillah dapat tunjangan PPKM dari @Bang_Garr semoga berkah di hari Jum'at penuh berkah....aamiin</t>
  </si>
  <si>
    <t>Alhamdulillah dapat tunjangan PPKM dari semoga berkah di hari Jum'at penuh berkah....aamiin</t>
  </si>
  <si>
    <t>PPKM
 Paling Penting Kamu Mingkem</t>
  </si>
  <si>
    <t>PPKMPaling Penting Kamu Mingkem</t>
  </si>
  <si>
    <t>Lagi PPKM banyak yg bentrok, siapa nih yg nyuruh?</t>
  </si>
  <si>
    <t>Kalau untuk rakyat mah, "Prokes prokeeeees, PPKM brrroooo". https://t.co/TP4Kxc60IN</t>
  </si>
  <si>
    <t>Kalau untuk rakyat mah, "Prokes prokeeeees, PPKM brrroooo".</t>
  </si>
  <si>
    <t>@CNNIndonesia Wah asik banget dong ini. 
 Berarti aturan PPKM darurat ini gak berlaku buat orang2 yg udah divaksin yaaa 😘😘😘</t>
  </si>
  <si>
    <t>Wah asik banget dong ini. Berarti aturan PPKM darurat ini gak berlaku buat orang2 yg udah divaksin yaaa</t>
  </si>
  <si>
    <t>2 trending topik lucu, mba najwa yang diserang buzzerp sama polisi yang tugas ppkm ngehadang paspampres, lucu bangat kelakuan warga negara togo😂</t>
  </si>
  <si>
    <t>trending topik lucu, mba najwa yang diserang buzzerp sama polisi yang tugas ppkm ngehadang paspampres, lucu bangat kelakuan warga negara togo</t>
  </si>
  <si>
    <t>@fadjroeL UU Ga ada nomenklatur PPKM</t>
  </si>
  <si>
    <t>UU Ga ada nomenklatur PPKM</t>
  </si>
  <si>
    <t>@Jamrus77669073 @KompasTV Maaf saya tau kog protap PPKM DARURAT. Begini. Pemerintah sudah mengeluarkan aturan siapa yang berhak melakukan kegiatan di masa PPKM DARURAT tapi dengan adanya ketentuan syarat. Kita tidak berada di tempat tapi apakah kedua pihak sudah sama2 mengikuti ketentuan pemerintah</t>
  </si>
  <si>
    <t>Maaf saya tau kog protap PPKM DARURAT. Begini. Pemerintah sudah mengeluarkan aturan siapa yang berhak melakukan kegiatan di masa PPKM DARURAT tapi dengan adanya ketentuan syarat. Kita tidak berada di tempat tapi apakah kedua pihak sudah sama2 mengikuti ketentuan pemerintah</t>
  </si>
  <si>
    <t>Sekaligus menindaklanjuti arahan Ibu Gubernur di Rakor Evaluasi PPKM darurat, Pemprov memastikan telah berjalannya vaksinasi di Bandara Juanda dengan hadir dan memantau langsung ke lokasi</t>
  </si>
  <si>
    <t>Pemerintah meresmikan PPKM Darurat dan berimbas kepada kebijakan ada atau tidaknya kegiatan publik. Salah satu kebijakannya adalah menutup beberapa sarana publik dan sektor pekerjaan, termasuk penutupan rumah ibadah. https://t.co/DGb0wHUKQ3</t>
  </si>
  <si>
    <t>Pemerintah meresmikan PPKM Darurat dan berimbas kepada kebijakan ada atau tidaknya kegiatan publik. Salah satu kebijakannya adalah menutup beberapa sarana publik dan sektor pekerjaan, termasuk penutupan rumah ibadah.</t>
  </si>
  <si>
    <t>@Lheea13 PPKM berlaku di Jawa dan Bali aje mpok</t>
  </si>
  <si>
    <t>PPKM berlaku di Jawa dan Bali aje mpok</t>
  </si>
  <si>
    <t>@Aloephera5 Baca dengan seksama aturan PPKM darurat. Sektor esensial mmg boleh ttp beroperasi dgn penerapan 50% WFO setengahnya lg WFH. Paham sampe disini?</t>
  </si>
  <si>
    <t>Baca dengan seksama aturan PPKM darurat. Sektor esensial mmg boleh ttp beroperasi dgn penerapan % WFO setengahnya lg WFH. Paham sampe disini?</t>
  </si>
  <si>
    <t>@Bang_Garr Alhamdulillah dapat tunjangan PPKM dari lapak @Bang_Garr semoga berkah.... aamiin ya rabbal'alamin</t>
  </si>
  <si>
    <t>Alhamdulillah dapat tunjangan PPKM dari lapak semoga berkah.... aamiin ya rabbal'alamin</t>
  </si>
  <si>
    <t>Mudah2 an kita selali diparingi Kesehatan. 
 Dan yg sakit segera disembuhkan 
 Tetap doa dari rumah, meski berat dlm situasi PPKM Darurat ini.
 Allah Maha Pengasih dan Pemurah.
 #PrayFromHome
 Selamat pagi.</t>
  </si>
  <si>
    <t>Mudah2 an kita selali diparingi Kesehatan. Dan yg sakit segera disembuhkan Tetap doa dari rumah, meski berat dlm situasi PPKM Darurat ini.Allah Maha Pengasih dan Pemurah. pagi.</t>
  </si>
  <si>
    <t>PPKM darurat sudah tepat cegah penyebaran covid. PPKM Basmi Covid https://t.co/K73QTQQ1Jk</t>
  </si>
  <si>
    <t>PPKM darurat sudah tepat cegah penyebaran covid. PPKM Basmi Covid</t>
  </si>
  <si>
    <t>Kebijakan Presiden @jokowi Terkait PPKM Darurat sangat tepat karena sudah pasti dipertimbangkan dari berbagai aspek. Kita Optimis, Pandemi Covid-19 segera sirna dari bumi nusantara. Tuhan YME memberkati bangsa Indonesia. Aamin3 🙏 https://t.co/OPTmGWS4Qq</t>
  </si>
  <si>
    <t>Kebijakan Presiden Terkait PPKM Darurat sangat tepat karena sudah pasti dipertimbangkan dari berbagai aspek. Kita Optimis, Pandemi Covid-19 segera sirna dari bumi nusantara. Tuhan YME memberkati bangsa Indonesia. Aamin3</t>
  </si>
  <si>
    <t>Ppkm masih lama tapi aku sabar. Demi kebaikan kita semua 😭</t>
  </si>
  <si>
    <t>Ppkm masih lama tapi aku sabar. Demi kebaikan kita semua</t>
  </si>
  <si>
    <t>Hmm..
 Makin kesini, makin syuram pelaksanaan PPKM Darurat.
 Petugas arogannya bak pahlawan.
 Semalam di Pringlangu-Pekalongan.
 =Rame di stautus dan WAG=
 __
 Lihat si emak, dan bocah yang nangis ketakutan. Duh!
 Ngasih bantuan ndak, bisanya ngobrak-ngabrik lapak.
 Dustenan! https://t.co/IDZPuLssTH</t>
  </si>
  <si>
    <t>Hmm..Makin kesini, makin syuram pelaksanaan PPKM Darurat.Petugas arogannya bak pahlawan.Semalam di Pringlangu-Pekalongan.=Rame di stautus dan WAG=__Lihat si emak, dan bocah yang nangis ketakutan. Duh!Ngasih bantuan ndak, bisanya ngobrak-ngabrik lapak.Dustenan!</t>
  </si>
  <si>
    <t>@SabdoPa27295009 @KakekHalal 👳‍♂️pagi
 👩pagi pak
 👳‍♂️kt semua hrs kerjasama
  hrs kolaborasi dlm ppkm ini
  km tau kan arti kolaborasi ?
 👩ia tau pak
  artinya minta sumbangan 😀👎🏿</t>
  </si>
  <si>
    <t>pagipagi pakkt semua hrs kerjasama hrs kolaborasi dlm ppkm ini km tau kan arti kolaborasi ?ia tau pak artinya minta sumbangan</t>
  </si>
  <si>
    <t>Setelah PPKM nanti ada yang namanya PPKN setelah itu PAI, PENJAS, MTK, IPS, IPA dan masih banyak lagi yang lainnya 😅</t>
  </si>
  <si>
    <t>Setelah PPKM nanti ada yang namanya PPKN setelah itu PAI, PENJAS, MTK, IPS, IPA dan masih banyak lagi yang lainnya</t>
  </si>
  <si>
    <t>@mx00711 @bwarmed Yang menerapkan kebijakan melarang mudik bukanya covid menurun malak melonjak PPKM ujungnya promote mewajibkan rakyat vaksin tenang saja Pasti Mei menurun .. https://t.co/qYOxMhxJow</t>
  </si>
  <si>
    <t>Yang menerapkan kebijakan melarang mudik bukanya covid menurun malak melonjak PPKM ujungnya promote mewajibkan rakyat vaksin tenang saja Pasti Mei menurun ..</t>
  </si>
  <si>
    <t>@SartonoHutomo Betul Pak.
 Dan sekarang sdh mulai terjadi ppkm.
 Para Pembuzzerp Kena Musibah .
 Entah Musibah entah Malapetaka</t>
  </si>
  <si>
    <t>Betul Pak.Dan sekarang sdh mulai terjadi ppkm.Para Pembuzzerp Kena Musibah .Entah Musibah entah Malapetaka</t>
  </si>
  <si>
    <t>PPKM - Pagi Pagi Kok MengSedih
 #PPKM</t>
  </si>
  <si>
    <t>PPKM - Pagi Pagi Kok MengSedih</t>
  </si>
  <si>
    <t>Pngn ke Jogja, ppkm ajg</t>
  </si>
  <si>
    <t>@FKadrun Sudah kebiasaan perlakuan kasar para pol , apalagi terhadap rakyat biasa... 
 Seharusnya selagi PPKM ini harus lbh bijak dimana rakyat byk yg lagi kesusahan dan kepanikan krn pandemi ini.</t>
  </si>
  <si>
    <t>Sudah kebiasaan perlakuan kasar para pol , apalagi terhadap rakyat biasa... Seharusnya selagi PPKM ini harus lbh bijak dimana rakyat byk yg lagi kesusahan dan kepanikan krn pandemi ini.</t>
  </si>
  <si>
    <t>@MNCPlayID jangan berdalih ppkm darurat internet mnc jadi lemot di dinoyo malang
 Bayar gak pernah telat lho</t>
  </si>
  <si>
    <t>jangan berdalih ppkm darurat internet mnc jadi lemot di dinoyo malangBayar gak pernah telat lho</t>
  </si>
  <si>
    <t>@jokowi Alhamdulillah di kota saya aman lancar terkendali PPKM nya Bpk @jokowi. Kita semua kompak untuk patuhi protokol, meski lecil sekli yg masih ngotot. Tp semua lancar termasuk vaksin untl ank usia 12-17th yg dri Rabu 7 Juli kmrin sdh berjln.
 Salam sehat Bpk @jokowi 🙏🙏🙏❤🇮🇩</t>
  </si>
  <si>
    <t>Alhamdulillah di kota saya aman lancar terkendali PPKM nya Bpk . Kita semua kompak untuk patuhi protokol, meski lecil sekli yg masih ngotot. Tp semua lancar termasuk vaksin untl ank usia $NUMBER$th yg dri Rabu Juli kmrin sdh berjln.Salam sehat Bpk</t>
  </si>
  <si>
    <t>PPKM
 Pengen peluk kamu mbak
 Pernah peduli kemudian minggat</t>
  </si>
  <si>
    <t>PPKMPengen peluk kamu mbakPernah peduli kemudian minggat</t>
  </si>
  <si>
    <t>@jek___ @FiersaBesari Lagi PPKM, toko aja pada ditutup apalagi sleting.</t>
  </si>
  <si>
    <t>Lagi PPKM, toko aja pada ditutup apalagi sleting.</t>
  </si>
  <si>
    <t>Sedih denger cerita temen kantornya ditutup karna ppkm dan ga digaji :(</t>
  </si>
  <si>
    <t>Sedih denger cerita temen kantornya ditutup karna ppkm dan ga digaji</t>
  </si>
  <si>
    <t>@alvianwiratejaa Ppkm tapi :(</t>
  </si>
  <si>
    <t>Ppkm tapi</t>
  </si>
  <si>
    <t>Kepikiran di korea paham PPKM gaksih</t>
  </si>
  <si>
    <t>agak sayang sih tryt beberapa oknum aparat ga ngerti kebijakan PPKM juga jadi asal tutup tempat usaha aja</t>
  </si>
  <si>
    <t>Ppkm gini bb jd naik lagi…</t>
  </si>
  <si>
    <t>Ppkm gini bb jd naik lagi</t>
  </si>
  <si>
    <t>@geloraco Hmmm...kayak ada yg s4b0t4s3..efek krn sakit hati bos mata sipit kena tegur pak Gub perihal PPKM...ini perkiraan looh🤭🤭</t>
  </si>
  <si>
    <t>Hmmm...kayak ada yg s4b0t4s3..efek krn sakit hati bos mata sipit kena tegur pak Gub perihal PPKM...ini perkiraan looh</t>
  </si>
  <si>
    <t>@BiLLRaY2019 Setau gw, ada sanksi bagi kepala daerah yg menolak penerapan PPKM diwilayahnya..</t>
  </si>
  <si>
    <t>Setau gw, ada sanksi bagi kepala daerah yg menolak penerapan PPKM diwilayahnya..</t>
  </si>
  <si>
    <t>@LunaMaya26 adanya ppkm saya jadi stay home saja, pengennya sih stay at home sama mbak Luna maya pasti asyik deh....</t>
  </si>
  <si>
    <t>adanya ppkm saya jadi stay home saja, pengennya sih stay at home sama mbak Luna maya pasti asyik deh....</t>
  </si>
  <si>
    <t>@erasedpoem wah bakalan seru ada temen gym cwk nih nanti sehabis ppkm 😁</t>
  </si>
  <si>
    <t>wah bakalan seru ada temen gym cwk nih nanti sehabis ppkm</t>
  </si>
  <si>
    <t>PPKM
 Pelan Pelan Kita Mencintai
 Pelan Pelan Kita Menyayangi
 Hadeuh...
 Buruan beli nasi uduk, keburu keabisan loooh 🤭🤭🙏🙏 https://t.co/LcxOu0cDp4</t>
  </si>
  <si>
    <t>PPKMPelan Pelan Kita MencintaiPelan Pelan Kita MenyayangiHadeuh...Buruan beli nasi uduk, keburu keabisan loooh</t>
  </si>
  <si>
    <t>@geloraco Ini akibat kebijakan pusat yang tidak jelas ditambah tindakan aparat yang arogan rakyat jadi korban. Harusnya mau lockdown, mau PPKM darurat namanya kalau rakyat ngga boleh keluar untuk beraktifitas, pemerintah harus jamin.. rakyat dikasih makan dan kebutuhan lainnya</t>
  </si>
  <si>
    <t>Ini akibat kebijakan pusat yang tidak jelas ditambah tindakan aparat yang arogan rakyat jadi korban. Harusnya mau lockdown, mau PPKM darurat namanya kalau rakyat ngga boleh keluar untuk beraktifitas, pemerintah harus jamin.. rakyat dikasih makan dan kebutuhan lainnya</t>
  </si>
  <si>
    <t>Di masa PPKM ini, 
 perbanyak doa &amp;amp; sholawat..
 "Allahumma innii a'uudzu bika minal baroshi wal junuuni wal judzaami wa min sayyi-il asqoom".
  "Ya Allah, aku berlindung kepada-Mu dari penyakit kulit, gila, lepra, dan penyakit lain yang mengerikan,” (HR. Abu Daud).
 Aamiin ☕💞</t>
  </si>
  <si>
    <t>Di masa PPKM ini, perbanyak doa &amp;amp; sholawat.."Allahumma innii a'uudzu bika minal baroshi wal junuuni wal judzaami wa min sayyi-il asqoom". "Ya Allah, aku berlindung kepada-Mu dari penyakit kulit, gila, lepra, dan penyakit lain yang mengerikan, (HR. Abu Daud).Aamiin</t>
  </si>
  <si>
    <t>Ya kalo ga mau ada yg jualan selama ppkm, sejahterakan rakyat dengan semestinya dong bapak ibu terhormat. Ini jualan ga boleh, dana bantuan di korupsi. Dikira bertahan hidup bisa cuma dengan diem meratapi nasib doang? Kesel banget🙃🙃🙃 https://t.co/HHEj5hNndn</t>
  </si>
  <si>
    <t>Ya kalo ga mau ada yg jualan selama ppkm, sejahterakan rakyat dengan semestinya dong bapak ibu terhormat. Ini jualan ga boleh, dana bantuan di korupsi. Dikira bertahan hidup bisa cuma dengan diem meratapi nasib doang? Kesel banget</t>
  </si>
  <si>
    <t>@hazeelnathh @FWBESS Eh hazelnut latte anget 1 ya.. Bungkus aja, PPKM. Ngobrolnya di dalem aja... 😅😅</t>
  </si>
  <si>
    <t>Eh hazelnut latte anget ya.. Bungkus aja, PPKM. Ngobrolnya di dalem aja...</t>
  </si>
  <si>
    <t>beres ppkm hrus ngumpulin hard copy dan buku perpus biar ga lupa😭</t>
  </si>
  <si>
    <t>beres ppkm hrus ngumpulin hard copy dan buku perpus biar ga lupa</t>
  </si>
  <si>
    <t>Saat PPKM Mau keluar takut didenda kaya tukang bubur… g keluar g makan… piye.. Ttoh. #LockdownJokowi</t>
  </si>
  <si>
    <t>Saat PPKM Mau keluar takut didenda kaya tukang bubur g keluar g makan piye.. Ttoh.</t>
  </si>
  <si>
    <t>@murniyoungest Aplikasinya sangat bermanfaat ya ketika kondisi PPKM seperti saat ini bisa mengakses</t>
  </si>
  <si>
    <t>Aplikasinya sangat bermanfaat ya ketika kondisi PPKM seperti saat ini bisa mengakses</t>
  </si>
  <si>
    <t>@hipohan Melihat duit bansos aja diembat, maka lockdown jauh lbh berbahaya dibanding ppkm.</t>
  </si>
  <si>
    <t>Melihat duit bansos aja diembat, maka lockdown jauh lbh berbahaya dibanding ppkm.</t>
  </si>
  <si>
    <t>@detikcom Semoga menjadi pembelajaran bagi @ridwankamil @Poldajabar @kodam3siliwangi menjelaskan PPKM dengan jelas ke aparat dilapangan agar dalam menjalankan aturan juga memiliki diskresi untuk pembawa orang sakit; Tidak taqliq buta;
 cc @fadjroeL @satgascovid19id</t>
  </si>
  <si>
    <t>Semoga menjadi pembelajaran bagi menjelaskan PPKM dengan jelas ke aparat dilapangan agar dalam menjalankan aturan juga memiliki diskresi untuk pembawa orang sakit; Tidak taqliq buta;cc</t>
  </si>
  <si>
    <t>@RiskaNgilan Alhamdulillah aplikasi tsb jadi solusi ketika kondisi PPKM seperti saat ini kita sangat diuntungkan bisa akses melalui aplikasi saja ya, Mba</t>
  </si>
  <si>
    <t>Alhamdulillah aplikasi tsb jadi solusi ketika kondisi PPKM seperti saat ini kita sangat diuntungkan bisa akses melalui aplikasi saja ya, Mba</t>
  </si>
  <si>
    <t>Mau parpol, individual, TNI, Polri, pengusaha, buruh, IRT kalau mendukung percepatan vaksinasi massal dan kampanye prokes serta PPKM ya saya dukung100%</t>
  </si>
  <si>
    <t>@adiipratama15 @akimi55 ppkm blay sekarang namanye</t>
  </si>
  <si>
    <t>ppkm blay sekarang namanye</t>
  </si>
  <si>
    <t>@e100ss Ya kayak peluang macet akibat PPKM, kan pengendara ya menciptakan dgn petugas. SS kan hanya jd penonton ??</t>
  </si>
  <si>
    <t>Ya kayak peluang macet akibat PPKM, kan pengendara ya menciptakan dgn petugas. SS kan hanya jd penonton ??</t>
  </si>
  <si>
    <t>Ppkm menyiksa pasangan ldr</t>
  </si>
  <si>
    <t>PPKM nambahin PR baru , berangkat kerja lewat manaaah yah ..</t>
  </si>
  <si>
    <t>PPKM ITU PEMBATASAN APA PENUTUPAN SIH????? KONTOL KAKA GUA YG MAU KERJA JADI GABISA SEMUA AKSES DITUTUP. BANDARA TUTUP AJG JGN CUMA JALAN KECILNYA DOANG YG DITUTUP. NGEHE LAH MASIH PAGI</t>
  </si>
  <si>
    <t>Alhamdulillah, aplikasi mobile JKN menjadi solusi di tengah PPKM darurat ini. Perlu bantuan dokter atau yang lainnya bisa lewat online bahkan bayar iuran BPJS Kesehatan pun bisa
 https://t.co/iUE2VW1bC6
 #BPJSKesehatan
 #BPJSMelayani #GotongRoyongSemuaTertolong #JKNHadirUntukRakyat https://t.co/zuBwVX8d43</t>
  </si>
  <si>
    <t>Alhamdulillah, aplikasi mobile JKN menjadi solusi di tengah PPKM darurat ini. Perlu bantuan dokter atau yang lainnya bisa lewat online bahkan bayar iuran BPJS Kesehatan pun bisa</t>
  </si>
  <si>
    <t>@jokowi Tolong Pak tutup seluruh pintu masuk ke Indonesia dari luar negeri baik darat laut dan udara. Varian virus C19 banyak berasal dari penerbangan luar negeri. Jika PPKM diberlakukan maka penerbangan luar negeri juga dihentikan tanpa kecuali.</t>
  </si>
  <si>
    <t>Tolong Pak tutup seluruh pintu masuk ke Indonesia dari luar negeri baik darat laut dan udara. Varian virus C19 banyak berasal dari penerbangan luar negeri. Jika PPKM diberlakukan maka penerbangan luar negeri juga dihentikan tanpa kecuali.</t>
  </si>
  <si>
    <t>Ppkm jawa bali. Yaudah gue kan orang sunda😋</t>
  </si>
  <si>
    <t>Ppkm jawa bali. Yaudah gue kan orang sunda</t>
  </si>
  <si>
    <t>tapi emg pandemi 2021 ini tuh bkin stress bgt, udh kerja kaya romusha, pas pulang selalu dger berita org meninggal, blom lg dijalan ambulance lalu lalang sirine bunyi semua😭, trus PPKM surabaya sidoarjo macet macetan😭</t>
  </si>
  <si>
    <t>tapi emg pandemi ini tuh bkin stress bgt, udh kerja kaya romusha, pas pulang selalu dger berita org meninggal, blom lg dijalan ambulance lalu lalang sirine bunyi semua, trus PPKM surabaya sidoarjo macet macetan</t>
  </si>
  <si>
    <t>Tp masih ppkm hmmm</t>
  </si>
  <si>
    <t>@OneRoyal86 Sm2 menjalankan tugas.untuk semua petugas ppkm dan paspampres.tetap semangat ya</t>
  </si>
  <si>
    <t>Sm2 menjalankan tugas.untuk semua petugas ppkm dan paspampres.tetap semangat ya</t>
  </si>
  <si>
    <t>PPKM (Pernah Percaya Kemudian Menyesal)</t>
  </si>
  <si>
    <t>@Djoked2 @MardaniAliSera Umat Islam harus PPKM = Perbanyak Pergi Ke Masjid dengan protokol Kesehatan 6M Mendekat kepada yang Mengizinkan Covid19 varian Delta Mewabah di Indonesia.</t>
  </si>
  <si>
    <t>Umat Islam harus PPKM = Perbanyak Pergi Ke Masjid dengan protokol Kesehatan M Mendekat kepada yang Mengizinkan Covid19 varian Delta Mewabah di Indonesia.</t>
  </si>
  <si>
    <t>Day-7 PPKM :
 Mimpi dia lagi main kerumah :)</t>
  </si>
  <si>
    <t>Day-7 PPKM :Mimpi dia lagi main kerumah</t>
  </si>
  <si>
    <t>Enak juga sepedaan waktu PPKM, lampu jalan mati, creepy² gimana gitu. 😅</t>
  </si>
  <si>
    <t>Enak juga sepedaan waktu PPKM, lampu jalan mati, creepy gimana gitu.</t>
  </si>
  <si>
    <t>@sdhadayangpakai PPKM nih banyak penyekatan</t>
  </si>
  <si>
    <t>PPKM nih banyak penyekatan</t>
  </si>
  <si>
    <t>Sprt yg sudah2, dimana barbuk narkoba &amp;amp; barang berharga lainnya ternyata byk yg dijual lagi oleh menyitanya. Lha uang denda &amp;amp; barang sitaan para pelanggar PPKM yg hanya dikenakan pada rakyat kecil misal Tukang Bubur &amp;amp; Warung Klontong, siapa yg jamin tidak disalah-gunakan petugas?</t>
  </si>
  <si>
    <t>Mampu???? 
 Rakyat banyak yg meninggal akibat covid, banyak yg termiskinkan akibat ppkm dan banyak yg dianiaya akibat program pemerintah... 
 Betul2 gak nyampe otakmu kangmas!!! 
 #TheKingOfLipService 
 #generasipenerusbangsat https://t.co/kywDwNYgnI</t>
  </si>
  <si>
    <t>Mampu???? Rakyat banyak yg meninggal akibat covid, banyak yg termiskinkan akibat ppkm dan banyak yg dianiaya akibat program pemerintah... Betul2 gak nyampe otakmu kangmas!!!</t>
  </si>
  <si>
    <t>@henrysubiakto EHHH SEKALI LG YA GW KASIH TAU... LO ITU KERJA DIGAJI OLEH UANG RAKYAT TAPI KERJAAN LO CUMA NGETWEET MOJOKIN RAKYAT ... LO PAKE AKAL PIKIRAN SBG MANUSIA SAMPAI SAAT INI AJA PPKM DARURAT RAKYAT SDH KAYAK TAHANAN, TAPI TKA CHINA MASUK BEGITU JUGA DULU ORANG2 INDIA MASUK BAWA DELTA.</t>
  </si>
  <si>
    <t>EHHH SEKALI LG YA GW KASIH TAU... LO ITU KERJA DIGAJI OLEH UANG RAKYAT TAPI KERJAAN LO CUMA NGETWEET MOJOKIN RAKYAT ... LO PAKE AKAL PIKIRAN SBG MANUSIA SAMPAI SAAT INI AJA PPKM DARURAT RAKYAT SDH KAYAK TAHANAN, TAPI TKA CHINA MASUK BEGITU JUGA DULU ORANG2 INDIA MASUK BAWA DELTA.</t>
  </si>
  <si>
    <t>Lurah tidak ditahan meski jadi tersangka pelanggaran PPKM, karena faktanya ancaman hukuman cuma 1 tahun penjara. 
 Beda perlakuan sama ulama H, yg kasusnya dipolitisasi 
 https://t.co/MDNm2gydMU</t>
  </si>
  <si>
    <t>Lurah tidak ditahan meski jadi tersangka pelanggaran PPKM, karena faktanya ancaman hukuman cuma tahun penjara. Beda perlakuan sama ulama H, yg kasusnya dipolitisasi</t>
  </si>
  <si>
    <t>@ArifLaksonoU Lagi otw, nyubuh Menghindari ppkm karena perjalanan antar kota wkwk https://t.co/cQ8Sr5JWu9</t>
  </si>
  <si>
    <t>Lagi otw, nyubuh Menghindari ppkm karena perjalanan antar kota wkwk</t>
  </si>
  <si>
    <t>@agungpindang @tifsembiring Narasi seperti ini hrs terus disuarakan, Krn pmerintah hrs bljar dr pengalaman. Eh ini diulangi lg, saat PPKM darurat, WNA Chino berbondong2 masuk Indonesia...hmmmm</t>
  </si>
  <si>
    <t>Narasi seperti ini hrs terus disuarakan, Krn pmerintah hrs bljar dr pengalaman. Eh ini diulangi lg, saat PPKM darurat, WNA Chino berbondong2 masuk Indonesia...hmmmm</t>
  </si>
  <si>
    <t>@hidahidaan @panca66 gw juga penasaran apakah PD sudah mengomentari mengenai Bansos untuk Rakyat?
 ini Sudah 6 hari PPKM darurat, Dana/paket Bansos untuk rakyat sudah disebar belum?</t>
  </si>
  <si>
    <t>gw juga penasaran apakah PD sudah mengomentari mengenai Bansos untuk Rakyat?ini Sudah hari PPKM darurat, Dana/paket Bansos untuk rakyat sudah disebar belum?</t>
  </si>
  <si>
    <t>@RieGucciano Yg satu di masa ppkm darurat yg satu lagi ?</t>
  </si>
  <si>
    <t>Yg satu di masa ppkm darurat yg satu lagi ?</t>
  </si>
  <si>
    <t>@kumahaatukh Ooh pantesan. Tapi pas ga ppkm aku juga gabisa wkwkwk</t>
  </si>
  <si>
    <t>Ooh pantesan. Tapi pas ga ppkm aku juga gabisa wkwkwk</t>
  </si>
  <si>
    <t>Ppkm selesainya masi lama bgt ya anj</t>
  </si>
  <si>
    <t>@zoelfick Terkait ini, aku denger di kompas tipi si oknum kurang memahami pertauran PPKM. Lucu gak sih😂😂😂 kek anak esde aja LoLa(loading lama)</t>
  </si>
  <si>
    <t>Terkait ini, aku denger di kompas tipi si oknum kurang memahami pertauran PPKM. Lucu gak sih kek anak esde aja LoLa(loading lama)</t>
  </si>
  <si>
    <t>Khofifah berpesan, agar smua pihak benar-benar disiplin menjalankan aturan-aturan yg berlaku pada pelaksanaan PPKM Darurat. beliau bharap pihak-pihak terkait mampu ngasih sosialisasi yg baik kepda masyaralkat</t>
  </si>
  <si>
    <t>PPKM darurat di perpanjang?</t>
  </si>
  <si>
    <t>@tubirfess Sama si, gue kerja di lapangan. Yang harus siap di dalam kota, luar kota, bahkan luar kota pun sekalian. Apalagi sekarang ada ppkm ini, bahkan sebelum ppkm ini gue udah coba daftar di kantor buat ikut vaksin. Tapi ternyata wacana doang, dan akhirnya skg gue positif deh dan isoman</t>
  </si>
  <si>
    <t>Sama si, gue kerja di lapangan. Yang harus siap di dalam kota, luar kota, bahkan luar kota pun sekalian. Apalagi sekarang ada ppkm ini, bahkan sebelum ppkm ini gue udah coba daftar di kantor buat ikut vaksin. Tapi ternyata wacana doang, dan akhirnya skg gue positif deh dan isoman</t>
  </si>
  <si>
    <t>Ppkm sampe kapan ya?</t>
  </si>
  <si>
    <t>@zarazettirazr @AwalilRizky Cara menjawab Lord ini waktu konfrensi pers ppkm darurat... geleng2 kepala</t>
  </si>
  <si>
    <t>Cara menjawab Lord ini waktu konfrensi pers ppkm darurat... geleng2 kepala</t>
  </si>
  <si>
    <t>@KompasTV Mereka gak paham ppkm ya</t>
  </si>
  <si>
    <t>Mereka gak paham ppkm ya</t>
  </si>
  <si>
    <t>PPKM - Patuhi Prokes Kenakan Masker. 
 https://t.co/lbfWWIMW7j</t>
  </si>
  <si>
    <t>PPKM - Patuhi Prokes Kenakan Masker.</t>
  </si>
  <si>
    <t>PPKM: Pasrah Pada Kehendak-Mu 🤲🏾</t>
  </si>
  <si>
    <t>PPKM: Pasrah Pada Kehendak-Mu</t>
  </si>
  <si>
    <t>Kalu kg bisa nyukupin ke utuhan Rakyat nyang kena PPKM
 mendingan bareng²
 #LengserkanPakLurah
 #LengserkanPakLurah https://t.co/WbmOKQUmOV</t>
  </si>
  <si>
    <t>Kalu kg bisa nyukupin ke utuhan Rakyat nyang kena PPKMmendingan bareng</t>
  </si>
  <si>
    <t>ssuai Instruksi Mendagri No 15 taun 2021 ttng PPKM Darurat beberapa sektor khususnya yg termasuk kategori non essensial memang dibatasi untuk dapet memutus rantai penyebaran Covid - 19 yg ketika ini keadaannya sudah darurat</t>
  </si>
  <si>
    <t>ssuai Instruksi Mendagri No taun ttng PPKM Darurat beberapa sektor khususnya yg termasuk kategori non essensial memang dibatasi untuk dapet memutus rantai penyebaran Covid - yg ketika ini keadaannya sudah darurat</t>
  </si>
  <si>
    <t>@_inasraihan Cocok bgt nih. Kumpulan kuot2 ppkm</t>
  </si>
  <si>
    <t>Cocok bgt nih. Kumpulan kuot2 ppkm</t>
  </si>
  <si>
    <t>@terbbenam Setelah ppkm berakhir 🙌huaaa mo me time lagi</t>
  </si>
  <si>
    <t>Setelah ppkm berakhir huaaa mo me time lagi</t>
  </si>
  <si>
    <t>Sombong dan arogan... Kenapa..?? Karena mereka punya teman2 dan senjata...
 Ayo.. Ke Papua pak.. Disana adu senjata... Tunjukkan kemampuanmu disana...
 Diperiksa petugas PPKM banyak alasan.. 
 https://t.co/jCdeH6fe1V</t>
  </si>
  <si>
    <t>Sombong dan arogan... Kenapa..?? Karena mereka punya teman2 dan senjata...Ayo.. Ke Papua pak.. Disana adu senjata... Tunjukkan kemampuanmu disana...Diperiksa petugas PPKM banyak alasan..</t>
  </si>
  <si>
    <t>@fordumpling ad yg per member ada yangg ot13 sob. duhh mw jual diri tapi lg ppkm nangis ajaa dah liat harga dicon 😭😭😭</t>
  </si>
  <si>
    <t>ad yg per member ada yangg ot13 sob. duhh mw jual diri tapi lg ppkm nangis ajaa dah liat harga dicon</t>
  </si>
  <si>
    <t>@zoelfick Salut pade kedua belah pihak 
 Pihak petugas PPKM memang saat enih harus keras dan PASPAMPRES entuh memang harus maklum dan sabar</t>
  </si>
  <si>
    <t>Salut pade kedua belah pihak Pihak petugas PPKM memang saat enih harus keras dan PASPAMPRES entuh memang harus maklum dan sabar</t>
  </si>
  <si>
    <t>@DennyYap1 @kyungxingdae @goodboyraff @izaal__e @makmummasjid Coba dibalik cara pandangnya, makanan dibungkus dan makan di rumah itu adalah kenikmatan, karena aman dan tidak banyak potensi tertular, dan terpaksa makan di luar karena sedang kerja itu keterpaksaan. Yg bekerja UNTUK PPKM mungkin banyak, dokter, nakes, polisi, petugas lain...</t>
  </si>
  <si>
    <t>Coba dibalik cara pandangnya, makanan dibungkus dan makan di rumah itu adalah kenikmatan, karena aman dan tidak banyak potensi tertular, dan terpaksa makan di luar karena sedang kerja itu keterpaksaan. Yg bekerja UNTUK PPKM mungkin banyak, dokter, nakes, polisi, petugas lain...</t>
  </si>
  <si>
    <t>@CNNIndonesia Lah kalo gt buka PPKM, rakyat kan juga sudah divaksin.</t>
  </si>
  <si>
    <t>Lah kalo gt buka PPKM, rakyat kan juga sudah divaksin.</t>
  </si>
  <si>
    <t>@iye_bos @Uki23 @aniesbaswedan @Metro_TV Nah ini betul kebetulan saya warga Cengkareng. PPKM hanya berjalan di wilayah tertentu. Harusnya Bapak-Bapak yang terhormat itu turun juga ke daerah-daerah pinggiran. Untuk melihat langsung apakah sistemnya berjalan atau tidak.</t>
  </si>
  <si>
    <t>Nah ini betul kebetulan saya warga Cengkareng. PPKM hanya berjalan di wilayah tertentu. Harusnya Bapak-Bapak yang terhormat itu turun juga ke daerah-daerah pinggiran. Untuk melihat langsung apakah sistemnya berjalan atau tidak.</t>
  </si>
  <si>
    <t>Rakyat menantikan Keberlanjutan Otonomi Khusus Papua.
 Yuk Disiplin PPKM https://t.co/nO9p7wGdlW</t>
  </si>
  <si>
    <t>Rakyat menantikan Keberlanjutan Otonomi Khusus Papua.Yuk Disiplin PPKM</t>
  </si>
  <si>
    <t>Ppkm meresahkan https://t.co/rMVQWUQkoL</t>
  </si>
  <si>
    <t>Ppkm meresahkan</t>
  </si>
  <si>
    <t>@Rimbunsimatupa5 @Hannry888 @alisyarief @jokowi Perokes? 
 Aturan yang muncul hanya musiman disaat moment tertentu. 
 Apalgi koordinator ppkm opung yang tidak paham uu tentang sangsi dan hak</t>
  </si>
  <si>
    <t>Perokes? Aturan yang muncul hanya musiman disaat moment tertentu. Apalgi koordinator ppkm opung yang tidak paham uu tentang sangsi dan hak</t>
  </si>
  <si>
    <t>pelaksanaan PPKM darurat sudah tepat
 Yuk Disiplin PPKM https://t.co/eo8iOpgHrz</t>
  </si>
  <si>
    <t>pelaksanaan PPKM darurat sudah tepatYuk Disiplin PPKM</t>
  </si>
  <si>
    <t>Orang-orang sekarang udah kaya lebih hina dari penjahat dan koruptor. 
 PPKM cuma menyekik rakyat kecil. Tolong lihat rakyat mu pak.
 #BapakPresidenMenyerahlah
 #LengserkanPakLurah
 #MundurAjaPakde 
 #BersamaUntukWarga 
 #CegahLajunyaPandemi https://t.co/SoZY7POXip</t>
  </si>
  <si>
    <t>Orang-orang sekarang udah kaya lebih hina dari penjahat dan koruptor. PPKM cuma menyekik rakyat kecil. Tolong lihat rakyat mu pak.</t>
  </si>
  <si>
    <t>PPKM 
 Pura pura kangen mantan 
 😄😄</t>
  </si>
  <si>
    <t>PPKM Pura pura kangen mantan</t>
  </si>
  <si>
    <t>@ooichayangituya 2021 PPKM
  "Perbanyak Pergi Ke Masjid :)" wkw</t>
  </si>
  <si>
    <t>PPKM "Perbanyak Pergi Ke Masjid " wkw</t>
  </si>
  <si>
    <t>@Mdy_Asmara1701 Mohon pencerahan apa yg harus kami perbuat dari yg saya yakini bahwa d Banda Aceh bakal terjadi ketidak Adilan dalam penerapan PPKM. PKL cuma blh melayani pembeli sampai pukul 20.00 semntara restoran boleh melayani pembeli 24 jam.</t>
  </si>
  <si>
    <t>Mohon pencerahan apa yg harus kami perbuat dari yg saya yakini bahwa d Banda Aceh bakal terjadi ketidak Adilan dalam penerapan PPKM. PKL cuma blh melayani pembeli sampai pukul semntara restoran boleh melayani pembeli jam.</t>
  </si>
  <si>
    <t>yang lagi dirumah, tenang aja, Pemerintah sediakan bansos selama PPKM
 Yuk Disiplin PPKM https://t.co/3Fso6pek7q</t>
  </si>
  <si>
    <t>yang lagi dirumah, tenang aja, Pemerintah sediakan bansos selama PPKMYuk Disiplin PPKM</t>
  </si>
  <si>
    <t>@eventyrcpl Iyak kan lagi ppkm</t>
  </si>
  <si>
    <t>Iyak kan lagi ppkm</t>
  </si>
  <si>
    <t>Ppkm ini menyiksa aku sebage org ope-rasional. Ndada waktunya lg tuk beduaan dgn dia krn aku baleknya malem teros ih nda bs kmn2😡</t>
  </si>
  <si>
    <t>Ppkm ini menyiksa aku sebage org ope-rasional. Ndada waktunya lg tuk beduaan dgn dia krn aku baleknya malem teros ih nda bs kmn2</t>
  </si>
  <si>
    <t>Ini pedagang-pedagang yang biasanya suka nangkring deket kosan pada gada, apa karena PPKM pada ga jualan yaa😔</t>
  </si>
  <si>
    <t>Ini pedagang-pedagang yang biasanya suka nangkring deket kosan pada gada, apa karena PPKM pada ga jualan yaa</t>
  </si>
  <si>
    <t>Dokmin sedih loh, PPKM datang lagi. Bukan sedih karena gak mau angka covid turun, tapi sedih karena “anjuran ke dokter gigi kembali ke kasus2 emergency atau darurat saja”
 Iya kalau emergencynya karena trauma, dll. Nah emergency yg umum terjadi adalah sakit gigi tak tertahankan. https://t.co/KuZNEeKCDV</t>
  </si>
  <si>
    <t>Dokmin sedih loh, PPKM datang lagi. Bukan sedih karena gak mau angka covid turun, tapi sedih karena anjuran ke dokter gigi kembali ke kasus2 emergency atau darurat sajaIya kalau emergencynya karena trauma, dll. Nah emergency yg umum terjadi adalah sakit gigi tak tertahankan.</t>
  </si>
  <si>
    <t>@chaewonele Mending deketan tapi jaga jarak 1 KM karena kita lagi PPKM.</t>
  </si>
  <si>
    <t>Mending deketan tapi jaga jarak KM karena kita lagi PPKM.</t>
  </si>
  <si>
    <t>PPKM, pria pencinta kamu dan mamamu https://t.co/WWFO8scDQZ</t>
  </si>
  <si>
    <t>PPKM, pria pencinta kamu dan mamamu</t>
  </si>
  <si>
    <t>@DraftAnakUnpad Jalannya pasti gelap nder. Resiko ditanggung sendiri. Apalagi lagi PPKM. Sabar aja. Ini juga pengen banget ke ngetrip bareng temen huhu :"</t>
  </si>
  <si>
    <t>Jalannya pasti gelap nder. Resiko ditanggung sendiri. Apalagi lagi PPKM. Sabar aja. Ini juga pengen banget ke ngetrip bareng temen huhu :"</t>
  </si>
  <si>
    <t>Gara-gara ppkm rasanya waktu berjalan lambat sekali bgst</t>
  </si>
  <si>
    <t>Pemimpin..
 The Big of Contradictions...
 PPKM....
 Pak Pak Kapan Mundur...</t>
  </si>
  <si>
    <t>Pemimpin..The Big of Contradictions...PPKM....Pak Pak Kapan Mundur...</t>
  </si>
  <si>
    <t>Eh, selamat pagi. Happy weekend. Sudah sarapan belum? Karena ppkm, ngapel virtual aja ya nanti malam. Jangan lupa prokes nya 😊</t>
  </si>
  <si>
    <t>Eh, selamat pagi. Happy weekend. Sudah sarapan belum? Karena ppkm, ngapel virtual aja ya nanti malam. Jangan lupa prokes nya</t>
  </si>
  <si>
    <t>Hari Sabtu masih harus ke kantor, apa itu PPKM? 🙃</t>
  </si>
  <si>
    <t>Hari Sabtu masih harus ke kantor, apa itu PPKM?</t>
  </si>
  <si>
    <t>@geloraco berisik ah lagi ppkm nih</t>
  </si>
  <si>
    <t>berisik ah lagi ppkm nih</t>
  </si>
  <si>
    <t>@ramadhatia @mandaawdy1 Ppkm gbs liburan. Netplikan aja</t>
  </si>
  <si>
    <t>Ppkm gbs liburan. Netplikan aja</t>
  </si>
  <si>
    <t>@K1_7123J0 @ronavioleta percuma ada PPKM, selama TKA China masuk terus. Sampai kiamat</t>
  </si>
  <si>
    <t>percuma ada PPKM, selama TKA China masuk terus. Sampai kiamat</t>
  </si>
  <si>
    <t>PPKM
 (Para Pemuda Kentekan Money)</t>
  </si>
  <si>
    <t>PPKM(Para Pemuda Kentekan Money)</t>
  </si>
  <si>
    <t>ppkm mikro dimana saja</t>
  </si>
  <si>
    <t>Lagi ngebayangin gaada corona, gaada ppkm.</t>
  </si>
  <si>
    <t>PPKM Darurat Sudah Tepat.
 Yuk Disiplin PPKM https://t.co/uSJuvyCnMy</t>
  </si>
  <si>
    <t>PPKM Darurat Sudah Tepat.Yuk Disiplin PPKM</t>
  </si>
  <si>
    <t>Masi kaya kemaren ingin main.
 Tapi PPKm makin ketatt</t>
  </si>
  <si>
    <t>Masi kaya kemaren ingin main.Tapi PPKm makin ketatt</t>
  </si>
  <si>
    <t>@DaihatsuInd PPKM = Pasti Pirus Kan Menghilang #SeriusGiveaway</t>
  </si>
  <si>
    <t>PPKM = Pasti Pirus Kan Menghilang</t>
  </si>
  <si>
    <t>@omgitsmungki @iduyisyudi @adiadv PPKM. Studio tutup 😂</t>
  </si>
  <si>
    <t>PPKM. Studio tutup</t>
  </si>
  <si>
    <t>@heejisn @Lhangmin PPKM pelan pelan kita menikah.</t>
  </si>
  <si>
    <t>PPKM pelan pelan kita menikah.</t>
  </si>
  <si>
    <t>@kafiradikalis @aniesbaswedan Lagian itu petugas harusnya ngasih contoh yg benar,jangan cuma bisanya nindak pedagang aja,jam PPKM ya cepet pulang kerumah masing2 or ngopinya di kantor aja</t>
  </si>
  <si>
    <t>Lagian itu petugas harusnya ngasih contoh yg benar,jangan cuma bisanya nindak pedagang aja,jam PPKM ya cepet pulang kerumah masing2 or ngopinya di kantor aja</t>
  </si>
  <si>
    <t>Gue yang lagi proses healing, tiba2 dihadapkan sama keadaan "mencekam" ppkm dan berita2 yang kurang baik. Sedikit banyak memengaruhi kondisi gue lagi. Gue udah merasa baikan bahkan baikan bgt ntah kenapa rasanya sekarang kek sedikit merasakan kek sebelumnya.</t>
  </si>
  <si>
    <t>didaerah gue lgi ppkm, yang diizinin jualan cuman sembako doang. Ada 1 yang disuruh tutup malah demo ganti rugi, akhirnya dibiarin karna bandel bgt. dikira yang rugi ente doang</t>
  </si>
  <si>
    <t>didaerah gue lgi ppkm, yang diizinin jualan cuman sembako doang. Ada yang disuruh tutup malah demo ganti rugi, akhirnya dibiarin karna bandel bgt. dikira yang rugi ente doang</t>
  </si>
  <si>
    <t>Bila masyarakat seperti asn semua dicukupi kebutuhannya, maka sikap masyarakat pasti akan mematuhi ppkm.
 Kalian membuat kebijakan yang membuat rakyat makin sengsara 
 Ada apakah dibalik semua ini? 
 Kenapa covid tiba-tiba meledak, Kenapa tka china berdatangan?
 #LengserkanPakLurah https://t.co/UfYZIbWA0X</t>
  </si>
  <si>
    <t>Bila masyarakat seperti asn semua dicukupi kebutuhannya, maka sikap masyarakat pasti akan mematuhi ppkm.Kalian membuat kebijakan yang membuat rakyat makin sengsara Ada apakah dibalik semua ini? Kenapa covid tiba-tiba meledak, Kenapa tka china berdatangan?</t>
  </si>
  <si>
    <t>PPKM = Pelan Pelan kamu menjauh
 Sattt</t>
  </si>
  <si>
    <t>PPKM = Pelan Pelan kamu menjauhSattt</t>
  </si>
  <si>
    <t>@KawalCOVID19 mari bersama lakukan PROKES dengan baik &amp;amp; benar, awasi lingkungan,beri tahu agar tidak ada kegiatan yg berpotensi menimbulkan kerumunan agar pandemi ini segera berlalu bersyukur jk bnyk masy ikut peduli dengan mematuhi PPKM. Bersama kita bisa melawan pandemi 🙏i</t>
  </si>
  <si>
    <t>mari bersama lakukan PROKES dengan baik &amp;amp; benar, awasi lingkungan,beri tahu agar tidak ada kegiatan yg berpotensi menimbulkan kerumunan agar pandemi ini segera berlalu bersyukur jk bnyk masy ikut peduli dengan mematuhi PPKM. Bersama kita bisa melawan pandemi i</t>
  </si>
  <si>
    <t>Penerapan ppkm darurat agak sulit dilakukan sejatinya karena rakyat sudah terlanjur kehilangan kepercayaan terhadap pemerintah, akhirnya segala bentuk penegakan aturan selalu dianggap sebagai sikap arogansi</t>
  </si>
  <si>
    <t>@geloraco Cabut PPKM darurat berlakukan new normal kasihan rakyat yg susah cari nafkah</t>
  </si>
  <si>
    <t>Cabut PPKM darurat berlakukan new normal kasihan rakyat yg susah cari nafkah</t>
  </si>
  <si>
    <t>Menghindari bahaya itu harus diutamakan.
 PPKM darurat adalah bentuk tanggung jawab pemerintah terhadap keselamatan warga bangsa...
 #PPKMVaksinasiSaveNKRI https://t.co/M3TFSwJtky</t>
  </si>
  <si>
    <t>Menghindari bahaya itu harus diutamakan.PPKM darurat adalah bentuk tanggung jawab pemerintah terhadap keselamatan warga bangsa...</t>
  </si>
  <si>
    <t>@EnggalPMT Jujur saja saat ini saya tidak sedikit pun memikirkan tentang divaksin atau tidak, bagi saya yg lebih pnting bagaimana nasib usaha saya mulai diterapkan PPKM d Banda aceh, yg mana btas waktu pedangan kaki 5 smpai 20.00 tpi restoran boleh 24 jam melayani pembeli. ,😭😭</t>
  </si>
  <si>
    <t>Jujur saja saat ini saya tidak sedikit pun memikirkan tentang divaksin atau tidak, bagi saya yg lebih pnting bagaimana nasib usaha saya mulai diterapkan PPKM d Banda aceh, yg mana btas waktu pedangan kaki smpai tpi restoran boleh jam melayani pembeli. ,</t>
  </si>
  <si>
    <t>Khofifah sampai berpesan juga pada masyarakat yang tak memiliki kepentingan untuk senantiasa di rumah saja selama PPKM Darurat</t>
  </si>
  <si>
    <t>Sudah niat hati ingin menonton black widow, malah ppkm</t>
  </si>
  <si>
    <t>morning yall, ppkm enaknya main game apa ya</t>
  </si>
  <si>
    <t>@bvrgerkinq @moviemenfes - tunggu bioskop buka setelah ppkm
 - disney+ premier access
 - opsi terakhir ini you know lah</t>
  </si>
  <si>
    <t>- tunggu bioskop buka setelah ppkm- disney+ premier access- opsi terakhir ini you know lah</t>
  </si>
  <si>
    <t>Akibat jalan ditutup ....dimana rasa kemanusiaan PPKm @jokowi @ridwankamil @RatnaSpaet @mohmahfudmd @tjahjo_kumolo @riekediahp @erickthohir https://t.co/LjtMJrvl3o</t>
  </si>
  <si>
    <t>Akibat jalan ditutup ....dimana rasa kemanusiaan PPKm</t>
  </si>
  <si>
    <t>@DaihatsuInd PPKM : Pernah Pedekatean Kemudian Mengghosting #SeriusGiveaway</t>
  </si>
  <si>
    <t>PPKM : Pernah Pedekatean Kemudian Mengghosting</t>
  </si>
  <si>
    <t>Ingat saat kalian bergabung dengan Twitter? Saya ingat! #HariJadiTwitterSaya mau ngerayain ngajak makan2 lagi PPKM makan indomie aje di rumah ngerayainnya 😁😁😁 https://t.co/m9q87Bs94b</t>
  </si>
  <si>
    <t>Ingat saat kalian bergabung dengan Twitter? Saya ingat! mau ngerayain ngajak makan2 lagi PPKM makan indomie aje di rumah ngerayainnya</t>
  </si>
  <si>
    <t>Habis PSBB (Pernah Sefrekuensi Berujung Bubaran) sekarang jadi PPKM (Pernah Perhatian Kemudian Menghilang) 😶</t>
  </si>
  <si>
    <t>Habis PSBB (Pernah Sefrekuensi Berujung Bubaran) sekarang jadi PPKM (Pernah Perhatian Kemudian Menghilang)</t>
  </si>
  <si>
    <t>Kebijakan PPKM Darurat oleh menteri perhubungan tidak pro kemanusiaan, menyuruh seluruh moda transportasi menolak membawa pasien rawat jalan bertemu dokter untuk berobat. Ini merupakan ciri negara komunis</t>
  </si>
  <si>
    <t>@Arbanat @budimandjatmiko @jokowi @DivHumas_Polri @LuhutBinsarFans @Puspen_TNI @BNPTRI @Dennysiregar7 @eko_kuntadhi @NajwaShihab Problem adalah PERILAKU MASYARAKAT yang tidak mau patuh pada pembatasan dan stay at home..
 Pemerintah juga gak mau ada PPKM, gak mau ada lockdown. Tapi MASYARAKAT kita yang DABLEG.
 Gak bisa dilarang mudik. Gak mo jaga jarak. Gak mo pakai masker, bahkan gak percaya covid</t>
  </si>
  <si>
    <t>Problem adalah PERILAKU MASYARAKAT yang tidak mau patuh pada pembatasan dan stay at home..Pemerintah juga gak mau ada PPKM, gak mau ada lockdown. Tapi MASYARAKAT kita yang DABLEG.Gak bisa dilarang mudik. Gak mo jaga jarak. Gak mo pakai masker, bahkan gak percaya covid</t>
  </si>
  <si>
    <t>@CNNIndonesia Kan mreka udah nongkrong disaat PPKM ditambah lagi bolos apel, bukannya apel tapi malah nongkrong. Pelanggarannya dobel2</t>
  </si>
  <si>
    <t>Kan mreka udah nongkrong disaat PPKM ditambah lagi bolos apel, bukannya apel tapi malah nongkrong. Pelanggarannya dobel2</t>
  </si>
  <si>
    <t>@NeoNetizen Lagi PPKM ( Pak... Pak Kok Menyendiri)... terus🤭🤭🤭</t>
  </si>
  <si>
    <t>Lagi PPKM ( Pak... Pak Kok Menyendiri)... terus</t>
  </si>
  <si>
    <t>@bosmamy ppkm, pas pingin kerjo mogok</t>
  </si>
  <si>
    <t>ppkm, pas pingin kerjo mogok</t>
  </si>
  <si>
    <t>Ppkm pelan pelan kamu murtad</t>
  </si>
  <si>
    <t>3. Krn skalian mau pulang krn ada acara sodara mo nikah, jauh2 hari beli lah tiket kereta. Kemudian ada ppkm darurat yg mewajibkan perjalanan pake vaksin yaudah lah pikirku skalian aja vaksin di @KAI121 kebetulan liat infonya bisa di sana</t>
  </si>
  <si>
    <t>. Krn skalian mau pulang krn ada acara sodara mo nikah, jauh2 hari beli lah tiket kereta. Kemudian ada ppkm darurat yg mewajibkan perjalanan pake vaksin yaudah lah pikirku skalian aja vaksin di kebetulan liat infonya bisa di sana</t>
  </si>
  <si>
    <t>@AlbarAmandio @CNNIndonesia Salah sendiri bolos apel tapi malah nongkrong. Nongkrong pas jam ppkm lagi</t>
  </si>
  <si>
    <t>Salah sendiri bolos apel tapi malah nongkrong. Nongkrong pas jam ppkm lagi</t>
  </si>
  <si>
    <t>@yoswhii hbd aku jg sm kacamata gw potong MANA LG PPKM OPTIKNYA TTUP ANJING</t>
  </si>
  <si>
    <t>hbd aku jg sm kacamata gw potong MANA LG PPKM OPTIKNYA TTUP ANJING</t>
  </si>
  <si>
    <t>Semalam aku mimpi teman² UKM dulu mampir ke rumah mau buat acara reuni. Sebenarnya aku as-was krn masih PPKM, tapi yaudah trobos aja. Acaranya di halaman rumah kaya nonton foto &amp;amp; video, trz sebelumnya makan² di rooftop.</t>
  </si>
  <si>
    <t>Semalam aku mimpi teman UKM dulu mampir ke rumah mau buat acara reuni. Sebenarnya aku as-was krn masih PPKM, tapi yaudah trobos aja. Acaranya di halaman rumah kaya nonton foto &amp;amp; video, trz sebelumnya makan di rooftop.</t>
  </si>
  <si>
    <t>@AREAJULID Kira2 kimak2 ini bakal kena pasal apa aja ya? Pasal ppkm, pasal penyerangan aparat, pasal apalagi kira2. Pak pol tolong jgn pake hukum system tebus ya, kelarin sampe ngandang, kebiasaan makhluk beginian kalo dibiarkan..</t>
  </si>
  <si>
    <t>Kira2 kimak2 ini bakal kena pasal apa aja ya? Pasal ppkm, pasal penyerangan aparat, pasal apalagi kira2. Pak pol tolong jgn pake hukum system tebus ya, kelarin sampe ngandang, kebiasaan makhluk beginian kalo dibiarkan..</t>
  </si>
  <si>
    <t>@silkanjh Stlh ppkm cusss borong di buaran wkwk</t>
  </si>
  <si>
    <t>Stlh ppkm cusss borong di buaran wkwk</t>
  </si>
  <si>
    <t>@andira_jo12 @CNNIndonesia Karna mreka udah nongkrong disaat PPKM ditambah lagi bolos apel, bukannya apel tapi malah nongkrong. Pelanggarannya dobel2</t>
  </si>
  <si>
    <t>Karna mreka udah nongkrong disaat PPKM ditambah lagi bolos apel, bukannya apel tapi malah nongkrong. Pelanggarannya dobel2</t>
  </si>
  <si>
    <t>@BrgtRJ @Bestsales18 @addiems La sdh taulah... kan ksh mkn warga, la PPKM.aja teriak2 gak bisa mkn🤣</t>
  </si>
  <si>
    <t>La sdh taulah... kan ksh mkn warga, la PPKM.aja teriak2 gak bisa mkn</t>
  </si>
  <si>
    <t>Tindak tegas mafia obat dan alkes. Yuk Disiplin PPKM https://t.co/AW8uMZciWf</t>
  </si>
  <si>
    <t>Tindak tegas mafia obat dan alkes. Yuk Disiplin PPKM</t>
  </si>
  <si>
    <t>Setan be like: Gini amat jobdesc gue di PPKM. https://t.co/hPFZOwokw5</t>
  </si>
  <si>
    <t>Setan be like: Gini amat jobdesc gue di PPKM.</t>
  </si>
  <si>
    <t>@speechless__99 Wooiiii Pahlawan PPKM, tukang Ngibul nggak dtangkepin?</t>
  </si>
  <si>
    <t>Wooiiii Pahlawan PPKM, tukang Ngibul nggak dtangkepin?</t>
  </si>
  <si>
    <t>Ingat! Setelah vaksin tetap jaga protokol kesehatan. Yuk Disiplin PPKM https://t.co/fy9Ts4YBh3</t>
  </si>
  <si>
    <t>Ingat! Setelah vaksin tetap jaga protokol kesehatan. Yuk Disiplin PPKM</t>
  </si>
  <si>
    <t>PPKM = Perbanyak Pergi Ke Masjid.</t>
  </si>
  <si>
    <t>Giliran lg deket ma org aja ppkm aduduuu</t>
  </si>
  <si>
    <t>@wahyudizein33 @CNNIndonesia @alvinlie21 Mreka dihukum krna ga ikut apel dipolsa tapi malah nongkrong. BKN krna nongkrongnya aja pas jam diatas ppkm juga krna ga ikut apel</t>
  </si>
  <si>
    <t>Mreka dihukum krna ga ikut apel dipolsa tapi malah nongkrong. BKN krna nongkrongnya aja pas jam diatas ppkm juga krna ga ikut apel</t>
  </si>
  <si>
    <t>@DaihatsuInd PPKM Versi Saya : Punya Pacar Kemudian Menghilang #SeriusGiveaway</t>
  </si>
  <si>
    <t>PPKM Versi Saya : Punya Pacar Kemudian Menghilang</t>
  </si>
  <si>
    <t>PPKM Darurat Bantu Tekan Kenaikan Kasus Covid-19 https://t.co/0zJnL4UInb</t>
  </si>
  <si>
    <t>PPKM Darurat Bantu Tekan Kenaikan Kasus Covid-19</t>
  </si>
  <si>
    <t>crush gue tuh ya gmn ya TURN OFF BGT orang temennye ngasih tau baik baik lg ppkm kok lo malah nongkrong</t>
  </si>
  <si>
    <t>Niatnya mau vaksin tapi karena ppkm jadi males 😌</t>
  </si>
  <si>
    <t>Niatnya mau vaksin tapi karena ppkm jadi males</t>
  </si>
  <si>
    <t>@Mohamma91060794 @KAnna02129863 @Purwa_wicak @addiems Tapi pemerintah gak mau menanggung hidup rakyatnya selama di lockdown. Makanya pake psbb, ppkm dll.</t>
  </si>
  <si>
    <t>Tapi pemerintah gak mau menanggung hidup rakyatnya selama di lockdown. Makanya pake psbb, ppkm dll.</t>
  </si>
  <si>
    <t>Hai Sobat Difa... Dikala PPKM ini, Difa menghadirkan fasilitas Telekonsultasi untuk sahabat Difa yang membutuhkan konsultasi cuma gak bisa dateng ke klinik untuk tetap bisa menampung keluhan2 yang sahabat Difa rasakan... https://t.co/IsjrICI9EA</t>
  </si>
  <si>
    <t>Hai Sobat Difa... Dikala PPKM ini, Difa menghadirkan fasilitas Telekonsultasi untuk sahabat Difa yang membutuhkan konsultasi cuma gak bisa dateng ke klinik untuk tetap bisa menampung keluhan2 yang sahabat Difa rasakan...</t>
  </si>
  <si>
    <t>@Rindiya02797245 Ntar abis PPKM ditemenin ya...</t>
  </si>
  <si>
    <t>Ntar abis PPKM ditemenin ya...</t>
  </si>
  <si>
    <t>PPKM : pernah Percaya Kemudian Menyesal</t>
  </si>
  <si>
    <t>Utk mencegah infeksi Covid-19 semakin meluas, Pemerintah menetapkan PPKM darurat di 15 daerah di luar Jawa Bali yg akan berlaku mulai 12 Juli 2021.
 Apa yg harus diperhatikan agar penerapannya berlangsung efektif?
 [TALK] Pakar Epidemiologi Univ. Hasanuddin, Prof Ridwan Amiruddin https://t.co/UsZGRQI93Z</t>
  </si>
  <si>
    <t>Utk mencegah infeksi Covid-19 semakin meluas, Pemerintah menetapkan PPKM darurat di daerah di luar Jawa Bali yg akan berlaku mulai Juli .Apa yg harus diperhatikan agar penerapannya berlangsung efektif?[TALK] Pakar Epidemiologi Univ. Hasanuddin, Prof Ridwan Amiruddin</t>
  </si>
  <si>
    <t>Apa aja sih singkatan PPKM?
 1) Perbanyak Pergi Ke Masjid</t>
  </si>
  <si>
    <t>Apa aja sih singkatan PPKM?1) Perbanyak Pergi Ke Masjid</t>
  </si>
  <si>
    <t>@shittttmyminddd ppkm boss</t>
  </si>
  <si>
    <t>ppkm boss</t>
  </si>
  <si>
    <t>@CommuterLine @JalurSerpong Sampai kapannya gak ada ya? Apa mengikuti ppkm gitu</t>
  </si>
  <si>
    <t>Sampai kapannya gak ada ya? Apa mengikuti ppkm gitu</t>
  </si>
  <si>
    <t>"Bagi saya, PPKM Darurat itu semacam "lip service", basa-basi Pemerintah yang seolah-olah peduli dengan keselamatan Warga Negara". #Covid19 #Pandemi #PPKMDarurat
 https://t.co/pFcPTINczC</t>
  </si>
  <si>
    <t>"Bagi saya, PPKM Darurat itu semacam "lip service", basa-basi Pemerintah yang seolah-olah peduli dengan keselamatan Warga Negara". ://</t>
  </si>
  <si>
    <t>Semoga ppkm nya jangan diperpanjang please, amit2
 Aku sedih liat temen2 ku dirumahkan :(</t>
  </si>
  <si>
    <t>Semoga ppkm nya jangan diperpanjang please, amit2Aku sedih liat temen2 ku dirumahkan</t>
  </si>
  <si>
    <t>Masyarakat &amp;amp; ibu ibu PKK...
 Tetaplah waspada, Hati Hati..
 Menjadi Relawan Covid19.
 Kenapa nggak Buzzer2Rp PENJILAT2 Relawan2 Pendukung nya yg dikerahkan!!!
 PPKM....
 Pak Pak Kapan Mundur.</t>
  </si>
  <si>
    <t>Masyarakat &amp;amp; ibu ibu PKK...Tetaplah waspada, Hati Hati..Menjadi Relawan Covid19.Kenapa nggak Buzzer2Rp PENJILAT2 Relawan2 Pendukung nya yg dikerahkan!!!PPKM....Pak Pak Kapan Mundur.</t>
  </si>
  <si>
    <t>PPKM
 Pelan pelan kita miskin</t>
  </si>
  <si>
    <t>PPKMPelan pelan kita miskin</t>
  </si>
  <si>
    <t>ci33333 PSBB taun kemarin sama mantan, PPKM sekg sendirian hahaha</t>
  </si>
  <si>
    <t>@idnkeras Kalo PPKM Darurat di Jogja kondisinya kaya gini
 https://t.co/136HWtMxZz</t>
  </si>
  <si>
    <t>Kalo PPKM Darurat di Jogja kondisinya kaya gini</t>
  </si>
  <si>
    <t>Mau tanya dong, ppkm gini Zoo di buka ga si?</t>
  </si>
  <si>
    <t>ppkm beneran deh aku galau dari semalem 😣 https://t.co/jPPh6nenW1</t>
  </si>
  <si>
    <t>ppkm beneran deh aku galau dari semalem</t>
  </si>
  <si>
    <t>@BudeSumiyati D8 PPKM dah mulai gila 🥲 @aglptriii</t>
  </si>
  <si>
    <t>D8 PPKM dah mulai gila</t>
  </si>
  <si>
    <t>@narshanindita @theblackwidow Wkwkwk. Ppkm cuy</t>
  </si>
  <si>
    <t>Wkwkwk. Ppkm cuy</t>
  </si>
  <si>
    <t>@tinyvervain SERIUS GRGR PPKM INI WKWKW MAKASIHH JULIEEE</t>
  </si>
  <si>
    <t>SERIUS GRGR PPKM INI WKWKW MAKASIHH JULIEEE</t>
  </si>
  <si>
    <t>@kalla_jengking Mari patuhi PPKM agar covid-19 teratasi</t>
  </si>
  <si>
    <t>Mari patuhi PPKM agar covid-19 teratasi</t>
  </si>
  <si>
    <t>Opening gramed Cilegon kayaknya diundur gara gara ppkm. padahal harusnya hari ini launchingnya 😔</t>
  </si>
  <si>
    <t>Opening gramed Cilegon kayaknya diundur gara gara ppkm. padahal harusnya hari ini launchingnya</t>
  </si>
  <si>
    <t>Apa sudah. Aman di jalan-jalan Sunda Bandung ada PPKM DARURAT nggak.? Rek Balik ti Bali ka Bekasi#Indonesia bahagia#Indonnesia bahagia</t>
  </si>
  <si>
    <t>Apa sudah. Aman di jalan-jalan Sunda Bandung ada PPKM DARURAT nggak.? Rek Balik ti Bali ka Bekasi bahagia bahagia</t>
  </si>
  <si>
    <t>Kalo Berdasarkan hasil pengamatan, situasi lalu lintas yang ada di lapangan telah terjadi pengurangan volume kendaraan dibanding sebelum PPKM Darurat, Tetapi masih perlu diturunkan lagi.</t>
  </si>
  <si>
    <t>the irony udah ppkm jg sy liat” masi banyak yg nongkrong tanpa tujuan kek emg kalo diem dirumah pada lumutan kh? https://t.co/l0W0CjYnzq</t>
  </si>
  <si>
    <t>the irony udah ppkm jg sy liat masi banyak yg nongkrong tanpa tujuan kek emg kalo diem dirumah pada lumutan kh?</t>
  </si>
  <si>
    <t>@yunartowijaya @achdanSd Yun kau katanya orang terdidik, ternyata kurang baca pula. aturan PPKM itu bukan di gubernur tapi kewenangan pusat. Baca Yun</t>
  </si>
  <si>
    <t>Yun kau katanya orang terdidik, ternyata kurang baca pula. aturan PPKM itu bukan di gubernur tapi kewenangan pusat. Baca Yun</t>
  </si>
  <si>
    <t>Aku suka ppkm di pagi hari
 Pink
 Pink
 KaMu</t>
  </si>
  <si>
    <t>Aku suka ppkm di pagi hariPinkPinkKaMu</t>
  </si>
  <si>
    <t>Emang perkara main jadi hadeh banget si
 Pas cuaca bagus tabungan lagi ga bagus, gitu terus sebaliknya, pas dua"nya udah oke, eh ppkm 😌</t>
  </si>
  <si>
    <t>Emang perkara main jadi hadeh banget siPas cuaca bagus tabungan lagi ga bagus, gitu terus sebaliknya, pas dua"nya udah oke, eh ppkm</t>
  </si>
  <si>
    <t>Selama PPKM darurat,
 semaksimal mungkin kita tetap di rumah, Jika mendesak untuk keluar rumah, kita harus menaati protokol yang berlaku.
 Sayangi diri kita Patuhi Pemerintah sabar dan prihatin juga di sebut ikhtiar , yakin ini berlalu.
 #PPKMVaksinasiSaveNKRI https://t.co/0lnDCfxceG</t>
  </si>
  <si>
    <t>Selama PPKM darurat,semaksimal mungkin kita tetap di rumah, Jika mendesak untuk keluar rumah, kita harus menaati protokol yang berlaku.Sayangi diri kita Patuhi Pemerintah sabar dan prihatin juga di sebut ikhtiar , yakin ini berlalu.</t>
  </si>
  <si>
    <t>akhirnya ada buku bacaan.. yh walau novel lama yg ku baca lagi 😔😔 mau ke gramedddd tp lg ppkm.. ok gpp demi keamanan bersama ya ga</t>
  </si>
  <si>
    <t>akhirnya ada buku bacaan.. yh walau novel lama yg ku baca lagi mau ke gramedddd tp lg ppkm.. ok gpp demi keamanan bersama ya ga</t>
  </si>
  <si>
    <t>@kkummambam maaci kamu juga smangat💪🏻
 ppkm ga ppkm ga ngefek soalnya ak di industri jd ttp masuk full gaada yg wfh samsek wkwk</t>
  </si>
  <si>
    <t>maaci kamu juga smangatppkm ga ppkm ga ngefek soalnya ak di industri jd ttp masuk full gaada yg wfh samsek wkwk</t>
  </si>
  <si>
    <t>Gak terasa 10 hari lagi ppkm selesai</t>
  </si>
  <si>
    <t>Gak terasa hari lagi ppkm selesai</t>
  </si>
  <si>
    <t>@dynedeen ppkm bek sampe kamu umur 22:(</t>
  </si>
  <si>
    <t>ppkm bek sampe kamu umur</t>
  </si>
  <si>
    <t>#PPKMVaksinasiSaveNKRI
 .
 .
 FYI Gaes :
 Bantuan sosial akan diberikan Pemerintah saat PPKM darurat adalah : Bantuan langsung tunai, bansos sembako, PKH hingga BLT dana desa dan kartu prakerja.
 https://t.co/vq0nB9gKmO</t>
  </si>
  <si>
    <t>..FYI Gaes :Bantuan sosial akan diberikan Pemerintah saat PPKM darurat adalah : Bantuan langsung tunai, bansos sembako, PKH hingga BLT dana desa dan kartu prakerja.</t>
  </si>
  <si>
    <t>#PPKMVaksinasiSaveNKRI
 Pemerintah tlh memutuskan u/ menerapkan PPKM Darurat selama 3-20 Juli 2021 sebagai upaya menekan lonjakan kasus positif Kovid-19 yg terjadi akhir2 ini. Mari bersatu, saling peduli n saling bantu. Dgn bergotong royong, kita bisa mengakhiri pandemi ini 🙏😷 https://t.co/M1rW1Md4xp</t>
  </si>
  <si>
    <t>tlh memutuskan u/ menerapkan PPKM Darurat selama $NUMBER$ Juli sebagai upaya menekan lonjakan kasus positif Kovid-19 yg terjadi akhir2 ini. Mari bersatu, saling peduli n saling bantu. Dgn bergotong royong, kita bisa mengakhiri pandemi ini</t>
  </si>
  <si>
    <t>#PPKMVaksinasiSaveNKRI
 https://t.co/LjASejbZlZ
 Yang paling tertekan dengan pelaksanaan PPKM darurat ini adalah kelompok miskin. Oleh karenanya, pemerintah fokus memberikan berbagai bantuan kepada kelompok tersebut.</t>
  </si>
  <si>
    <t>:// paling tertekan dengan pelaksanaan PPKM darurat ini adalah kelompok miskin. Oleh karenanya, pemerintah fokus memberikan berbagai bantuan kepada kelompok tersebut.</t>
  </si>
  <si>
    <t>Yok dukung kebijakan PPKM Darurat dengan cara tetap dirumah saja,
 Patuhi prokes untuk melindungi diri kita dan keluarga tercinta.
 .
 .
 #PPKMVaksinasiSaveNKRI https://t.co/T3k3cVmCCi</t>
  </si>
  <si>
    <t>Yok dukung kebijakan PPKM Darurat dengan cara tetap dirumah saja,Patuhi prokes untuk melindungi diri kita dan keluarga tercinta...</t>
  </si>
  <si>
    <t>Hasil dialog pemerintah dan bbrpa UNIV salah satunya UNIV AIRLANGGA SBY pun setuju dengan PPKM darurat, pengusaha pun menilai ini sudah tepat. Untuk pencegahan keganasan covit yg menalanda dunia, inget DUNIA bukan hanya Indonesia saja yg terpuruk
 #PPKMVaksinasiSaveNKRI https://t.co/bcutfT57ib</t>
  </si>
  <si>
    <t>Hasil dialog pemerintah dan bbrpa UNIV salah satunya UNIV AIRLANGGA SBY pun setuju dengan PPKM darurat, pengusaha pun menilai ini sudah tepat. Untuk pencegahan keganasan covit yg menalanda dunia, inget DUNIA bukan hanya Indonesia saja yg terpuruk</t>
  </si>
  <si>
    <t>apabila harus memilih antara harta &amp;amp; nyawa, seperti adegan penodongan di film atau nyata di kehidupan, seperti itulah pilihan saat ini, bisa jadi PPKM buat ekonomi kek dikorbankan, tapi menyelamatkan nyawa banyak orang, TETAP PILIHAN UTAMA !
 #PPKMVaksinasiSaveNKRI https://t.co/qeJJI4KSPL</t>
  </si>
  <si>
    <t>apabila harus memilih antara harta &amp;amp; nyawa, seperti adegan penodongan di film atau nyata di kehidupan, seperti itulah pilihan saat ini, bisa jadi PPKM buat ekonomi kek dikorbankan, tapi menyelamatkan nyawa banyak orang, TETAP PILIHAN UTAMA !</t>
  </si>
  <si>
    <t>#PPKMVaksinasiSaveNKRI
 Adapun bantuan sosial yg akan diberikan pemerintah saat PPKM darurat ini adalah bantuan langsung tunai, bansos sembako, PKH hingga BLT dana desa dan kartu prakerja.
 ~Jadi jgn kuatir karena PPKM pemerintah tdk diam ttang bantuan.👍🏽🙏
 https://t.co/zSjlIebAPS</t>
  </si>
  <si>
    <t>bantuan sosial yg akan diberikan pemerintah saat PPKM darurat ini adalah bantuan langsung tunai, bansos sembako, PKH hingga BLT dana desa dan kartu prakerja.~Jadi jgn kuatir karena PPKM pemerintah tdk diam ttang bantuan.</t>
  </si>
  <si>
    <t>#PPKMVaksinasiSaveNKRI
 Masyarakat harus mengikuti protokol kesehatan yang ketat selama pemberlakukan PPKM Darurat, sehingga keadaan dapat segera membaik.
 Mari kita sama2 melawan wabah ini, kita hanya diminta patuhi aturan ini.🙏 https://t.co/TispQPakcI</t>
  </si>
  <si>
    <t>harus mengikuti protokol kesehatan yang ketat selama pemberlakukan PPKM Darurat, sehingga keadaan dapat segera membaik.Mari kita sama2 melawan wabah ini, kita hanya diminta patuhi aturan ini.</t>
  </si>
  <si>
    <t>Epidemiolog: Kebijakan PPKM Darurat Selamatkan Nyawa Banyak Orang
 Apabila PPKM darurat yg berlangsung selama 2 pekan diterapkan secara baik seperti aktivitas masyarakat benar2 dibatasi, maka kasus positif Covid-19 akan menurun. 
 #PPKMVaksinasiSaveNKRI
 https://t.co/IXuaH495EF</t>
  </si>
  <si>
    <t>Epidemiolog: Kebijakan PPKM Darurat Selamatkan Nyawa Banyak OrangApabila PPKM darurat yg berlangsung selama pekan diterapkan secara baik seperti aktivitas masyarakat benar2 dibatasi, maka kasus positif Covid-19 akan menurun. ://</t>
  </si>
  <si>
    <t>Yuk Disiplin PPKM https://t.co/cfDs2hbVTt</t>
  </si>
  <si>
    <t>Yuk Disiplin PPKM</t>
  </si>
  <si>
    <t>Ppkm, pernah perhatian kemudian menghilang💔</t>
  </si>
  <si>
    <t>@cikkkyaaaa @TretanMuslim PPKM virtual</t>
  </si>
  <si>
    <t>PPKM virtual</t>
  </si>
  <si>
    <t>@cholilnafis Sepertinya INMENDAGRI No 19 ini tujuannya "menegur" ( Gub &amp;amp; Walikota/ Bupati) yang masih membolehkan tempat ibadah buka selama PPKM agar melaksanakn diktum ketiga g dan k INMENDAGRI No 15
 Artinya, memerintahkn Kepala Daerah untuk memaksa trmpat ibadah tutup sementara selama PPKM</t>
  </si>
  <si>
    <t>Sepertinya INMENDAGRI No ini tujuannya "menegur" ( Gub &amp;amp; Walikota/ Bupati) yang masih membolehkan tempat ibadah buka selama PPKM agar melaksanakn diktum ketiga g dan k INMENDAGRI No Artinya, memerintahkn Kepala Daerah untuk memaksa trmpat ibadah tutup sementara selama PPKM</t>
  </si>
  <si>
    <t>Tiap hari bangun jam 4 atau set 5, terus engga bisa tidur lagi.
 di masa PPKM kaya gini, ini anugrah bukan ya😌 jujur gabut banget😌</t>
  </si>
  <si>
    <t>Tiap hari bangun jam atau set , terus engga bisa tidur lagi.di masa PPKM kaya gini, ini anugrah bukan ya jujur gabut banget</t>
  </si>
  <si>
    <t>Terimakasih pak luhut! Yuk Disiplin PPKM https://t.co/NAypzWeoqb</t>
  </si>
  <si>
    <t>Terimakasih pak luhut! Yuk Disiplin PPKM</t>
  </si>
  <si>
    <t>PPKM 
 Pernah Perhatian Kemudian Menghilang 
 ciahhhhh ahayyyyy 😂</t>
  </si>
  <si>
    <t>PPKM Pernah Perhatian Kemudian Menghilang ciahhhhh ahayyyyy</t>
  </si>
  <si>
    <t>Yuk Disiplin PPKM https://t.co/iTxSe7wgmF</t>
  </si>
  <si>
    <t>@RiaaaGirlsss Masak, nanem sm tiktokan gais. Kelar PPKM jd glowing gais hahaha</t>
  </si>
  <si>
    <t>Masak, nanem sm tiktokan gais. Kelar PPKM jd glowing gais hahaha</t>
  </si>
  <si>
    <t>@psnghwaaw Sarapanya ppkm wkwkwk</t>
  </si>
  <si>
    <t>Sarapanya ppkm wkwkwk</t>
  </si>
  <si>
    <t>Euy Gasibu ppkm gini ada yg jualan ga</t>
  </si>
  <si>
    <t>@apakataguaalah ppkm jd ga weekend</t>
  </si>
  <si>
    <t>ppkm jd ga weekend</t>
  </si>
  <si>
    <t>@Umar_Chelsea_75 @dr_koko28 Bahaya Bang, pada reuni dan kenalan malah mereka.. apalagi mereknya beda.. repot entar malah.. wkwkwk kena PPKM tuh pada kalau sedang reuni.</t>
  </si>
  <si>
    <t>Bahaya Bang, pada reuni dan kenalan malah mereka.. apalagi mereknya beda.. repot entar malah.. wkwkwk kena PPKM tuh pada kalau sedang reuni.</t>
  </si>
  <si>
    <t>@Brigade01Hulu @PutraWadapi Emang enak abis sepedaan bergaya seperti itu, cuma keadaan katanya lagi PPKM darurat, Napa gak sepedaan diwilayah kantor aja mpe klenger, setelah cape mau rebahan istirahat gaya apapun suka 2 loe</t>
  </si>
  <si>
    <t>Emang enak abis sepedaan bergaya seperti itu, cuma keadaan katanya lagi PPKM darurat, Napa gak sepedaan diwilayah kantor aja mpe klenger, setelah cape mau rebahan istirahat gaya apapun suka loe</t>
  </si>
  <si>
    <t>Pada akhirnya negara luar melakukan PPKM terhadap WNI.</t>
  </si>
  <si>
    <t>Melanggar PPKM DARURAT tuh
 Kegiatan unfaedah jangan dbiarkan
 Bubarkan segera https://t.co/w9wwx5Ta1A</t>
  </si>
  <si>
    <t>Melanggar PPKM DARURAT tuhKegiatan unfaedah jangan dbiarkanBubarkan segera</t>
  </si>
  <si>
    <t>@mnerokok lagi ppkm jalur kahyangan ikutan tutup bangg</t>
  </si>
  <si>
    <t>lagi ppkm jalur kahyangan ikutan tutup bangg</t>
  </si>
  <si>
    <t>@nety_rusi @tatakujiyati @aniesbaswedan Jkw ssdh umumkan ppkm darurat jawa-bali malah ke kendari 😂😂😂</t>
  </si>
  <si>
    <t>Jkw ssdh umumkan ppkm darurat jawa-bali malah ke kendari</t>
  </si>
  <si>
    <t>PPKM Darurat Segera Berlaku di Medan, Usaha Kuliner Tawarkan Promo untuk Pembelian Lewat Ojek Online - Tribun Medan https://t.co/T7gjct068S</t>
  </si>
  <si>
    <t>PPKM Darurat Segera Berlaku di Medan, Usaha Kuliner Tawarkan Promo untuk Pembelian Lewat Ojek Online - Tribun Medan</t>
  </si>
  <si>
    <t>@rishakim_ @CRAVITY_twt @CRAVITYstarship kan lagi ppkm, abis selesai ppkm langsung meet lah~</t>
  </si>
  <si>
    <t>kan lagi ppkm, abis selesai ppkm langsung meet lah~</t>
  </si>
  <si>
    <t>@rie88_ selesai ppkm harus ktmuan 😭😭</t>
  </si>
  <si>
    <t>selesai ppkm harus ktmuan</t>
  </si>
  <si>
    <t>Tapi serius deh, ppkm kali ini rasanya kaya lockdown banget tapi uluran bantuan dari pemerintah kaya ngga ada tuh gimana ya?</t>
  </si>
  <si>
    <t>pengen maen keluar tapi ditahan tahan karena ppkm, kok orang bisa ya egois hidup tanpa aturan gitu tetep main dan nongkrong keluar gimikirin keselamatan orang lain</t>
  </si>
  <si>
    <t>@Fahrihamzah Teori konapirasi lebih masuk akal di banding ppkm</t>
  </si>
  <si>
    <t>Teori konapirasi lebih masuk akal di banding ppkm</t>
  </si>
  <si>
    <t>@Cobeh09 @Sat_Pinayungan Tujuan PPKM Darurat cukup baik, persoalan nya tdk diikuti oleh tindakan nya, rakyat Itu sederhana bantu untuk kebutuhan dasar yg diperlukan, kalau perlu lockdown sekalian dgn penuhi kebutuhan dasar nya, dipastikan rakyat akan patuh.</t>
  </si>
  <si>
    <t>Tujuan PPKM Darurat cukup baik, persoalan nya tdk diikuti oleh tindakan nya, rakyat Itu sederhana bantu untuk kebutuhan dasar yg diperlukan, kalau perlu lockdown sekalian dgn penuhi kebutuhan dasar nya, dipastikan rakyat akan patuh.</t>
  </si>
  <si>
    <t>@febridiansyah Lagi pula PPKM itu apa benar dijalankan? Ada teman gue kerja di salah satu kementerian. Tiap hari kerjaannya cuma ngetik, bikin PPT, ikut rapat daring, dsb. Kenapa masih diwajibkan ke kantor 3x sepekan?</t>
  </si>
  <si>
    <t>Lagi pula PPKM itu apa benar dijalankan? Ada teman gue kerja di salah satu kementerian. Tiap hari kerjaannya cuma ngetik, bikin PPT, ikut rapat daring, dsb. Kenapa masih diwajibkan ke kantor x sepekan?</t>
  </si>
  <si>
    <t>Ppkm di kantor gue ga berlaku 😀
 Aneh.</t>
  </si>
  <si>
    <t>Ppkm di kantor gue ga berlaku Aneh.</t>
  </si>
  <si>
    <t>Sakit hati banget lihat cara penertiban PPKM ini.</t>
  </si>
  <si>
    <t>Ini mulai serius
 Makin banyak yg mempersoalkan pasal 50 uu kekarantinaan kesehatan dengan diberlakukannya ppkm darurat ini malah bikin sayah bingung saja. Ppkm darurat itu sendiri terbit berdasarkan instruksi mendagri, yg bahkan dalam "konsideransnya" nda nyebut uu kk sama sekali</t>
  </si>
  <si>
    <t>Ini mulai seriusMakin banyak yg mempersoalkan pasal uu kekarantinaan kesehatan dengan diberlakukannya ppkm darurat ini malah bikin sayah bingung saja. Ppkm darurat itu sendiri terbit berdasarkan instruksi mendagri, yg bahkan dalam "konsideransnya" nda nyebut uu kk sama sekali</t>
  </si>
  <si>
    <t>@tugi_saputra @Hilmi28 Kok gtu ya, ah gini deh. Kok pas ppkm kasus semakin melonjak? Hayo</t>
  </si>
  <si>
    <t>Kok gtu ya, ah gini deh. Kok pas ppkm kasus semakin melonjak? Hayo</t>
  </si>
  <si>
    <t>Sayang seribu sayang marwah final @CopaAmerica di @Indosiar HILANG karena KOMENTATORNYA. Padahal dimasa PPKM Darurat ini hiburan tv sangat dibutuhkan biar betah #dirumahaja 🥱</t>
  </si>
  <si>
    <t>Sayang seribu sayang marwah final di HILANG karena KOMENTATORNYA. Padahal dimasa PPKM Darurat ini hiburan tv sangat dibutuhkan biar betah</t>
  </si>
  <si>
    <t>jangan lengah! butuh kerjasama semua orang untuk memutus mata rantai penyebaran covid-19 ini, PPKM dilaksanakan dan tetap patuhi protokol 5M #JokowiAtasiPandemi https://t.co/CBO0dF0te1</t>
  </si>
  <si>
    <t>jangan lengah! butuh kerjasama semua orang untuk memutus mata rantai penyebaran covid-19 ini, PPKM dilaksanakan dan tetap patuhi protokol M</t>
  </si>
  <si>
    <t>ppkm; pagi pagi kena mental</t>
  </si>
  <si>
    <t>@bbych4n_ Ppkm jadi gak sia-sia kalo begini</t>
  </si>
  <si>
    <t>Ppkm jadi gak sia-sia kalo begini</t>
  </si>
  <si>
    <t>Akhirnya setelah aturan PPKM resmi keluar gue lgsung cp pihak hotel kalo kita fix move date ditgl xxx . Nah nih hotel mulai ngeselin montang mantingin gue yg katanya kemaren bisa bantu lgsung ke tgl pastinya tapi jadi ribet bgt dgn berbagai alasan</t>
  </si>
  <si>
    <t>Parah,.... PPKM darurat, denger pengumuman dari toa kampung, suruh kerja bakti...</t>
  </si>
  <si>
    <t>Ada yang cape sepekan bekerja keras,ada yg sepekan hanya berfikir keras karna ppkm
 Sama sama cape tapi beda kondisi</t>
  </si>
  <si>
    <t>Ada yang cape sepekan bekerja keras,ada yg sepekan hanya berfikir keras karna ppkmSama sama cape tapi beda kondisi</t>
  </si>
  <si>
    <t>@mgyuu__ @JkookWisaka Sedang ppkm uncle.</t>
  </si>
  <si>
    <t>Sedang ppkm uncle.</t>
  </si>
  <si>
    <t>PPKM uda masuk satu minggu dan aku cuma keluar cluster 1x buat beli sayur 😅
 tp keknya ga PPKM jg bakal gitu sih 😂</t>
  </si>
  <si>
    <t>PPKM uda masuk satu minggu dan aku cuma keluar cluster x buat beli sayur tp keknya ga PPKM jg bakal gitu sih</t>
  </si>
  <si>
    <t>@adrmafaza Tau kok emang syarat kelulusan, daring okeee emang ada daring, tp kenyataan yg dishare jg kagak daring kan?
 Masih pada lgsg ke lapangan.
 Menjaga memang, tp apakah disaat seperti ini? Kondisi lg tinggi2nya, RS penuh, pemerintah aja ppkm sampai tutup jalan mana2</t>
  </si>
  <si>
    <t>Tau kok emang syarat kelulusan, daring okeee emang ada daring, tp kenyataan yg dishare jg kagak daring kan?Masih pada lgsg ke lapangan.Menjaga memang, tp apakah disaat seperti ini? Kondisi lg tinggi2nya, RS penuh, pemerintah aja ppkm sampai tutup jalan mana2</t>
  </si>
  <si>
    <t>semua jajaran dan kepala daerah terutama masyarakat harus membantu pemerintah dalam melaksanakan PPKM Darurat untuk kebaikan kita semua agar terhindar dari covid-19 #JokowiAtasiPandemi https://t.co/BnJs1MSuDi</t>
  </si>
  <si>
    <t>semua jajaran dan kepala daerah terutama masyarakat harus membantu pemerintah dalam melaksanakan PPKM Darurat untuk kebaikan kita semua agar terhindar dari covid-19</t>
  </si>
  <si>
    <t>Tadinya mau hari ini, qodarullah ppkm. Stay safe ya, penduduk kota tetangga (:</t>
  </si>
  <si>
    <t>Dia ngbrin ditgl 1 juli, krn dsni aslinya gue juga lagi bngung sambil cari” info tw’nya dibuka apa gak pas PPKM, karna kalo ditutup ya percuma dong wuak gue kesono walapun katanya pihak hotel bilang kalo hotelnya tetep beroperasi, lah gue disuruh terbang gt biar lgsung smp hotel</t>
  </si>
  <si>
    <t>Dia ngbrin ditgl juli, krn dsni aslinya gue juga lagi bngung sambil cari info twnya dibuka apa gak pas PPKM, karna kalo ditutup ya percuma dong wuak gue kesono walapun katanya pihak hotel bilang kalo hotelnya tetep beroperasi, lah gue disuruh terbang gt biar lgsung smp hotel</t>
  </si>
  <si>
    <t>@dr_koko28 Ketidakjelasan semua nya berujung adanya PSBB, PPKM dan semacamnya yg itu bs membunuh jutaan rakyat krn kehilangn penghasilan</t>
  </si>
  <si>
    <t>Ketidakjelasan semua nya berujung adanya PSBB, PPKM dan semacamnya yg itu bs membunuh jutaan rakyat krn kehilangn penghasilan</t>
  </si>
  <si>
    <t>@RiaaaGirlsss Apanya ya gimana? PSBB sampe berubah jd PPKM kita ga jalan2 wkwkwkw</t>
  </si>
  <si>
    <t>Apanya ya gimana? PSBB sampe berubah jd PPKM kita ga jalan2 wkwkwkw</t>
  </si>
  <si>
    <t>@FerdinandHaean3 Srimulat......wkwkwkkkk... Lumayanlah buat cr makan masa ppkm....🤪😜</t>
  </si>
  <si>
    <t>Srimulat......wkwkwkkkk... Lumayanlah buat cr makan masa ppkm....</t>
  </si>
  <si>
    <t>Ppkm kali ini benar benar membuat emosi jiwa 🤬</t>
  </si>
  <si>
    <t>Ppkm kali ini benar benar membuat emosi jiwa</t>
  </si>
  <si>
    <t>@nitarose38 Aamiin ..
 PPKM darurat ini tolak ukur keberhasilan pemerintah dlm mengatasi pademi , bila smpi tgl 20, masih banyak korban .. memang layak pemerintah mengibarkan bendera putih ,
 Demi kelasungan kehidupan rakyat Indonesia</t>
  </si>
  <si>
    <t>Aamiin ..PPKM darurat ini tolak ukur keberhasilan pemerintah dlm mengatasi pademi , bila smpi tgl , masih banyak korban .. memang layak pemerintah mengibarkan bendera putih ,Demi kelasungan kehidupan rakyat Indonesia</t>
  </si>
  <si>
    <t>Ppkm : pernah pdkt kemudian menghilang wkwkwkw — Kasian:( https://t.co/Xvo0BNUKfs</t>
  </si>
  <si>
    <t>Ppkm : pernah pdkt kemudian menghilang wkwkwkw Kasian</t>
  </si>
  <si>
    <t>@RD_4WR1212 Demo sesuai Prokes PPKM : pelan pelan Kelompoknya Mati..</t>
  </si>
  <si>
    <t>Demo sesuai Prokes PPKM : pelan pelan Kelompoknya Mati..</t>
  </si>
  <si>
    <t>melihat karyawan yang bekerja secara langsung dan menurutnya Tanobel Food sudah mengikuti peraturan yang tertuang pada PPKM Darurat loh!</t>
  </si>
  <si>
    <t>@ChusnulCh__ @ganjarpranowo Dan peraturan PPKM pun direvisi khusus utk di masjid.🤭🤭</t>
  </si>
  <si>
    <t>Dan peraturan PPKM pun direvisi khusus utk di masjid.</t>
  </si>
  <si>
    <t>@LiaIsti6 @__AnakKolong PPKM : PAK PEPO KAPAN MOOOOO......DYAAAAAARRRR</t>
  </si>
  <si>
    <t>PPKM : PAK PEPO KAPAN MOOOOO......DYAAAAAARRRR</t>
  </si>
  <si>
    <t>Jangan biarkan dunia menjatuhkanmu, meski takdir kadang tak memihakmu.
 PPKM_day</t>
  </si>
  <si>
    <t>Jangan biarkan dunia menjatuhkanmu, meski takdir kadang tak memihakmu.PPKM_day</t>
  </si>
  <si>
    <t>@KedelaiHitaam__ Program PPKM...
 Gedung + Dekor...Catering...bisa di delete...
 Ganti via virtual...:)</t>
  </si>
  <si>
    <t>Program PPKM...Gedung + Dekor...Catering...bisa di delete...Ganti via virtual...</t>
  </si>
  <si>
    <t>@raykairi @arsya_owp @noboncilik @idnkeras @sonasilviana Wah bijak juga, coba abang bilang gini didepan orang yg bergantung hidupnya dimalam hari, contoh pedagang nasi goreng 😅
 Semua tau tujuan ppkm bang, cobalah bang dibalas. Jgn yg ginian dibalas https://t.co/Xa75vcC4IP</t>
  </si>
  <si>
    <t>Wah bijak juga, coba abang bilang gini didepan orang yg bergantung hidupnya dimalam hari, contoh pedagang nasi goreng Semua tau tujuan ppkm bang, cobalah bang dibalas. Jgn yg ginian dibalas</t>
  </si>
  <si>
    <t>Innalillahi wa inna ilaihi rajiun. Allahummagfirlahu warhamhu wa'afihi wa'fuanhu. 
 Inget di Jumatan terakhir sebelum ppkm ketat beliau masih mengisi doa di Masjid Al-Barkah As-Syafi'iyah https://t.co/Z9QPM8vDtk</t>
  </si>
  <si>
    <t>Innalillahi wa inna ilaihi rajiun. Allahummagfirlahu warhamhu wa'afihi wa'fuanhu. Inget di Jumatan terakhir sebelum ppkm ketat beliau masih mengisi doa di Masjid Al-Barkah As-Syafi'iyah</t>
  </si>
  <si>
    <t>Barber sama toko vape terancam ga boleh buka ne selama PPKM.</t>
  </si>
  <si>
    <t>@ppunteenn_ @awwtasyaa lagi mood lari pagi di kamar hotel...mau bawa lari kamu tapi ppkm....wkwwkwk</t>
  </si>
  <si>
    <t>lagi mood lari pagi di kamar hotel...mau bawa lari kamu tapi ppkm....wkwwkwk</t>
  </si>
  <si>
    <t>Selamat pagi minggu ppkm masih belum berlalu..</t>
  </si>
  <si>
    <t>Di Sumbar PPKM jg kak, se Indonesia kena keknya. 
 Rakyat gk boleh kemana² tapi suruh berjuang sendiri utk tetap bisa makan https://t.co/gcRG8ZX2Tj</t>
  </si>
  <si>
    <t>Di Sumbar PPKM jg kak, se Indonesia kena keknya. Rakyat gk boleh kemana tapi suruh berjuang sendiri utk tetap bisa makan</t>
  </si>
  <si>
    <t>@BossTemlen kasihan bapak itu, krn ppkm dia hanya bs melayani tambal ban online</t>
  </si>
  <si>
    <t>kasihan bapak itu, krn ppkm dia hanya bs melayani tambal ban online</t>
  </si>
  <si>
    <t>Ooh iya ppkm. Jd gereja online</t>
  </si>
  <si>
    <t>@selcouthalcyon @yeuyeulala Iya mungkin ya, kasian juga:( apalagi daerah dukuh atas di situ selama ini jadi sepi karena ppkm ketat:(</t>
  </si>
  <si>
    <t>Iya mungkin ya, kasian juga apalagi daerah dukuh atas di situ selama ini jadi sepi karena ppkm ketat</t>
  </si>
  <si>
    <t>@rahung @DonAdam68 @jokowi @mohmahfudmd @jokowi pekok..laksanakan PPKM...Plonga Plongo Kapan Mundur..?</t>
  </si>
  <si>
    <t>pekok..laksanakan PPKM...Plonga Plongo Kapan Mundur..?</t>
  </si>
  <si>
    <t>mari kita dukung PPKM Darurat untuk keselamatan kita semua! #JokowiAtasiPandemi https://t.co/5LVukx2R5E</t>
  </si>
  <si>
    <t>mari kita dukung PPKM Darurat untuk keselamatan kita semua!</t>
  </si>
  <si>
    <t>@0neReason @caesar_emil Kita Dukung PPKM Darurat</t>
  </si>
  <si>
    <t>Kita Dukung PPKM Darurat</t>
  </si>
  <si>
    <t>@fadjroeL Saya sebagai driver taksi online hampir dua Minggu ini penghasilan nihil hidup sdh mulai lagi berhutang kiri kanan untuk memenuhi kebutuhan rumah tangga saya setoran mobil pun sudah mulai menunggak....semoga PPKM ini cepat berakhir...</t>
  </si>
  <si>
    <t>Saya sebagai driver taksi online hampir dua Minggu ini penghasilan nihil hidup sdh mulai lagi berhutang kiri kanan untuk memenuhi kebutuhan rumah tangga saya setoran mobil pun sudah mulai menunggak....semoga PPKM ini cepat berakhir...</t>
  </si>
  <si>
    <t>@Yang_M0elia Contoh yg merugikan rakyat ppkm</t>
  </si>
  <si>
    <t>Contoh yg merugikan rakyat ppkm</t>
  </si>
  <si>
    <t>@Se_Na_Sionalis @adearmando1 Omong banyak.. Perusahaan yg disidak sja ngaku melakukan PPKM darurat, lahhh lu yg kagak jelas ngebela apa sebenrnya 😤😤😤😤 https://t.co/gPey9D0jbm</t>
  </si>
  <si>
    <t>Omong banyak.. Perusahaan yg disidak sja ngaku melakukan PPKM darurat, lahhh lu yg kagak jelas ngebela apa sebenrnya</t>
  </si>
  <si>
    <t>Mantap, semoga langkah PPKM sudah tepat dan bisa menjadi solusi.. https://t.co/JS8ECriPZ4</t>
  </si>
  <si>
    <t>Mantap, semoga langkah PPKM sudah tepat dan bisa menjadi solusi..</t>
  </si>
  <si>
    <t>PPKM
 pagi pagi kepingin martabak 😭</t>
  </si>
  <si>
    <t>PPKMpagi pagi kepingin martabak</t>
  </si>
  <si>
    <t>@rahung - Sembako kena ppn 12%
 - Pelanggar prokes (khusus rakyat jelata) denda 5jt
 - PPKM sekedar bongkar2 warung kecil, club malam dan panti pijet jalan trus.
 - Vaksin harus beli, klo mau gratisan ngantri itu pun kualitas KW
 - TURIS disambut dengan meriah alasannya sdh sesuai prokes</t>
  </si>
  <si>
    <t>- Sembako kena ppn %- Pelanggar prokes (khusus rakyat jelata) denda jt- PPKM sekedar bongkar2 warung kecil, club malam dan panti pijet jalan trus.- Vaksin harus beli, klo mau gratisan ngantri itu pun kualitas KW- TURIS disambut dengan meriah alasannya sdh sesuai prokes</t>
  </si>
  <si>
    <t>@GhazyPerjuangan 😄😄😄
 Cari calapang sambil jogging sana...gada PPKM kan di Padang?</t>
  </si>
  <si>
    <t>Cari calapang sambil jogging sana...gada PPKM kan di Padang?</t>
  </si>
  <si>
    <t>PPKM sudah tepat sih ya menurut gue. https://t.co/uG1MPRwEpF</t>
  </si>
  <si>
    <t>PPKM sudah tepat sih ya menurut gue.</t>
  </si>
  <si>
    <t>☁️ ppkm pengen pacarin km</t>
  </si>
  <si>
    <t>ppkm pengen pacarin km</t>
  </si>
  <si>
    <t>Pengen bubur ayam tp lagi ppkm 😫</t>
  </si>
  <si>
    <t>Pengen bubur ayam tp lagi ppkm</t>
  </si>
  <si>
    <t>@DiwanBayu @magelang_fess Iyalah,PPKM kan tgl 3 juli</t>
  </si>
  <si>
    <t>Iyalah,PPKM kan tgl juli</t>
  </si>
  <si>
    <t>Pagi” udah ngeluarin unek” karna dibuat kesel sama traveloka, jadi ceritanya mau staycation disalah satu hotel ditw udah booking dari sebelum PPKM, ternyata pas bgt tgl yg kita pilih itu waktu PPKM akhirnya karna kita mau patuh sama aturan pemerintah memutuskan untuk reschedule</t>
  </si>
  <si>
    <t>Pagi udah ngeluarin unek karna dibuat kesel sama traveloka, jadi ceritanya mau staycation disalah satu hotel ditw udah booking dari sebelum PPKM, ternyata pas bgt tgl yg kita pilih itu waktu PPKM akhirnya karna kita mau patuh sama aturan pemerintah memutuskan untuk reschedule</t>
  </si>
  <si>
    <t>@helloiamsasaaa @txtdrberseragam Kalo kejadian beneran, selese ppkm bibirnya pada dower karena niupin ban mobil 🤣🤣</t>
  </si>
  <si>
    <t>Kalo kejadian beneran, selese ppkm bibirnya pada dower karena niupin ban mobil</t>
  </si>
  <si>
    <t>@PuteriSrimaya Ppkm dek... semacam lockdown tp ga mau kasi makan🤣</t>
  </si>
  <si>
    <t>Ppkm dek... semacam lockdown tp ga mau kasi makan</t>
  </si>
  <si>
    <t>@bertanyarl ini si nder td aku krumah dia bawain martabak trs dia ngajak selfiee, abistu lsg pulang karna lgi ppkm juga kann https://t.co/9xqx877gen</t>
  </si>
  <si>
    <t>ini si nder td aku krumah dia bawain martabak trs dia ngajak selfiee, abistu lsg pulang karna lgi ppkm juga kann</t>
  </si>
  <si>
    <t>Jalur yang ditutup selama PPKM
 - Kota Batu - Kota Malang
 - Kabupaten Malang - Kota Malang
 - Hatimu - Untukku</t>
  </si>
  <si>
    <t>Jalur yang ditutup selama PPKM- Kota Batu - Kota Malang- Kabupaten Malang - Kota Malang- Hatimu - Untukku</t>
  </si>
  <si>
    <t>Apa cuma aing yg mikir kalo dr lois cuma mengalihkan isu disaat angka covid makin tinggi dan ada oknum yang ketauan nongkrong pas ppkm? 😭🤣</t>
  </si>
  <si>
    <t>Apa cuma aing yg mikir kalo dr lois cuma mengalihkan isu disaat angka covid makin tinggi dan ada oknum yang ketauan nongkrong pas ppkm?</t>
  </si>
  <si>
    <t>@yeuyeulala ppkm jarang ada yg kasi makan kali mba</t>
  </si>
  <si>
    <t>ppkm jarang ada yg kasi makan kali mba</t>
  </si>
  <si>
    <t>@FerdinandHaean3 Pelan Pelan Kita Modar = PPKM</t>
  </si>
  <si>
    <t>Pelan Pelan Kita Modar = PPKM</t>
  </si>
  <si>
    <t>Btw medan lagi ppkm darurat. Ini ppkm nya sama kayak area jawa bali ga sih</t>
  </si>
  <si>
    <t>PKL banyak kena dampaknya ... 
 Tapi ya apa boleh buat lah ,, gw tetep jualan dagang walau kondisi masih PPKM dan gw jualan juga kaga Ampe malam hari cuma sampe jam siang doank ..... Kalo ada bantuan dari pemerintah tanpa cuma" gak pakek embel" tetek bengek ya bersyukur ...</t>
  </si>
  <si>
    <t>PKL banyak kena dampaknya ... Tapi ya apa boleh buat lah ,, gw tetep jualan dagang walau kondisi masih PPKM dan gw jualan juga kaga Ampe malam hari cuma sampe jam siang doank ..... Kalo ada bantuan dari pemerintah tanpa cuma" gak pakek embel" tetek bengek ya bersyukur ...</t>
  </si>
  <si>
    <t>@saidi_sudarsono Biar tambah rame.....
 Meredakan ketenganngan akibat ppkm terbaru.....😁😁😁</t>
  </si>
  <si>
    <t>Biar tambah rame.....Meredakan ketenganngan akibat ppkm terbaru.....</t>
  </si>
  <si>
    <t>Ppkm : pernah pdkt kemudian menghilang wkwkwkw — Ahahaaa.... Iya, aku selalu jadi korbannya https://t.co/R1qDJsXZqE</t>
  </si>
  <si>
    <t>Ppkm : pernah pdkt kemudian menghilang wkwkwkw Ahahaaa.... Iya, aku selalu jadi korbannya</t>
  </si>
  <si>
    <t>Hai Mba @tatakujiyati, saya selalu dukung penegakan PPKM Darurat, selama dilakukan dengan benar dan gak tebang pilih, bukan demi sensasi. Lha wong Pak @aniesbaswedan aja jalan2 keluar daerah kok abis lebaran. Ini kalo Pak Anies marah-marah juga hebat 😃
 https://t.co/KBaGv614TM</t>
  </si>
  <si>
    <t>Hai Mba , saya selalu dukung penegakan PPKM Darurat, selama dilakukan dengan benar dan gak tebang pilih, bukan demi sensasi. Lha wong Pak aja jalan2 keluar daerah kok abis lebaran. Ini kalo Pak Anies marah-marah juga hebat</t>
  </si>
  <si>
    <t>@Kita_AMLTF JAGA INDONESIA. PATUHI PROKES.
 Dimasa PPKM lbh kita dirumah saja, tetap jaga imunitas dgn mkn mknan bgizi (sayu dan buah) dan olah raga. Semua bs dilakukan drmh.
 Btw kaosku keren ya✌😁.
 NKRI MAJU TANPA TPPU-PT https://t.co/Pv6iUJIlsv</t>
  </si>
  <si>
    <t>JAGA INDONESIA. PATUHI PROKES.Dimasa PPKM lbh kita dirumah saja, tetap jaga imunitas dgn mkn mknan bgizi (sayu dan buah) dan olah raga. Semua bs dilakukan drmh.Btw kaosku keren ya.NKRI MAJU TANPA TPPU-PT</t>
  </si>
  <si>
    <t>@Byeebyeeefever Benerr, adeknya si bdsm sih ppkm😭😭</t>
  </si>
  <si>
    <t>Benerr, adeknya si bdsm sih ppkm</t>
  </si>
  <si>
    <t>Penyekatan PPKM Darurat di Lamongan diperluas. Jika sebelumnya hanya diterapkan di seputaran alun-alun, kini diperluas ke beberapa ruas jalan. https://t.co/jubmNUAMFk</t>
  </si>
  <si>
    <t>Penyekatan PPKM Darurat di Lamongan diperluas. Jika sebelumnya hanya diterapkan di seputaran alun-alun, kini diperluas ke beberapa ruas jalan.</t>
  </si>
  <si>
    <t>Kalau mau PPKM Darurat masyarakat benar² tdk keluar rumah, HARUSNYA DIINISIASI SIARAN BOLA ini di bukak di TV dan GRATIS untuk di lihat tan berbayar di saluran TV. Setuju..? #TambahTitikPenyekatan #JokowiAtasiPandemi #PPKMDaruratLawanCovid Aktivitas Patuhi Prokes5M https://t.co/2AczC501rk</t>
  </si>
  <si>
    <t>Kalau mau PPKM Darurat masyarakat benar tdk keluar rumah, HARUSNYA DIINISIASI SIARAN BOLA ini di bukak di TV dan GRATIS untuk di lihat tan berbayar di saluran TV. Setuju..? Aktivitas Patuhi Prokes5M</t>
  </si>
  <si>
    <t>PPKM.. Pernah Percaya Kemudian Menyesal
 #PPKM</t>
  </si>
  <si>
    <t>PPKM.. Pernah Percaya Kemudian Menyesal</t>
  </si>
  <si>
    <t>@CiyeCiye_Hihihi 🤣🤣🤣🤣🤣🤣🤣🤣🤣 biar pada travelling saat ppkm</t>
  </si>
  <si>
    <t>biar pada travelling saat ppkm</t>
  </si>
  <si>
    <t>@mardasari nunggu ppkm selesai dulu daa heheh</t>
  </si>
  <si>
    <t>nunggu ppkm selesai dulu daa heheh</t>
  </si>
  <si>
    <t>#BahuMembahuAtasiPandemi
 Yg katanya bosan dirumahaja, gk bs ktmu tmn, gk bs cari duit
 Coba seandainya sblm ppkm darurat berlaku, kalian nuruttt taat prokes, gw rasa PPKM darurat gak bakal ad. Dah skrg, ikuti aturan. Semua dilakukan demi kebaikan kita bersama. Jangan lupa vaksin https://t.co/9zW0Lk9JwN</t>
  </si>
  <si>
    <t>katanya bosan dirumahaja, gk bs ktmu tmn, gk bs cari duitCoba seandainya sblm ppkm darurat berlaku, kalian nuruttt taat prokes, gw rasa PPKM darurat gak bakal ad. Dah skrg, ikuti aturan. Semua dilakukan demi kebaikan kita bersama. Jangan lupa vaksin</t>
  </si>
  <si>
    <t>@p4dill ah lagi ppkm 😂</t>
  </si>
  <si>
    <t>ah lagi ppkm</t>
  </si>
  <si>
    <t>#BahuMembahuAtasiPandemi
 Presiden @jokowi meminta para kepala daerah dan jajarannya untuk serius menjalankan Pemberlakuan Pembatasan Kegiatan Masyarakat (PPKM) Darurat. Kepala daerah harus mengabaikan kepentingan politik dan fokus menangani keselamatan rakyat 🔊 https://t.co/ZUSm6T8t7F</t>
  </si>
  <si>
    <t>meminta para kepala daerah dan jajarannya untuk serius menjalankan Pemberlakuan Pembatasan Kegiatan Masyarakat (PPKM) Darurat. Kepala daerah harus mengabaikan kepentingan politik dan fokus menangani keselamatan rakyat</t>
  </si>
  <si>
    <t>#BahuMembahuAtasiPandemi
 Peyebaran Covid-19 harus cepat diambil tindakan pencegahannya.PPKM Darurat menjadi sangat penting untuk dijalankan.Seluruh jajaran dan 
 Kepala daerah bisa diberhentikan bila tidak menjalankan PPKM Darurat
 @jokowi lawan pandemi https://t.co/tB2xrXLCkI</t>
  </si>
  <si>
    <t>Covid-19 harus cepat diambil tindakan pencegahannya.PPKM Darurat menjadi sangat penting untuk dijalankan.Seluruh jajaran dan Kepala daerah bisa diberhentikan bila tidak menjalankan PPKM Darurat lawan pandemi</t>
  </si>
  <si>
    <t>@Rizkyba63579001 #GulingkanRezimDzalim 
 PPKm menimbulkan Kekerasan dan perampsaan yg dipertontonkan</t>
  </si>
  <si>
    <t>PPKm menimbulkan Kekerasan dan perampsaan yg dipertontonkan</t>
  </si>
  <si>
    <t>@raraaaya bsk kita ppkm darurat kira2 yg jalan2 ap yh</t>
  </si>
  <si>
    <t>bsk kita ppkm darurat kira2 yg jalan2 ap yh</t>
  </si>
  <si>
    <t>#BahuMembahuAtasiPandemi
 Pemerintah sudah menyiapkan sanksi bagi para kepala daerah, ayo bapak2 kepala daerah PPKM Darurat segaralah dijalankan , kasih tindakan tegas warga anda maupun tempat usaha yang melanggar ketentuan PPKM Darurat ini..tunjukan wilayah anda2 terbaik.👍🏽 https://t.co/wa5AaErmBj</t>
  </si>
  <si>
    <t>sudah menyiapkan sanksi bagi para kepala daerah, ayo bapak2 kepala daerah PPKM Darurat segaralah dijalankan , kasih tindakan tegas warga anda maupun tempat usaha yang melanggar ketentuan PPKM Darurat ini..tunjukan wilayah anda2 terbaik.</t>
  </si>
  <si>
    <t>@sayangunii Lagi ppkm kak</t>
  </si>
  <si>
    <t>Lagi ppkm kak</t>
  </si>
  <si>
    <t>@siregar_najeges Sudahlah gak ditanggung makan, cari makan di ppkm, ehhh vaksin pun di suruh beli, klo gak vaksin dihambat gak bisa kemana dan gak bisa ngurus segala sesuatu, kurang gimana lagi menyengsarakan rakyat ? 😡</t>
  </si>
  <si>
    <t>Sudahlah gak ditanggung makan, cari makan di ppkm, ehhh vaksin pun di suruh beli, klo gak vaksin dihambat gak bisa kemana dan gak bisa ngurus segala sesuatu, kurang gimana lagi menyengsarakan rakyat ?</t>
  </si>
  <si>
    <t>@RadioElshinta PPKM daruratnya kemana?</t>
  </si>
  <si>
    <t>PPKM daruratnya kemana?</t>
  </si>
  <si>
    <t>Sepi bgt wkt ppkm ky gini, biasa sm keramaian, tp ya jadi damai jg rasanya. Jd tau, oh gini kalo lg Nyepi kyk di Bali 😂</t>
  </si>
  <si>
    <t>Sepi bgt wkt ppkm ky gini, biasa sm keramaian, tp ya jadi damai jg rasanya. Jd tau, oh gini kalo lg Nyepi kyk di Bali</t>
  </si>
  <si>
    <t>2020 : PSBB
 2021 : PPKM
 2022 : ?</t>
  </si>
  <si>
    <t>: PSBB2021 : PPKM2022 : ?</t>
  </si>
  <si>
    <t>@dikatogetoge dah pesen tiket dr sbelum ppkm😭</t>
  </si>
  <si>
    <t>dah pesen tiket dr sbelum ppkm</t>
  </si>
  <si>
    <t>Mari PPKM cause ada yg lebih penting untuk diperjuangkan. https://t.co/WCCGE59DG2</t>
  </si>
  <si>
    <t>Mari PPKM cause ada yg lebih penting untuk diperjuangkan.</t>
  </si>
  <si>
    <t>@rizieqdivist @aniesbaswedan buah jatuh ga jauh dari pohonnya. Pimpinannya dungu, ya anak buahnya goblok. 
 Masjid masih banyak yang buka. Sweeping cuma masjid dijalan raya. Itupun saya masih bisa Jumatan dimana DKM nya curi curi dan akal akalan..lalu masjid dikampung. Buanyak. PPKM cuma dikampretin mrk</t>
  </si>
  <si>
    <t>buah jatuh ga jauh dari pohonnya. Pimpinannya dungu, ya anak buahnya goblok. Masjid masih banyak yang buka. Sweeping cuma masjid dijalan raya. Itupun saya masih bisa Jumatan dimana DKM nya curi curi dan akal akalan..lalu masjid dikampung. Buanyak. PPKM cuma dikampretin mrk</t>
  </si>
  <si>
    <t>Sabtu ga kemana mana nih? Tapi PPKM juga ya haduh bingung</t>
  </si>
  <si>
    <t>@Dputrisolo Tindak tegas pelanggar PPKM Darurat</t>
  </si>
  <si>
    <t>Tindak tegas pelanggar PPKM Darurat</t>
  </si>
  <si>
    <t>Ada buzzer yg singgung mengenai kemarahan pak Anies k perusahaan asuransi yg tidak patuh PPKM darurat. 
 Siapa buzzer ny? 🤔 https://t.co/36NvkP5E7S</t>
  </si>
  <si>
    <t>Ada buzzer yg singgung mengenai kemarahan pak Anies k perusahaan asuransi yg tidak patuh PPKM darurat. Siapa buzzer ny?</t>
  </si>
  <si>
    <t>@dondar_jakarta Min, selama PPKM ini prosedur utk donor msh kaya biasa atau hrs registrasi dlu ? Trm ksh</t>
  </si>
  <si>
    <t>Min, selama PPKM ini prosedur utk donor msh kaya biasa atau hrs registrasi dlu ? Trm ksh</t>
  </si>
  <si>
    <t>@kjnkyusite lah iya lama jugaaa, mungkin ppkm kali banyak yg kesendat ekspedisi nua</t>
  </si>
  <si>
    <t>lah iya lama jugaaa, mungkin ppkm kali banyak yg kesendat ekspedisi nua</t>
  </si>
  <si>
    <t>Ga sebel ama ppkm nya ko 
 Tapi sebel dikit deh . Kmrn botram juga uda lagi naek2 nya eh lockdown. Dan berimbas matinya usaha gue yg gue rintis dr awal dr muter2 pake bemo
 Skrg juga gitu baru bikin booth di depan dan mulai rame yg dateng eh ppkm smoga bisa bertahan .</t>
  </si>
  <si>
    <t>Ga sebel ama ppkm nya ko Tapi sebel dikit deh . Kmrn botram juga uda lagi naek2 nya eh lockdown. Dan berimbas matinya usaha gue yg gue rintis dr awal dr muter2 pake bemoSkrg juga gitu baru bikin booth di depan dan mulai rame yg dateng eh ppkm smoga bisa bertahan .</t>
  </si>
  <si>
    <t>astaghfirullaah sangat disayangkan. lagi ppkm gini malah ngumpul2, ada kali total 10an motor, ruame poll. ga ada jaga jarak, berisik pula. geram sekali saya pengen bubarin😡</t>
  </si>
  <si>
    <t>astaghfirullaah sangat disayangkan. lagi ppkm gini malah ngumpul2, ada kali total an motor, ruame poll. ga ada jaga jarak, berisik pula. geram sekali saya pengen bubarin</t>
  </si>
  <si>
    <t>@arisjnrti Nusa penida gak kena ppkm tapi nyebrang lewat pantai kusamba klungkung</t>
  </si>
  <si>
    <t>Nusa penida gak kena ppkm tapi nyebrang lewat pantai kusamba klungkung</t>
  </si>
  <si>
    <t>Pakde gatau kepanjangan PPKM? 
 Kalo gatau aku kasih tau
 Pakde Pakde Kapan Mundurnya xixixi</t>
  </si>
  <si>
    <t>Pakde gatau kepanjangan PPKM? Kalo gatau aku kasih tauPakde Pakde Kapan Mundurnya xixixi</t>
  </si>
  <si>
    <t>manaan masih 9 hari lagi nih ppkm🌝</t>
  </si>
  <si>
    <t>manaan masih hari lagi nih ppkm</t>
  </si>
  <si>
    <t>Keliatan banget waktu diambil alih wajah si bapak satunya langsung sumringah. Rasanya ikut nyesss🥺Buat temen temen yg melakukan perjalanan kereta baik masa PPKM atau setelah, coba pake porter yaa. 30rb dari kita berarti banget buat mereka❤️🙏</t>
  </si>
  <si>
    <t>Keliatan banget waktu diambil alih wajah si bapak satunya langsung sumringah. Rasanya ikut nyesssBuat temen temen yg melakukan perjalanan kereta baik masa PPKM atau setelah, coba pake porter yaa. rb dari kita berarti banget buat mereka</t>
  </si>
  <si>
    <t>Pengen coba ngelamar kerja lagi. Tapi ppkm darurat dimana mana. Saingan kerja dimana mana. Orang dalem juga dimana mana.
 Mau keluar rumah, orang lain cuma bisa bilang "ga coba cari kerjaan yang lain?"
 Ndasmuuuuuuu</t>
  </si>
  <si>
    <t>Pengen coba ngelamar kerja lagi. Tapi ppkm darurat dimana mana. Saingan kerja dimana mana. Orang dalem juga dimana mana.Mau keluar rumah, orang lain cuma bisa bilang "ga coba cari kerjaan yang lain?"Ndasmuuuuuuu</t>
  </si>
  <si>
    <t>Pagi sadayanaa~~
 Selamat hari pesta nama Santo Benedictus, biar diberkati untuk memberkati 🙏🙏😊
 Happy Sunday dan selamat mengikuti misa online 🙏🙏😊
 Ttp prokes dl di masa PPKM darurat ini ya, spy smuanya bisa sehat lg. 
 Sehat n bnyk rejeki slalu 🙏🙏😊 https://t.co/v1L9Fceiha</t>
  </si>
  <si>
    <t>Pagi sadayanaa~~Selamat hari pesta nama Santo Benedictus, biar diberkati untuk memberkati Happy Sunday dan selamat mengikuti misa online Ttp prokes dl di masa PPKM darurat ini ya, spy smuanya bisa sehat lg. Sehat n bnyk rejeki slalu</t>
  </si>
  <si>
    <t>Ku gak suka ppkm, aku sukanya ppk kamu aja sihhh</t>
  </si>
  <si>
    <t>Ppkm ini menyadarkanku, nikahnya dicepetin, sederhana aja, ngundang 30 org kluarga inti n temen deket. Uang yg rencananya buat intimate wedding buat perabotan rumah</t>
  </si>
  <si>
    <t>Ppkm ini menyadarkanku, nikahnya dicepetin, sederhana aja, ngundang org kluarga inti n temen deket. Uang yg rencananya buat intimate wedding buat perabotan rumah</t>
  </si>
  <si>
    <t>@ARSIPAJA Bisa jadi PPKM ini adalah dampak karena kurang disiplin di new normal,misal pada mendadak panci buying dampak kerumunan, ada yg positif tp gak kedata.karena kebiasaan. menormalisasi serta romantisir keadaan sampe lupa bahwa hari ini adalah dampak kemarin.</t>
  </si>
  <si>
    <t>Bisa jadi PPKM ini adalah dampak karena kurang disiplin di new normal,misal pada mendadak panci buying dampak kerumunan, ada yg positif tp gak kedata.karena kebiasaan. menormalisasi serta romantisir keadaan sampe lupa bahwa hari ini adalah dampak kemarin.</t>
  </si>
  <si>
    <t>@xfddzai lagi ppkm males keluar</t>
  </si>
  <si>
    <t>lagi ppkm males keluar</t>
  </si>
  <si>
    <t>@Kita_AMLTF Bismillah ✨✨
 JAGA INDONESIA. PATUHI PROKES
 Jangan hanya menuntut hak kita dibatasi ketika PPKM sampai lupa hak orang lain yang akan membahayakan mereka ketika kita tidak disiplin menjalankan prokes.
 Mari selalu saling mengingatkan dalam hal kebaikan 💪💪😊
 🇮🇩🇮🇩🇮🇩❤️❤️🇮🇩🇮🇩🇮🇩</t>
  </si>
  <si>
    <t>Bismillah JAGA INDONESIA. PATUHI PROKESJangan hanya menuntut hak kita dibatasi ketika PPKM sampai lupa hak orang lain yang akan membahayakan mereka ketika kita tidak disiplin menjalankan prokes.Mari selalu saling mengingatkan dalam hal kebaikan</t>
  </si>
  <si>
    <t>ini makin ke belakang PPKM direvisi terus dan makin kaya di lockdown dah😫</t>
  </si>
  <si>
    <t>ini makin ke belakang PPKM direvisi terus dan makin kaya di lockdown dah</t>
  </si>
  <si>
    <t>@gustuNata @ARSIPAJA Selalu ada pengecualian kok, mau PPKM mau enggak, lagi nunggu berita kedai besar yg didenda ringan saat PPKM</t>
  </si>
  <si>
    <t>Selalu ada pengecualian kok, mau PPKM mau enggak, lagi nunggu berita kedai besar yg didenda ringan saat PPKM</t>
  </si>
  <si>
    <t>pls pengen nonton black widow hueheue tp diundur gara gara ppkm😩</t>
  </si>
  <si>
    <t>pls pengen nonton black widow hueheue tp diundur gara gara ppkm</t>
  </si>
  <si>
    <t>@Antagonistgirlz Yaudah nanti abis ppkm</t>
  </si>
  <si>
    <t>Yaudah nanti abis ppkm</t>
  </si>
  <si>
    <t>@Penyair_Berdiri Patuhi aturan PPKM Darurat</t>
  </si>
  <si>
    <t>Patuhi aturan PPKM Darurat</t>
  </si>
  <si>
    <t>Senin : Upacara, PPKM, Bahasa Indonesia, Matematika, Biologi</t>
  </si>
  <si>
    <t>@ObiWan_Catnobi Aneh bgt sampe skrg ga ada rule sama sekali soal pengamanan basic need kaya sembako, oksigen, obat2an dll
 Aku ga mikir PPKM darurat ini sebelah mana daruratnya</t>
  </si>
  <si>
    <t>Aneh bgt sampe skrg ga ada rule sama sekali soal pengamanan basic need kaya sembako, oksigen, obat2an dllAku ga mikir PPKM darurat ini sebelah mana daruratnya</t>
  </si>
  <si>
    <t>@sitierda Yuukk dukung PPKM Darurat</t>
  </si>
  <si>
    <t>Yuukk dukung PPKM Darurat</t>
  </si>
  <si>
    <t>@KRMTRoySuryo2 Kondisi saat ini seharusnya sudah masuk kategori luarbiasa. Tapi penguasa disorientasi. Katanya Fokus pandemi tapi struktur lebih banyak petugas ekonomi. Sehingga PPKM cuma untuk WNI dan bukan WNA. Pandemi hanya kamuflase peminjaman tapi dananya guna infrastruktur. Miris...</t>
  </si>
  <si>
    <t>Kondisi saat ini seharusnya sudah masuk kategori luarbiasa. Tapi penguasa disorientasi. Katanya Fokus pandemi tapi struktur lebih banyak petugas ekonomi. Sehingga PPKM cuma untuk WNI dan bukan WNA. Pandemi hanya kamuflase peminjaman tapi dananya guna infrastruktur. Miris...</t>
  </si>
  <si>
    <t>Dikon ppkm tp antrian vaksin mbludak?</t>
  </si>
  <si>
    <t>Kasian bgt liat berita2 penegasan yang berkedok “ppkm” tp tega bgt sm yg nyari nafkah dijalanan</t>
  </si>
  <si>
    <t>Kasian bgt liat berita2 penegasan yang berkedok ppkm tp tega bgt sm yg nyari nafkah dijalanan</t>
  </si>
  <si>
    <t>Ldr + ppkm jadi satu yaudah kuat2an ajadah ya 😓 https://t.co/3tpyyS2SwB</t>
  </si>
  <si>
    <t>Ldr + ppkm jadi satu yaudah kuat2an ajadah ya</t>
  </si>
  <si>
    <t>guis klo ppkm gini warkop buka nggak yh pgn bgt makan burketem 😭😭😭😭😭😭😭😭😭😭</t>
  </si>
  <si>
    <t>guis klo ppkm gini warkop buka nggak yh pgn bgt makan burketem</t>
  </si>
  <si>
    <t>@SoloMenfess WiFi kenceng namdwa. tapi ga tau selama PPKM bisa dine in atau ga ehehe</t>
  </si>
  <si>
    <t>WiFi kenceng namdwa. tapi ga tau selama PPKM bisa dine in atau ga ehehe</t>
  </si>
  <si>
    <t>@FeryBastardo Di rumah aja, lagi ppkm</t>
  </si>
  <si>
    <t>Di rumah aja, lagi ppkm</t>
  </si>
  <si>
    <t>@rosyidarosyi lg ppkm gini yg bisa dipeluk cuma agama😔💔👍🏽</t>
  </si>
  <si>
    <t>lg ppkm gini yg bisa dipeluk cuma agama</t>
  </si>
  <si>
    <t>@DevitaYani_Y Yuk turit serta sukseskan PPKM Darurat</t>
  </si>
  <si>
    <t>Yuk turit serta sukseskan PPKM Darurat</t>
  </si>
  <si>
    <t>@PT_Transjakarta Iya yang saya konfirmasikan apakah selama PPKM masih beroperasi? Info yang saya terima sudah bahwa selama PPKM rute ui-manggarai ga beroperasi apakah benar?</t>
  </si>
  <si>
    <t>Iya yang saya konfirmasikan apakah selama PPKM masih beroperasi? Info yang saya terima sudah bahwa selama PPKM rute ui-manggarai ga beroperasi apakah benar?</t>
  </si>
  <si>
    <t>@Widyarenee_ Semua harus jalankan PPKM Darurat</t>
  </si>
  <si>
    <t>Semua harus jalankan PPKM Darurat</t>
  </si>
  <si>
    <t>Pensiun sementara dulu ya smpai PPKM selesai 😔 https://t.co/2nCj4LXoQz</t>
  </si>
  <si>
    <t>Pensiun sementara dulu ya smpai PPKM selesai</t>
  </si>
  <si>
    <t>kan...kan..kan..gara2 PPKM darurat, lupa brapa vonis Eddy Binur dan Juliardi bansos.. ??</t>
  </si>
  <si>
    <t>@hellbilliess PPKM - pekerja pekerja kar mati 🥲</t>
  </si>
  <si>
    <t>PPKM - pekerja pekerja kar mati</t>
  </si>
  <si>
    <t>Sedih karena ga bisa berbuat apa2 ngeliat orang jadi susah kerja karena ppkm, tapi lebih sedih lagi karena masih banyak kali orang orang keras kepala yang masih bisa kerja tapi disuruh ikutin prokes tapi ga mau.</t>
  </si>
  <si>
    <t>Vaksin malah disuruh beli doong, udah tau PPKM apa2 cari duit susah, ini vaksin disuruh beli HAHAHA!</t>
  </si>
  <si>
    <t>covid dan ppkm ini sebenarnya mengajarkan kita untuk tidak boros di hari kemaren! Biar bisa ada simpanan ketika kita tidak bekerja dan lagi di fase susah cari uang. hanya saja orang orang tidak menyadarinya</t>
  </si>
  <si>
    <t>Tahun lalu psbb ngungsi ke rudis trs, thn ini ppkm dikosan aja. Krn temen main ke rudis dah gaada aja sih 😌</t>
  </si>
  <si>
    <t>Tahun lalu psbb ngungsi ke rudis trs, thn ini ppkm dikosan aja. Krn temen main ke rudis dah gaada aja sih</t>
  </si>
  <si>
    <t>@katzedikke Klo endut itu gampang naik susah turun, kaya udah ngarep ngarep taunya ppkm, pergi pagi kagak kembali</t>
  </si>
  <si>
    <t>Klo endut itu gampang naik susah turun, kaya udah ngarep ngarep taunya ppkm, pergi pagi kagak kembali</t>
  </si>
  <si>
    <t>@JebulMania291 @tsetiady Waduh parah, makin susah aja ini pengendalian wabah atau pandemik...
 Pak @Puspen_TNI tolong turun tangan pak..bantu penegakan PPKM di daerah2..</t>
  </si>
  <si>
    <t>Waduh parah, makin susah aja ini pengendalian wabah atau pandemik...Pak tolong turun tangan pak..bantu penegakan PPKM di daerah2..</t>
  </si>
  <si>
    <t>@republikaonline Kritik: efektifkan PPKM darurat
 Solusi : segera tutup bandara.</t>
  </si>
  <si>
    <t>Kritik: efektifkan PPKM daruratSolusi : segera tutup bandara.</t>
  </si>
  <si>
    <t>@bukan_embunpagi Oiyaa ppkm 🥺
 Uwaaa aku mau di gopudin😭 makasihhhh mbun 😭😭</t>
  </si>
  <si>
    <t>Oiyaa ppkm Uwaaa aku mau di gopudin makasihhhh mbun</t>
  </si>
  <si>
    <t>@jokowi Kayak nya ppkm darurat gak berguna. Tetap aja kasus covid naik. Jng buat stress rakyat lah... rakyat sdh paham ber masker.</t>
  </si>
  <si>
    <t>Kayak nya ppkm darurat gak berguna. Tetap aja kasus covid naik. Jng buat stress rakyat lah... rakyat sdh paham ber masker.</t>
  </si>
  <si>
    <t>Kata nya sih PPKM untuk membuat masyarakat lebih produktif dan aman.
 Tidak madara, tapi itu memiskin kan dengan gaya</t>
  </si>
  <si>
    <t>Kata nya sih PPKM untuk membuat masyarakat lebih produktif dan aman.Tidak madara, tapi itu memiskin kan dengan gaya</t>
  </si>
  <si>
    <t>Setelah ppkm lembang menanti travs 🔥⚽</t>
  </si>
  <si>
    <t>Setelah ppkm lembang menanti travs</t>
  </si>
  <si>
    <t>@womanfeeds_id Kalo lagi ppkm mending wo di rumah aja</t>
  </si>
  <si>
    <t>Kalo lagi ppkm mending wo di rumah aja</t>
  </si>
  <si>
    <t>@aconmile tutup sis ppkm😭</t>
  </si>
  <si>
    <t>tutup sis ppkm</t>
  </si>
  <si>
    <t>@womanfeeds_id wo dirumah dulu nder, lagi ppkm</t>
  </si>
  <si>
    <t>wo dirumah dulu nder, lagi ppkm</t>
  </si>
  <si>
    <t>@PT_Transjakarta rute UI MANGGARAI selama PPKM apakah masih beroperasi?</t>
  </si>
  <si>
    <t>rute UI MANGGARAI selama PPKM apakah masih beroperasi?</t>
  </si>
  <si>
    <t>Ini karya Drawing yang saya buat dimalam Minggu kemarin selepas jam 11-an, mencoba mewarnai suasana PPKM yang semakin memuakkan dan menjemukan 😢
 Judul: "Muak", tinta China di atas kertas berukuran 29,7 cm X 21 cm 10 Juli 2021. 
 #dirumahaja #ngajedogwehdiimahsiateh #cicing https://t.co/ZQvN5W61PH</t>
  </si>
  <si>
    <t>Ini karya Drawing yang saya buat dimalam Minggu kemarin selepas jam -an, mencoba mewarnai suasana PPKM yang semakin memuakkan dan menjemukan Judul: "Muak", tinta China di atas kertas berukuran cm X cm Juli .</t>
  </si>
  <si>
    <t>Jogging pertama selam PPKM, di sekitar kosan aja. Pagi-pagi mumpung sepi. Lumayan tipis-tipis. Happy weekend guys. https://t.co/vuam2TTT0q</t>
  </si>
  <si>
    <t>Jogging pertama selam PPKM, di sekitar kosan aja. Pagi-pagi mumpung sepi. Lumayan tipis-tipis. Happy weekend guys.</t>
  </si>
  <si>
    <t>Jujur hidup gue setelah ppkm jadi jauh lebih gasehat, mungkin ga sih terbatasnya beraktifitas, stress yang membunuh orang itu sendiri ?</t>
  </si>
  <si>
    <t>Baru ngeh ngapa paketku dari syopi ga jln2, lupa kalo ada PPKM😭</t>
  </si>
  <si>
    <t>Baru ngeh ngapa paketku dari syopi ga jln2, lupa kalo ada PPKM</t>
  </si>
  <si>
    <t>@padangmenfess Efek ppkm sama 7.7 mungkin nder</t>
  </si>
  <si>
    <t>Efek ppkm sama mungkin nder</t>
  </si>
  <si>
    <t>@febby_wu Tunggu ya masih otw ...jalan pintas dijaga pak pol... Masih ppkm ... https://t.co/fOXRaqhgMT</t>
  </si>
  <si>
    <t>Tunggu ya masih otw ...jalan pintas dijaga pak pol... Masih ppkm ...</t>
  </si>
  <si>
    <t>Engga serunya tu mau ketemu kehalang ppkm ;'(( https://t.co/EoXWMK0b2J</t>
  </si>
  <si>
    <t>Engga serunya tu mau ketemu kehalang ppkm ;'((</t>
  </si>
  <si>
    <t>Ppkm darurat berubah lagi aturannya?????</t>
  </si>
  <si>
    <t>Selamat pagi Indonesia 
 Selamat hari minggu 
 Patuhi PPKM
 Agar semua selamat 
 Stay safe 
 Stay healthy 
 Stay home</t>
  </si>
  <si>
    <t>Selamat pagi Indonesia Selamat hari minggu Patuhi PPKMAgar semua selamat Stay safe Stay healthy Stay home</t>
  </si>
  <si>
    <t>PPKM kali inj.Kereta dibatasi. Diakalin dgn kereta kota A - B, lalu B - C, jadwalnya diatur supaya ngga memungkinkan pilih jalur seperti ini.
 Pilih pesawat, lab pun dibatasi.
 Bawa kendaraan sendiri ? pusing membayangkan penutupan jalan.
 Tidak ada pilihan selain di rumah aja.</t>
  </si>
  <si>
    <t>PPKM kali inj.Kereta dibatasi. Diakalin dgn kereta kota A - B, lalu B - C, jadwalnya diatur supaya ngga memungkinkan pilih jalur seperti ini.Pilih pesawat, lab pun dibatasi.Bawa kendaraan sendiri ? pusing membayangkan penutupan jalan.Tidak ada pilihan selain di rumah aja.</t>
  </si>
  <si>
    <t>-dips! Selama PPKM, jalan ke arah Simpang Lima ditutup ga? Diawasin sama polisi ga?</t>
  </si>
  <si>
    <t>@karinahyoo gaada yg buka jam segitu apalagi masih ppkm</t>
  </si>
  <si>
    <t>gaada yg buka jam segitu apalagi masih ppkm</t>
  </si>
  <si>
    <t>Sumpah ya, tiap hari aku nunggu ayah balik kerja supaya bisa bermain dg beliau dn minta uang biar bisa beli jajan kayak temen2 yg lain,tp nyatanya beliau di pulangkan dan di pecat dr tmpt kerja. Trs kita sekeluarga mau di tanggung sm bapak2nya? Kan engga
 PPKM #JokowiAtasiPandemi</t>
  </si>
  <si>
    <t>Sumpah ya, tiap hari aku nunggu ayah balik kerja supaya bisa bermain dg beliau dn minta uang biar bisa beli jajan kayak temen2 yg lain,tp nyatanya beliau di pulangkan dan di pecat dr tmpt kerja. Trs kita sekeluarga mau di tanggung sm bapak2nya? Kan enggaPPKM</t>
  </si>
  <si>
    <t>Aku sbg anak yg tumbuh dr rezeki seorang ayah yg bekerja proyek/kuli bangunan sakit hati bgt liat begini.Sedih rasanya dirumah jd tulang punggung keluarga,dg gaji yg tak seberapa utk makan bayar listrik bayar kontrakan bayar sekolah anak tp malah spt ini.
 PPKM #JokowiAtasiPandemi https://t.co/ELGmy5mixh</t>
  </si>
  <si>
    <t>Aku sbg anak yg tumbuh dr rezeki seorang ayah yg bekerja proyek/kuli bangunan sakit hati bgt liat begini.Sedih rasanya dirumah jd tulang punggung keluarga,dg gaji yg tak seberapa utk makan bayar listrik bayar kontrakan bayar sekolah anak tp malah spt ini.PPKM</t>
  </si>
  <si>
    <t>@elfirannisaf Routinity nya susah fir ,ppkm gini 😆</t>
  </si>
  <si>
    <t>Routinity nya susah fir ,ppkm gini</t>
  </si>
  <si>
    <t>Tuhan baikknya, pagi ini hrsnya jualan di tmpt cfd sebelum medan ikut ppkm senin, eh td malam ada yg pesan 100pc buat senin. Jadinya gajadi jualan krn yg ready hr ini udh ada yg pesan jg, jd hrs blanja. Eh pagi ini hujan deras, untung gajadi jualan di cfd:)</t>
  </si>
  <si>
    <t>Tuhan baikknya, pagi ini hrsnya jualan di tmpt cfd sebelum medan ikut ppkm senin, eh td malam ada yg pesan pc buat senin. Jadinya gajadi jualan krn yg ready hr ini udh ada yg pesan jg, jd hrs blanja. Eh pagi ini hujan deras, untung gajadi jualan di cfd</t>
  </si>
  <si>
    <t>Oran pemimpin gila PB HMI Soroti TKA China yang 'Enak' Masuk Indonesia di Tengah PPKM https://t.co/Xxh02vtDWl</t>
  </si>
  <si>
    <t>Oran pemimpin gila PB HMI Soroti TKA China yang 'Enak' Masuk Indonesia di Tengah PPKM</t>
  </si>
  <si>
    <t>@sophrooditeu Mau tapi nantian aja beres ppkm :")</t>
  </si>
  <si>
    <t>Mau tapi nantian aja beres ppkm :")</t>
  </si>
  <si>
    <t>Sepi pagi hari disini, efek PPKM https://t.co/JF7OxpZNiR</t>
  </si>
  <si>
    <t>Sepi pagi hari disini, efek PPKM</t>
  </si>
  <si>
    <t>@callherfifah Otw hbis ppkm</t>
  </si>
  <si>
    <t>Otw hbis ppkm</t>
  </si>
  <si>
    <t>Fyi toko fisik udah susah yg non esensial 😅, temen” dikabupaten lain bahkan dihimbau untk tutup selama PPKM, tutup total, sesuai SE terbaru akibat pandemik yg tak kunjung usai ini, online jdi primadona untk lebih meningkatkan penjualan. 👍🏻
 Pengusaha Pejuang-Pejuang Pengusaha🔥 https://t.co/E4rmbL7IzH</t>
  </si>
  <si>
    <t>Fyi toko fisik udah susah yg non esensial , temen dikabupaten lain bahkan dihimbau untk tutup selama PPKM, tutup total, sesuai SE terbaru akibat pandemik yg tak kunjung usai ini, online jdi primadona untk lebih meningkatkan penjualan. Pengusaha Pejuang-Pejuang Pengusaha</t>
  </si>
  <si>
    <t>Selama PPKM Darurat, toko Anda ditutup! Aturannya direvisi: Selama PPKM Darurat, toko Anda boleh buka tapi DILARANG jualan. Begitu kira2 logika revisi aturan tempat ibadah yg sebelumnya harus tutup, skrg boleh dibuka tapi dilarang menyelenggarakan peribadatan selama PPKM Darurat?</t>
  </si>
  <si>
    <t>@sbyfess PPKM su</t>
  </si>
  <si>
    <t>PPKM su</t>
  </si>
  <si>
    <t>Pov masih nongkrong jam 08.05 pas ppkm https://t.co/JvMc3ZTeOG</t>
  </si>
  <si>
    <t>Pov masih nongkrong jam pas ppkm</t>
  </si>
  <si>
    <t>@Anonymous_2024 Akibat tambal ban online ....kd pd keliatan cr tkg tambal ban diluar area ppkm</t>
  </si>
  <si>
    <t>Akibat tambal ban online ....kd pd keliatan cr tkg tambal ban diluar area ppkm</t>
  </si>
  <si>
    <t>@Rujakcinguur Etapi ppkm😰</t>
  </si>
  <si>
    <t>Etapi ppkm</t>
  </si>
  <si>
    <t>Beres ppkm mau staycation ah</t>
  </si>
  <si>
    <t>@kangpukulaja Nambah, sampe kelar ppkm. Lebaran disini😑</t>
  </si>
  <si>
    <t>Nambah, sampe kelar ppkm. Lebaran disini</t>
  </si>
  <si>
    <t>@CNNIndonesia Dengan kata lain, LBP panglima ppkm dia anggap gagal?</t>
  </si>
  <si>
    <t>Dengan kata lain, LBP panglima ppkm dia anggap gagal?</t>
  </si>
  <si>
    <t>@geloraco PPKM oke, tapi tempat ibadah jgn di tutup.terutamanya Masjid karena Para malaikat menjaganya dari segala macam Virus untuk menyerang jama'ah.</t>
  </si>
  <si>
    <t>PPKM oke, tapi tempat ibadah jgn di tutup.terutamanya Masjid karena Para malaikat menjaganya dari segala macam Virus untuk menyerang jama'ah.</t>
  </si>
  <si>
    <t>Kendala hari pertunangan
 -Penyekatan
 -Lowkdon
 -PPKM
 - Mertua sakit
 -Do'i Sakit
 -Penjahit baju kita sakit 
 Ah 🥺 Marcona segeralah pergi dari bumi ini.</t>
  </si>
  <si>
    <t>Kendala hari pertunangan-Penyekatan-Lowkdon-PPKM- Mertua sakit-Do'i Sakit-Penjahit baju kita sakit Ah Marcona segeralah pergi dari bumi ini.</t>
  </si>
  <si>
    <t>PON XX Papua Torang Bisa
 semoga pandemi ini segera berakhir agar kita bisa ikut meramaikan event nasional ini
 PPKM Sudah Tepat https://t.co/L0zHhoYYMk</t>
  </si>
  <si>
    <t>PON XX Papua Torang Bisasemoga pandemi ini segera berakhir agar kita bisa ikut meramaikan event nasional iniPPKM Sudah Tepat</t>
  </si>
  <si>
    <t>Jadwal cici berantakan semua karna ppkm 😭 cici sementara avail jogja dulu ya say 😞🙏🏻</t>
  </si>
  <si>
    <t>Jadwal cici berantakan semua karna ppkm cici sementara avail jogja dulu ya say</t>
  </si>
  <si>
    <t>jangan menyerah pada keadaan, hangatkan suasana dgn semangat, 
 percayalah bahwa kesulitan ini pasti teratasi
 PPKM untuk keselamatan rakyat</t>
  </si>
  <si>
    <t>jangan menyerah pada keadaan, hangatkan suasana dgn semangat, percayalah bahwa kesulitan ini pasti teratasiPPKM untuk keselamatan rakyat</t>
  </si>
  <si>
    <t>@critecion Waktu editing keburu ppkm</t>
  </si>
  <si>
    <t>Waktu editing keburu ppkm</t>
  </si>
  <si>
    <t>PPKM Sudah Tepat https://t.co/lHORP7TrgD</t>
  </si>
  <si>
    <t>PPKM Sudah Tepat</t>
  </si>
  <si>
    <t>-dips! Ppkm gini bude bambang buka gaksi</t>
  </si>
  <si>
    <t>Plihan tepat #JokowiAtasiPandemi cm pertimbangkn balik:
 1)stop TKA Cina msuk RI mo pake alasn sdah vksin/tdk agar adil krn aturn PPKM melarag mbilitas rkyat
 2)Hentikn Luhut sbg menko cvid19 dlm tngani lonjakn virus
 3)Trlepas suka/tdk gaskn ANIS sbg presiden cvid19
 Mo apalgi? https://t.co/MW52GJu3Kz</t>
  </si>
  <si>
    <t>Plihan tepat cm pertimbangkn balik:1)stop TKA Cina msuk RI mo pake alasn sdah vksin/tdk agar adil krn aturn PPKM melarag mbilitas rkyat2)Hentikn Luhut sbg menko cvid19 dlm tngani lonjakn virus3)Trlepas suka/tdk gaskn ANIS sbg presiden cvid19Mo apalgi?</t>
  </si>
  <si>
    <t>NEGARA butuh dukungan KITA untuk sama-sama bergerak bergotong royong , YA 
 #BahuMembahuAtasiPandemi
 Tetap Dirumah, Share info donatur pasien ISOMAN di WAG, Lapor jika ada Kepala Daerah yg Hambat PPKM Darurat &amp;amp; Vaksinasi, Selalu Pastikan 5 M menjadi 1 M , yaitu Manut 🙏 https://t.co/5vNqeXF7Od</t>
  </si>
  <si>
    <t>NEGARA butuh dukungan KITA untuk sama-sama bergerak bergotong royong , YA Dirumah, Share info donatur pasien ISOMAN di WAG, Lapor jika ada Kepala Daerah yg Hambat PPKM Darurat &amp;amp; Vaksinasi, Selalu Pastikan M menjadi M , yaitu Manut</t>
  </si>
  <si>
    <t>Ppkm? Banyak yg jadi dokter dan ekonom dadakan.</t>
  </si>
  <si>
    <t>Soal rezeki jangan cemas,karna bumi Allah itu luas
 Eh tapi sekarang lagi kehalang ppkm:(</t>
  </si>
  <si>
    <t>Soal rezeki jangan cemas,karna bumi Allah itu luasEh tapi sekarang lagi kehalang ppkm</t>
  </si>
  <si>
    <t>#BahuMembahuAtasiPandemi
 .
 .
 Dukung PPKM darurat demi keselamatan dan kesehatan kita bersama https://t.co/QntzhsYAz0</t>
  </si>
  <si>
    <t>..Dukung PPKM darurat demi keselamatan dan kesehatan kita bersama</t>
  </si>
  <si>
    <t>Semua kepala daerah harus melakukan PPKM Darurat, untuk menekan lonjakan kasus Covid-19.
 #BahuMembahuAtasiPandemi https://t.co/3BQaS4n0tU</t>
  </si>
  <si>
    <t>Semua kepala daerah harus melakukan PPKM Darurat, untuk menekan lonjakan kasus Covid-19.</t>
  </si>
  <si>
    <t>#BahuMembahuAtasiPandemi
 Bersama dukung PPKM Darurat untuk Indonesia sehat kembali! https://t.co/ooT8Hlr9va</t>
  </si>
  <si>
    <t>dukung PPKM Darurat untuk Indonesia sehat kembali!</t>
  </si>
  <si>
    <t>#BahuMembahuAtasiPandemi
 Kebijakan PPKM Darurat dr Pemerintah Pusat harus didukung oleh seluruh Kep Daerah. Satu suara. https://t.co/RXuhmlSdLm</t>
  </si>
  <si>
    <t>PPKM Darurat dr Pemerintah Pusat harus didukung oleh seluruh Kep Daerah. Satu suara.</t>
  </si>
  <si>
    <t>#BahuMembahuAtasiPandemi
 Saatny bersama saling bersinergi dlm tindakan yg mendukung PPKM Darurat bkn nyinyir unfaedah!
 https://t.co/ymCkg8JeTy</t>
  </si>
  <si>
    <t>bersama saling bersinergi dlm tindakan yg mendukung PPKM Darurat bkn nyinyir unfaedah!</t>
  </si>
  <si>
    <t>Kami mendukung sepenuhnya pelaksanaan PPKM Darurat yg sudah ditetapkan oleh Pemerintah
 #BahuMembahuAtasiPandemi
 https://t.co/xB2PdebCt4</t>
  </si>
  <si>
    <t>Kami mendukung sepenuhnya pelaksanaan PPKM Darurat yg sudah ditetapkan oleh Pemerintah://</t>
  </si>
  <si>
    <t>#BahuMembahuAtasiPandemi
 Mari bersama dukung PPKM Darurat n tetap taat prokes 😷 https://t.co/vULw3ah6FR</t>
  </si>
  <si>
    <t>bersama dukung PPKM Darurat n tetap taat prokes</t>
  </si>
  <si>
    <t>#BahuMembahuAtasiPandemi
 PPKM Daurat ini agar sukses butuh dukungan seluruh Kepala Daerah. https://t.co/rRckMRj8c4</t>
  </si>
  <si>
    <t>Daurat ini agar sukses butuh dukungan seluruh Kepala Daerah.</t>
  </si>
  <si>
    <t>Mari #BahuMembahuAtasiPandemi
 PPKM demi kebaikan kita semua, ayolah jgn egois, pemerintah daerah harus berperan penting untuk menjalankan PPKM darurat ini..
 Mari kita sama2 lawan kopit19 dgn mematuhi aturan yg ada.. ingat prokes👍🏽 https://t.co/CZTr6ZDbc8</t>
  </si>
  <si>
    <t>Mari demi kebaikan kita semua, ayolah jgn egois, pemerintah daerah harus berperan penting untuk menjalankan PPKM darurat ini..Mari kita sama2 lawan kopit19 dgn mematuhi aturan yg ada.. ingat prokes</t>
  </si>
  <si>
    <t>Selamat Pagi Shobahul Khair❤
 Happy Weekend, yu bisa yu weekend nya tetep harus produktif di masa PPKM
 Gaskeun Lari Pagiii💪</t>
  </si>
  <si>
    <t>Selamat Pagi Shobahul KhairHappy Weekend, yu bisa yu weekend nya tetep harus produktif di masa PPKMGaskeun Lari Pagiii</t>
  </si>
  <si>
    <t>@unnesmenfess mbaknya sungguh memanfaatkan waktu ppkm dg baik🙂</t>
  </si>
  <si>
    <t>mbaknya sungguh memanfaatkan waktu ppkm dg baik</t>
  </si>
  <si>
    <t>@manggocaramelo Enak ya klo yg gk kena ppkm :(</t>
  </si>
  <si>
    <t>Enak ya klo yg gk kena ppkm</t>
  </si>
  <si>
    <t>@hiakusasa @polbanfess eh, aku kurang tau juga, coba telepon 
 (022)200471 atau WA 082120552052. 
 jam kerja nya 08.00 - 14.00
 aku terakhir ke sana akhir sebelum PPKM.
 atau gini aja, km dateng aja dulu ke puskesmasnya, nanti tanya bisa bikin rujukan dan gimana-gimananya. puskesmas nya buka kok.</t>
  </si>
  <si>
    <t>eh, aku kurang tau juga, coba telepon (022)200471 atau WA . jam kerja nya - aku terakhir ke sana akhir sebelum PPKM.atau gini aja, km dateng aja dulu ke puskesmasnya, nanti tanya bisa bikin rujukan dan gimana-gimananya. puskesmas nya buka kok.</t>
  </si>
  <si>
    <t>@PutraWadapi Jadi mual ngelihatnya.Daripada ngono kui mbok ya itu pikirin warganya yg ga bisa makan karena PPKM, cariin solusinya. Wis ra jamane neh pencitraan model ngono kui.</t>
  </si>
  <si>
    <t>Jadi mual ngelihatnya.Daripada ngono kui mbok ya itu pikirin warganya yg ga bisa makan karena PPKM, cariin solusinya. Wis ra jamane neh pencitraan model ngono kui.</t>
  </si>
  <si>
    <t>@Corona_KafirNw Madura.. Bukan pulau jawa oq.
 Yg ppkm kan jawa dan bali..
 Madura lain.
 😎😎😎</t>
  </si>
  <si>
    <t>Madura.. Bukan pulau jawa oq.Yg ppkm kan jawa dan bali..Madura lain.</t>
  </si>
  <si>
    <t>Suka banget walaupun ga bakal main karna ppkm juga ya minimal ada bahan cuci mata 🤩</t>
  </si>
  <si>
    <t>Suka banget walaupun ga bakal main karna ppkm juga ya minimal ada bahan cuci mata</t>
  </si>
  <si>
    <t>@f1rmanh Mungkin mereka ragu PPKM gagal?</t>
  </si>
  <si>
    <t>Mungkin mereka ragu PPKM gagal?</t>
  </si>
  <si>
    <t>@ngalamfess Ppkm mas</t>
  </si>
  <si>
    <t>Ppkm mas</t>
  </si>
  <si>
    <t>@_Dauph1ne_ Lagi diIsolasi diq
 Kan lg PPKM nih ?🤭</t>
  </si>
  <si>
    <t>Lagi diIsolasi diqKan lg PPKM nih ?</t>
  </si>
  <si>
    <t>@alfridaku Ot lagi PPKM jadinya kek mana nanti tanggal 18 ?</t>
  </si>
  <si>
    <t>Ot lagi PPKM jadinya kek mana nanti tanggal ?</t>
  </si>
  <si>
    <t>sumpah kadang cape tau liat tiktok isinya org indonesia pada gapercaya cvd. cape jadi orang indo. gini amat ya?
 segala lagi ppkm malah nongkrong di coffee shop lah. itu pantat lo gatel banget apa gimana sih? lo kalo gak nongkrong, meninggal ya?</t>
  </si>
  <si>
    <t>sumpah kadang cape tau liat tiktok isinya org indonesia pada gapercaya cvd. cape jadi orang indo. gini amat ya?segala lagi ppkm malah nongkrong di coffee shop lah. itu pantat lo gatel banget apa gimana sih? lo kalo gak nongkrong, meninggal ya?</t>
  </si>
  <si>
    <t>@Bang_Has1705 Video call sama siapa sih, kok kayak video call sama bot dgn Bahasa Jawa "iya" "nggeh" "iya" "nggeh"
 Keluh kesah sudah disampaikan, solusi pemerintah PPKM darurat kenapa gak langsung aja karantina wilayah. Apa ini cuma akal-akalan agar negara tidak menanggung rakyat?</t>
  </si>
  <si>
    <t>Video call sama siapa sih, kok kayak video call sama bot dgn Bahasa Jawa "iya" "nggeh" "iya" "nggeh"Keluh kesah sudah disampaikan, solusi pemerintah PPKM darurat kenapa gak langsung aja karantina wilayah. Apa ini cuma akal-akalan agar negara tidak menanggung rakyat?</t>
  </si>
  <si>
    <t>Libur dulu ya latihan nya. Ada PPKM Darurat</t>
  </si>
  <si>
    <t>Alhamdulillah, bisa melangkah lagi ke rumah Allah adalah nikmat sehat tak ternilai.
 Maaf ogut sudah ngelanggar aturan PPKM Darurat...😅</t>
  </si>
  <si>
    <t>Alhamdulillah, bisa melangkah lagi ke rumah Allah adalah nikmat sehat tak ternilai.Maaf ogut sudah ngelanggar aturan PPKM Darurat...</t>
  </si>
  <si>
    <t>SE tertanggal 7 Juli 2021 yang ditujukan kepda bupati / wali kota se-Jawa Timur itu mengacu pada Inmendagri 15 / 2021 tentang PPKM Darurat di wilayah Jawa dan Provinsi Bali loh !</t>
  </si>
  <si>
    <t>SE tertanggal Juli yang ditujukan kepda bupati / wali kota se-Jawa Timur itu mengacu pada Inmendagri / tentang PPKM Darurat di wilayah Jawa dan Provinsi Bali loh !</t>
  </si>
  <si>
    <t>Ppkm : pengen peluk kamu mas
 👻👻👻</t>
  </si>
  <si>
    <t>Ppkm : pengen peluk kamu mas</t>
  </si>
  <si>
    <t>@luckykiddos1 Lgi ppkm ga boleh jalan jalan</t>
  </si>
  <si>
    <t>Lgi ppkm ga boleh jalan jalan</t>
  </si>
  <si>
    <t>@moniqa_sharon PPKM memaksaku</t>
  </si>
  <si>
    <t>PPKM memaksaku</t>
  </si>
  <si>
    <t>PPKM
 (Pingin Pulang Keru Mah )</t>
  </si>
  <si>
    <t>PPKM(Pingin Pulang Keru Mah )</t>
  </si>
  <si>
    <t>Kenapa gue mimpi ke terminal terus mau naik bis, liat pesawat, tapi ahirnya gajadi naik karena ketinggalan sama harus sedia banyak dokumen ppkm yg ga disiapin..
 Ada apakah..</t>
  </si>
  <si>
    <t>Kenapa gue mimpi ke terminal terus mau naik bis, liat pesawat, tapi ahirnya gajadi naik karena ketinggalan sama harus sedia banyak dokumen ppkm yg ga disiapin..Ada apakah..</t>
  </si>
  <si>
    <t>@panca66 @renandabachtar Jalan bnyk di sekat2 krn PPKM darurat, ga usah bikin jalan tol dl mending dananya buat rakyat yg sdh pada kelaparan, varian bansos sdh spt varian covid tapi ga pernah kebagian bansosnya tuh, 😭😭😭</t>
  </si>
  <si>
    <t>Jalan bnyk di sekat2 krn PPKM darurat, ga usah bikin jalan tol dl mending dananya buat rakyat yg sdh pada kelaparan, varian bansos sdh spt varian covid tapi ga pernah kebagian bansosnya tuh,</t>
  </si>
  <si>
    <t>Hari minggu dengan PPKM❌
 Tanpa PP✅</t>
  </si>
  <si>
    <t>Hari minggu dengan PPKMTanpa PP</t>
  </si>
  <si>
    <t>mimpi ditilang karna nglanggar penutupan jalan ppkm</t>
  </si>
  <si>
    <t>ppkm alias pengen peluk kang minhee https://t.co/wV2FEENhxB</t>
  </si>
  <si>
    <t>ppkm alias pengen peluk kang minhee</t>
  </si>
  <si>
    <t>ppkm bgst</t>
  </si>
  <si>
    <t>@Mahmudword @trainveller @AlissaWahid Iya kak. Mata pencahariannya juga terbatas banget. Rata rata pengamen jalanan yang kucing kucingan sama aparat. Kalau ppkm begini gak bisa apa apa. Belum lagi rata rata gak punya keluarga.</t>
  </si>
  <si>
    <t>Iya kak. Mata pencahariannya juga terbatas banget. Rata rata pengamen jalanan yang kucing kucingan sama aparat. Kalau ppkm begini gak bisa apa apa. Belum lagi rata rata gak punya keluarga.</t>
  </si>
  <si>
    <t>Cipta Kondisi Mobile dalam rangka Penerapan PPKM DARURAT di wilayah Johar Baru, Sabtu (10/7/21)</t>
  </si>
  <si>
    <t>@CNNIndonesia Ngabalun bersabda PPKM sukses...ko masih blm...ah bacot</t>
  </si>
  <si>
    <t>Ngabalun bersabda PPKM sukses...ko masih blm...ah bacot</t>
  </si>
  <si>
    <t>@arlrdty @lumiereovermee Udah sebulan lebih lu janji sebelum ppkm ngentot</t>
  </si>
  <si>
    <t>Udah sebulan lebih lu janji sebelum ppkm ngentot</t>
  </si>
  <si>
    <t>@ngalamfess Gopud ae, ppkm.</t>
  </si>
  <si>
    <t>Gopud ae, ppkm.</t>
  </si>
  <si>
    <t>@IbuNe_neng Ngidam jadi PNS klo keadaan seperti ini, PPKM 😥</t>
  </si>
  <si>
    <t>Ngidam jadi PNS klo keadaan seperti ini, PPKM</t>
  </si>
  <si>
    <t>Ini PDKT atau PPKM kok lama banget</t>
  </si>
  <si>
    <t>PPKM = Proyek Pepo Kok Mangkrak .
 @RachlanNashidik @wisanggeni_084 https://t.co/cZ5UXbp3dB</t>
  </si>
  <si>
    <t>PPKM = Proyek Pepo Kok Mangkrak .</t>
  </si>
  <si>
    <t>Salah satu hal kontol bulan ini adalah udah tau lagi PPKM masih kerja bakti
 Kontol</t>
  </si>
  <si>
    <t>Salah satu hal kontol bulan ini adalah udah tau lagi PPKM masih kerja baktiKontol</t>
  </si>
  <si>
    <t>KSTP Melanggar. 
 PPKM Sudah Tepat https://t.co/F8M9XIJdbs</t>
  </si>
  <si>
    <t>KSTP Melanggar. PPKM Sudah Tepat</t>
  </si>
  <si>
    <t>Day-9 PPKM :
 Saranin dong nonton apa :)</t>
  </si>
  <si>
    <t>Day-9 PPKM aranin dong nonton apa</t>
  </si>
  <si>
    <t>@WatchmenID Sama aja. Kena ppkm, gawe diliburkan</t>
  </si>
  <si>
    <t>Sama aja. Kena ppkm, gawe diliburkan</t>
  </si>
  <si>
    <t>@PutraWadapi Lg PPKM ngga boleh makan ditempat pak @ganjarpranowo hrs take away. Yg kyk gini kena denda ngga??</t>
  </si>
  <si>
    <t>Lg PPKM ngga boleh makan ditempat pak hrs take away. Yg kyk gini kena denda ngga??</t>
  </si>
  <si>
    <t>@ngalamfess ppkm mas</t>
  </si>
  <si>
    <t>ppkm mas</t>
  </si>
  <si>
    <t>PPKM 👉 Perbanyak Pergi Ke Masjid
 #PPKM https://t.co/EPeDAOWKop</t>
  </si>
  <si>
    <t>PPKM Perbanyak Pergi Ke Masjid</t>
  </si>
  <si>
    <t>@eg_nrs Yuk..patuhi himbauan PPKM &amp;amp; patuhi aturan prokes demi keamanan kita semua.</t>
  </si>
  <si>
    <t>Yuk..patuhi himbauan PPKM &amp;amp; patuhi aturan prokes demi keamanan kita semua.</t>
  </si>
  <si>
    <t>PPKM nyusahin banget asu</t>
  </si>
  <si>
    <t>@Mr_Khepo Hiburan d kala ppkm 😂</t>
  </si>
  <si>
    <t>Hiburan d kala ppkm</t>
  </si>
  <si>
    <t>Oleh Mendagri aturan penutupan tempat ibadah direvisi. Alhamdulillah? Mengapa yg revisi Mendagri bukan Menag? Bro Luhut yg bisa jawab? Coba baca baik2 apa isi revisinya. Tempat Ibadah trmsk Masjid yg selama PPKM hrs ditutup skrg boleh dibuka tp dilarang menyelenggarakan ibadah?</t>
  </si>
  <si>
    <t>PPKM teh naon lah,, asa di sekat aku sama kamu ga boleh keluar anjimm, dah tau pengen jalan 😭😭</t>
  </si>
  <si>
    <t>PPKM teh naon lah,, asa di sekat aku sama kamu ga boleh keluar anjimm, dah tau pengen jalan</t>
  </si>
  <si>
    <t>@medcom_id Selamat atas inovasi baru seletah adanyh ppkm tukang tambal ban jd bisa online jd udh kaya dukun cuma di bacain mantra jarak jauh kelar bocor nyh..</t>
  </si>
  <si>
    <t>Selamat atas inovasi baru seletah adanyh ppkm tukang tambal ban jd bisa online jd udh kaya dukun cuma di bacain mantra jarak jauh kelar bocor nyh..</t>
  </si>
  <si>
    <t>@SantorinisSun @mas_awe Jadi pembenaran kau kadrun untuk melanggar PPKM, dg alasan masuknya WNA....angel...</t>
  </si>
  <si>
    <t>Jadi pembenaran kau kadrun untuk melanggar PPKM, dg alasan masuknya WNA....angel...</t>
  </si>
  <si>
    <t>@aewin86 Pemerintah sudah benar melaksanakan PPKM darurat...mari kita dukung sepenuhnya. .dgn jaga diri msing2 ...
 #JokowiAtasiPandemi 
 💪💪❤️🇲🇨</t>
  </si>
  <si>
    <t>Pemerintah sudah benar melaksanakan PPKM darurat...mari kita dukung sepenuhnya. .dgn jaga diri msing2 ...</t>
  </si>
  <si>
    <t>PPKM di malam minggu 10 Juli 2021 https://t.co/JHYQDJqpfY</t>
  </si>
  <si>
    <t>PPKM di malam minggu Juli</t>
  </si>
  <si>
    <t>@missdinap Mungkin pakpol lagi menjelaskan ppkm itu seperti apa</t>
  </si>
  <si>
    <t>Mungkin pakpol lagi menjelaskan ppkm itu seperti apa</t>
  </si>
  <si>
    <t>@2TitikHitam @poenz_roby @boby1003 hahahah....kyk rezim ye dah ada UU karantina pake istilah PSPB lah,,,PPKM lah nti ape lg nih</t>
  </si>
  <si>
    <t>hahahah....kyk rezim ye dah ada UU karantina pake istilah PSPB lah,,,PPKM lah nti ape lg nih</t>
  </si>
  <si>
    <t>PPKM : PELAN PELAN KITA MISKIN</t>
  </si>
  <si>
    <t>@ganjarpranowo sugeng Enjang pak Ganjar, saya mau bertanya , apakah di ppkm darurat ini ada bantuan dari pemerintah yang berupa kebutuhan pokok? Karna usaha orang tua saya terancam tutup akibat ppkm darurat ini.
 Saya takut ada oknum yang arogan.
 Saya numpang bertanya pak.</t>
  </si>
  <si>
    <t>sugeng Enjang pak Ganjar, saya mau bertanya , apakah di ppkm darurat ini ada bantuan dari pemerintah yang berupa kebutuhan pokok? Karna usaha orang tua saya terancam tutup akibat ppkm darurat ini.Saya takut ada oknum yang arogan.Saya numpang bertanya pak.</t>
  </si>
  <si>
    <t>@drpriono1 @BudiGSadikin @jokowi Pak mau tanya ppkm darurat, jam dibatasi sampai pukul 20:00. Memangnya setelah pukul 20:00 virus nya pada keluar yah berkeliaran? 
 Virus nya suka begadang ya?</t>
  </si>
  <si>
    <t>Pak mau tanya ppkm darurat, jam dibatasi sampai pukul :00. Memangnya setelah pukul :00 virus nya pada keluar yah berkeliaran? Virus nya suka begadang ya?</t>
  </si>
  <si>
    <t>Meskipun ppkm seperti ini jangan lupa puasa di bulan Dzulhijjah pada tanggal 19 Juli</t>
  </si>
  <si>
    <t>Meskipun ppkm seperti ini jangan lupa puasa di bulan Dzulhijjah pada tanggal Juli</t>
  </si>
  <si>
    <t>@arsya_owp @noboncilik @AlwanJimmy @idnkeras @sonasilviana Jadi gini mas, PPKM itu tujuan pemerintah untuk ngurangin penularan virus. Tapi gak ngebuat semua orang mengerti dan menerima. Nah itu lah kebijakan yang di buat oleh pemimpin. Gak bisa ngebuat semua orang bahagia. Tapi kan tetep tujuan dan niat pemerintah adalah melindungi</t>
  </si>
  <si>
    <t>Jadi gini mas, PPKM itu tujuan pemerintah untuk ngurangin penularan virus. Tapi gak ngebuat semua orang mengerti dan menerima. Nah itu lah kebijakan yang di buat oleh pemimpin. Gak bisa ngebuat semua orang bahagia. Tapi kan tetep tujuan dan niat pemerintah adalah melindungi</t>
  </si>
  <si>
    <t>@atikamldd Ppkm dirumah tik</t>
  </si>
  <si>
    <t>Ppkm dirumah tik</t>
  </si>
  <si>
    <t>@ssnbae Ih iyasih... Seblak juga gak jualan pas malem ppkm? :(</t>
  </si>
  <si>
    <t>Ih iyasih... Seblak juga gak jualan pas malem ppkm?</t>
  </si>
  <si>
    <t>@calonistriK PPKM dong? Pengen Pergi Ke Makasar</t>
  </si>
  <si>
    <t>PPKM dong? Pengen Pergi Ke Makasar</t>
  </si>
  <si>
    <t>@Dennysiregar7 Bang Denny..tolong yang punya angsuran atau hutang di bank mintakan keringanan... jualan sepi karena ppkm... bank bank banyak yang ga mau tau..padahal pemerintah sudah pernah mengumumkan untuk memberi keringanan... viralkan bang... biar presiden dan jajarannya tau dan bertindak</t>
  </si>
  <si>
    <t>Bang Denny..tolong yang punya angsuran atau hutang di bank mintakan keringanan... jualan sepi karena ppkm... bank bank banyak yang ga mau tau..padahal pemerintah sudah pernah mengumumkan untuk memberi keringanan... viralkan bang... biar presiden dan jajarannya tau dan bertindak</t>
  </si>
  <si>
    <t>@rahung @jokowi @mohmahfudmd Dah jelas PPKM pak presiden kagak mampu! Terbukti pandemi ini menunjukkan dia dkk hanya peduli gmn menyelamatkan jabatannya biar bisa menyelamatkan para bandit &amp;amp; tikus, nyawa rakyat gak penting.</t>
  </si>
  <si>
    <t>Dah jelas PPKM pak presiden kagak mampu! Terbukti pandemi ini menunjukkan dia dkk hanya peduli gmn menyelamatkan jabatannya biar bisa menyelamatkan para bandit &amp;amp; tikus, nyawa rakyat gak penting.</t>
  </si>
  <si>
    <t>@er_es_es @delhafiz_ @tirta_hudhi Mungkin yg sekubu dgn dia kelompok yg kesehariannya terdampak PPKM, mgkn mrk sebetulnya marah dgn situasi dan merasa terwakili.</t>
  </si>
  <si>
    <t>Mungkin yg sekubu dgn dia kelompok yg kesehariannya terdampak PPKM, mgkn mrk sebetulnya marah dgn situasi dan merasa terwakili.</t>
  </si>
  <si>
    <t>@niasnpr AAAAAAAA iya setujuuu 😭😭 dia tuh makin ke ending makin sweet 😭😭 Betollll wkwk gakan bosen ppkm klo di rumah junghyun semua wkwk</t>
  </si>
  <si>
    <t>AAAAAAAA iya setujuuu dia tuh makin ke ending makin sweet Betollll wkwk gakan bosen ppkm klo di rumah junghyun semua wkwk</t>
  </si>
  <si>
    <t>Jd melow stlah liat tukang bangunan dipecat karena ga pake masker. Knp ada org yg gak punya hati kayak gt sih?
 Liat aparat seenaknya rusakin dagangan org dengan dalih ppkm. 
 Udah jelas2 ni virus gak ilang2. Masyarakat kecil makin diinjek2 sama sesama manusia yg gak ada empatinya</t>
  </si>
  <si>
    <t>Jd melow stlah liat tukang bangunan dipecat karena ga pake masker. Knp ada org yg gak punya hati kayak gt sih?Liat aparat seenaknya rusakin dagangan org dengan dalih ppkm. Udah jelas2 ni virus gak ilang2. Masyarakat kecil makin diinjek2 sama sesama manusia yg gak ada empatinya</t>
  </si>
  <si>
    <t>@ruhutsitompul @YanHarahap Rakyat yg mana di urus cuy, rakyat Indonesia apa rakyat cina, PPKM ketat dilakukan untuk Rakyat Indonesia, sementara rakyat cina pembawa virus tetap di ijinkan berdatangan masuk ke indonesia dengan leluasa, otak dimane coba</t>
  </si>
  <si>
    <t>Rakyat yg mana di urus cuy, rakyat Indonesia apa rakyat cina, PPKM ketat dilakukan untuk Rakyat Indonesia, sementara rakyat cina pembawa virus tetap di ijinkan berdatangan masuk ke indonesia dengan leluasa, otak dimane coba</t>
  </si>
  <si>
    <t>.......sebel aku sama diriku sendiri yg tiba2 kangen sama sahabatku yg di luar kota (klo sama kota pdhl ya ga mungkin aku ajak jalan juga krn ppkm)</t>
  </si>
  <si>
    <t>PPKM diperpanjang sampai selamanya. PPKM = Percayalah Pasti Kristus Menolong.</t>
  </si>
  <si>
    <t>PPKM (Pernah Peduli Kemudian Melupakan)🤣🤣🤣</t>
  </si>
  <si>
    <t>PPKM (Pernah Peduli Kemudian Melupakan)</t>
  </si>
  <si>
    <t>PPKM diperpanjang. PPKM = Paket Promo Kuota Mantap. LOL.</t>
  </si>
  <si>
    <t>@PTJASAMARGA Min...Ini bener dijagain selama PPKM? atau hanya selama ada wartawan aja🤔</t>
  </si>
  <si>
    <t>Min...Ini bener dijagain selama PPKM? atau hanya selama ada wartawan aja</t>
  </si>
  <si>
    <t>@NurlelySiregar Memang makin parah, tadi malam razia PPKM di medan, menyuruh outlet sy tutup, gak lama stelah mereka dtg baru sadar tas karyawan sy hilang,disitu ada dompet, stnk, atm dll.
 Mau up ke cctv tp malah ga ke jangkau..
 Mmg benar² rusak x negara ini kak</t>
  </si>
  <si>
    <t>Memang makin parah, tadi malam razia PPKM di medan, menyuruh outlet sy tutup, gak lama stelah mereka dtg baru sadar tas karyawan sy hilang,disitu ada dompet, stnk, atm dll.Mau up ke cctv tp malah ga ke jangkau..Mmg benar rusak x negara ini kak</t>
  </si>
  <si>
    <t>@narkosun Dikala PPKM.. pemerintah malah tidak sensitif.. https://t.co/Xx4Cxn1vel</t>
  </si>
  <si>
    <t>Dikala PPKM.. pemerintah malah tidak sensitif..</t>
  </si>
  <si>
    <t>Tujuan Ppkm darurat itu memutus tali rantai penularan covid apa menambah angka penularan,,?
 Setiap ada penyekatan jalan pasti ada kemacetan,ada kemacetan pasti ada kerumunan ini yg trjadi,,!!
 Apakah cara ini dapat memutus rantai penularan dan
 Apakah cara ini efektif,,,??</t>
  </si>
  <si>
    <t>Tujuan Ppkm darurat itu memutus tali rantai penularan covid apa menambah angka penularan,,?Setiap ada penyekatan jalan pasti ada kemacetan,ada kemacetan pasti ada kerumunan ini yg trjadi,,!!Apakah cara ini dapat memutus rantai penularan danApakah cara ini efektif,,,??</t>
  </si>
  <si>
    <t>Ini ppkm diperpanjang?</t>
  </si>
  <si>
    <t>@musaKSQ Stop pemberitaan kopit
 Stop fucksin
 Stop brisik ambulance
 (Karna jlanan kosong di ppkm)
 Stop wna/tka
 Stop juga tes2 rupat rapit</t>
  </si>
  <si>
    <t>Stop pemberitaan kopitStop fucksinStop brisik ambulance(Karna jlanan kosong di ppkm)Stop wna/tkaStop juga tes2 rupat rapit</t>
  </si>
  <si>
    <t>@Bern_bernat rumah
 ppkm</t>
  </si>
  <si>
    <t>rumahppkm</t>
  </si>
  <si>
    <t>PPKM tuh bisa di pake buat gombal
 .
 .
 PPKM tukang rujak ya?
 Kok tau?
 Karena kamu telah mengulek ngulek hatiku</t>
  </si>
  <si>
    <t>PPKM tuh bisa di pake buat gombal..PPKM tukang rujak ya?Kok tau?Karena kamu telah mengulek ngulek hatiku</t>
  </si>
  <si>
    <t>@Wong_Loman @nung_306 klo vaksin sendiri bahaya...malahan,ini mmg negara sudah gila..lepas tgg jwb,PPKM gk guna buat TKA smntara rakyat pribumi disemprot air klo msh melanggar ttp berjualan</t>
  </si>
  <si>
    <t>klo vaksin sendiri bahaya...malahan,ini mmg negara sudah gila..lepas tgg jwb,PPKM gk guna buat TKA smntara rakyat pribumi disemprot air klo msh melanggar ttp berjualan</t>
  </si>
  <si>
    <t>@ulull01 ppkm sayanggg</t>
  </si>
  <si>
    <t>ppkm sayanggg</t>
  </si>
  <si>
    <t>PPKM "Pelan Pelan Kita Move on"</t>
  </si>
  <si>
    <t>Ingat Kawan taati PPKM Darurat Kota Semarang 3-20 Juli 2021biar semua menjadi lebih baik 
 #Pagi https://t.co/1kNNRIXEmQ</t>
  </si>
  <si>
    <t>Ingat Kawan taati PPKM Darurat Kota Semarang $NUMBER$ Juli biar semua menjadi lebih baik</t>
  </si>
  <si>
    <t>@___k1n9f4t1Ra7a Terbuki PPKM (Para Pejabat Kagak Mampu) kerjanya cuma goreng2 gmn caranya jabatan selamat, nyawa rakyat bodo amat.</t>
  </si>
  <si>
    <t>Terbuki PPKM (Para Pejabat Kagak Mampu) kerjanya cuma goreng2 gmn caranya jabatan selamat, nyawa rakyat bodo amat.</t>
  </si>
  <si>
    <t>Mau sediain rekaman notice dah di hp yg bunyinya “saya dari rmh mau brgkt kerja &amp;amp; saya dri tmpt kerja mau balik ke rumah” jd bsok gw tinggal tunjukin rekaman notice aja sama petugas PPKM pas ditnyk2 wkwkw</t>
  </si>
  <si>
    <t>Mau sediain rekaman notice dah di hp yg bunyinya saya dari rmh mau brgkt kerja &amp;amp; saya dri tmpt kerja mau balik ke rumah jd bsok gw tinggal tunjukin rekaman notice aja sama petugas PPKM pas ditnyk2 wkwkw</t>
  </si>
  <si>
    <t>@rnuyyyy @FOODFESS2 loh eh kok ada nikahan, kan ppkm?</t>
  </si>
  <si>
    <t>loh eh kok ada nikahan, kan ppkm?</t>
  </si>
  <si>
    <t>Temen w harusnya hari ini resepsi di salah satu apartement di cimahi. Terus semalem ada aturan ppkm yg baru kalo tempat ibadah dibuka tapi resepsi ditiadakan. Langsung lemes dan pusing dia 😭 gak kebayang sih pusingnya kek gmana huhu</t>
  </si>
  <si>
    <t>Temen w harusnya hari ini resepsi di salah satu apartement di cimahi. Terus semalem ada aturan ppkm yg baru kalo tempat ibadah dibuka tapi resepsi ditiadakan. Langsung lemes dan pusing dia gak kebayang sih pusingnya kek gmana huhu</t>
  </si>
  <si>
    <t>PPKM : 
 Pelan Pelan Ku Merindukanmu
 👉👈</t>
  </si>
  <si>
    <t>PPKM : Pelan Pelan Ku Merindukanmu</t>
  </si>
  <si>
    <t>monyet:( yang awalnya semangat buat cari kerja buat sementara malah ada ppkm 😭💔 pdhl udah buat lamaran buat ke anu:((( *mengcapek* https://t.co/Q4ovhkmb8f</t>
  </si>
  <si>
    <t>monyet yang awalnya semangat buat cari kerja buat sementara malah ada ppkm pdhl udah buat lamaran buat ke anu *mengcapek*</t>
  </si>
  <si>
    <t>Ini ppkm kapan berakhirnya 😭😭😭. Lama bgt 😭😭😭</t>
  </si>
  <si>
    <t>Ini ppkm kapan berakhirnya . Lama bgt</t>
  </si>
  <si>
    <t>Mau keluar takut dosa
 Sekedar menghirup udara segar aja udah susah.
 Kan lagi PPKM</t>
  </si>
  <si>
    <t>Mau keluar takut dosaSekedar menghirup udara segar aja udah susah.Kan lagi PPKM</t>
  </si>
  <si>
    <t>@Ririe59647423 Semoga kita smua makin sadar mentaati prokes dan PPKM 
 Btw kok belum follback @haro_arnold ??</t>
  </si>
  <si>
    <t>Semoga kita smua makin sadar mentaati prokes dan PPKM Btw kok belum follback ??</t>
  </si>
  <si>
    <t>@missname88 @VIVAcoid Psbb wewenang daerah, kalau ppkm iti memang dr pusat, Q jd bingung dengan mu 🤔</t>
  </si>
  <si>
    <t>Psbb wewenang daerah, kalau ppkm iti memang dr pusat, Q jd bingung dengan mu</t>
  </si>
  <si>
    <t>Rezim dengan buzzer2nya dulu nolak lockdown dan mengkadrunkan yg khawatir terhadap Corona... eh sekarang bikin tagar PPKM berdampak baik dan tagar kaga ada malu lainnya... The King of Plin Plan #GulingkanRezimDzalim</t>
  </si>
  <si>
    <t>Rezim dengan buzzer2nya dulu nolak lockdown dan mengkadrunkan yg khawatir terhadap Corona... eh sekarang bikin tagar PPKM berdampak baik dan tagar kaga ada malu lainnya... The King of Plin Plan</t>
  </si>
  <si>
    <t>@convomf sks apa? matkul kuliah? tp coba tunggu sampe 20 juli aja? pas kelar ppkm</t>
  </si>
  <si>
    <t>sks apa? matkul kuliah? tp coba tunggu sampe juli aja? pas kelar ppkm</t>
  </si>
  <si>
    <t>@uusbiasaaja Iya, Kita semua korban. tapi tolonglahh, kita perantau modal umr jakarta doang juga bisa mati kalok kek gini terus, ppkm sehari masuk sehari kagak dengan konsekuensi potong gaji 😭</t>
  </si>
  <si>
    <t>Iya, Kita semua korban. tapi tolonglahh, kita perantau modal umr jakarta doang juga bisa mati kalok kek gini terus, ppkm sehari masuk sehari kagak dengan konsekuensi potong gaji</t>
  </si>
  <si>
    <t>ppkm gini Alkid boleh buat jogging ngga sih?</t>
  </si>
  <si>
    <t>@mrtbkmanisss baru ppkm</t>
  </si>
  <si>
    <t>baru ppkm</t>
  </si>
  <si>
    <t>@pln_123 hallo PLN tolong donk dukung ppkm masa iya listrik di padamkan hampir 17 jam di wil. Kaliwungu sel, kendal pd 10 Juli dampak : sinyal hp hilang, tidak bs connect internet padahal hrs WFH</t>
  </si>
  <si>
    <t>hallo PLN tolong donk dukung ppkm masa iya listrik di padamkan hampir jam di wil. Kaliwungu sel, kendal pd Juli dampak : sinyal hp hilang, tidak bs connect internet padahal hrs WFH</t>
  </si>
  <si>
    <t>Sedang muak dengan pemberlakuan pembatasan tanpa pemberian solusi. Terimakasih engkau yang sedang berfoya derita rakyat #ppkm
  #ppkmmikro</t>
  </si>
  <si>
    <t>Sedang muak dengan pemberlakuan pembatasan tanpa pemberian solusi. Terimakasih engkau yang sedang berfoya derita rakyat</t>
  </si>
  <si>
    <t>Istri penjual bakso keliling didaerahku meninggal di jawa, tp mas baksonya gak bisa pulang. entah krn gak ada uang ato entah krn aturan ppkm ???</t>
  </si>
  <si>
    <t>mlai dr penerapan PPKM Darurat hingga melaksanakan kegiatan serbuan vaksinasi</t>
  </si>
  <si>
    <t>@ap0caIypsee Ppkm ppkm pelan pelan konton masuk PP KaMu</t>
  </si>
  <si>
    <t>Ppkm ppkm pelan pelan konton masuk PP KaMu</t>
  </si>
  <si>
    <t>@schfess Offline bagus, bsk senin aku udah mulai les ehh diundur habis idul adha karena ppkm nder😭😵😵😔</t>
  </si>
  <si>
    <t>Offline bagus, bsk senin aku udah mulai les ehh diundur habis idul adha karena ppkm nder</t>
  </si>
  <si>
    <t>@31Zky Ayok Mas cepet sembuh biar bisa meet up lagi, habis PPKM kita dolan</t>
  </si>
  <si>
    <t>Ayok Mas cepet sembuh biar bisa meet up lagi, habis PPKM kita dolan</t>
  </si>
  <si>
    <t>@aciiielll Gass sih habis ppkm</t>
  </si>
  <si>
    <t>Gass sih habis ppkm</t>
  </si>
  <si>
    <t>langkah yang diambil pemerintah sudah tepat, mari bersama kita dukung PPKM dalam percepatan penanganan Covid-19. PPKM Sudah Tepat https://t.co/GdT7VXK01d</t>
  </si>
  <si>
    <t>langkah yang diambil pemerintah sudah tepat, mari bersama kita dukung PPKM dalam percepatan penanganan Covid-19. PPKM Sudah Tepat</t>
  </si>
  <si>
    <t>@Vviolamurti Pas sekokah cuma tunya PPKN, ga tau PPKM mapel kurikulum tahun berapa.</t>
  </si>
  <si>
    <t>Pas sekokah cuma tunya PPKN, ga tau PPKM mapel kurikulum tahun berapa.</t>
  </si>
  <si>
    <t>Dear @bankmandiri sdh 1 thn PSBB, PPKM, malah atm di blokir suruh ganti baru, KCP ditutup, hrs ke KC. Bukanya menghindari antre, kerumunan, tatap muka, tapi sebaliknya.. mestinya ATM yg exp diperpanjang, malah yg aktif di blokir..</t>
  </si>
  <si>
    <t>Dear sdh thn PSBB, PPKM, malah atm di blokir suruh ganti baru, KCP ditutup, hrs ke KC. Bukanya menghindari antre, kerumunan, tatap muka, tapi sebaliknya.. mestinya ATM yg exp diperpanjang, malah yg aktif di blokir..</t>
  </si>
  <si>
    <t>Sinergitas Forkopimda Jatim Pada msa PPKM Darurat Tuai Pujian</t>
  </si>
  <si>
    <t>Kalo PPKM menurut lo apa der?
 Sumber: Jakartakeras https://t.co/gZa9PpTB9P</t>
  </si>
  <si>
    <t>Kalo PPKM menurut lo apa der?Sumber: Jakartakeras</t>
  </si>
  <si>
    <t>Memang pantas!. PPKM Sudah Tepat https://t.co/TnNXf96jy7</t>
  </si>
  <si>
    <t>Memang pantas!. PPKM Sudah Tepat</t>
  </si>
  <si>
    <t>PPKM Pelan - Pelan Kamu Menjauh</t>
  </si>
  <si>
    <t>sumpa semalem kaget banget, yg biasanya gw cari nasi goreng diatas jam 8an skrg pedagang yg uda langganan bilang ke gw "mas bsk kalo mau beli ini nomor hp nya ya kita nga nyampe malem". Damn, bro makin susah agaknya sejak PPKM.</t>
  </si>
  <si>
    <t>sumpa semalem kaget banget, yg biasanya gw cari nasi goreng diatas jam an skrg pedagang yg uda langganan bilang ke gw "mas bsk kalo mau beli ini nomor hp nya ya kita nga nyampe malem". Damn, bro makin susah agaknya sejak PPKM.</t>
  </si>
  <si>
    <t>@iyayaudahgpp Kan lagi ppkm juga to disana? 😅</t>
  </si>
  <si>
    <t>Kan lagi ppkm juga to disana?</t>
  </si>
  <si>
    <t>ppkm sih ppkm cuma apa solusi buat orang yg jualan dan cari nafkah terhenti gara2 ppkm?
 tante ku di bandung dari awal ppkm bener2 stop gabisa jualan karna ppkm, padahal disitu rezeki masuk dia buat ngehidupin anak2 nya, suami nya udah meninggal</t>
  </si>
  <si>
    <t>ppkm sih ppkm cuma apa solusi buat orang yg jualan dan cari nafkah terhenti gara2 ppkm?tante ku di bandung dari awal ppkm bener2 stop gabisa jualan karna ppkm, padahal disitu rezeki masuk dia buat ngehidupin anak2 nya, suami nya udah meninggal</t>
  </si>
  <si>
    <t>oke deh kalo emang ambulan sengaja muter2 biar bikin orang2 aware selama ppkm dirumah aja, tapi emang ga ada cara lain? bukannya malah makin bikin orang ga percaya ?</t>
  </si>
  <si>
    <t>@rissalno Yes palembang juga ,ppkm pun diperketat ..tetap jaga kesehatan bro ..</t>
  </si>
  <si>
    <t>Yes palembang juga ,ppkm pun diperketat ..tetap jaga kesehatan bro ..</t>
  </si>
  <si>
    <t>Ditempat ku lagi ppkm darurat dan mau nuntasin vaksin dulu, jadi abis selesai vaksih kali ya jadinya https://t.co/GWmdIBERLS</t>
  </si>
  <si>
    <t>Ditempat ku lagi ppkm darurat dan mau nuntasin vaksin dulu, jadi abis selesai vaksih kali ya jadinya</t>
  </si>
  <si>
    <t>@bertanyarl Sultan HB selama PPKM ngapain aja? Cek disini lurrr
 https://t.co/rMmXUkjjcF</t>
  </si>
  <si>
    <t>Sultan HB selama PPKM ngapain aja? Cek disini lurrr</t>
  </si>
  <si>
    <t>@shabrisabi @AREAJULID Itu kenapa skrg namanya PPKM Dan gak pernah di beri nama karantina.. sehingga secara hukum terbebas dari kewajibannya.. pahit ? Banget...</t>
  </si>
  <si>
    <t>Itu kenapa skrg namanya PPKM Dan gak pernah di beri nama karantina.. sehingga secara hukum terbebas dari kewajibannya.. pahit ? Banget...</t>
  </si>
  <si>
    <t>jangan mau gak sih, bilang ke ortu mu. lagi ppkm gini juga bisa bisanya . . ngga apa apa kok, kamu gak punya ttd mereka bukan berarti kamu gak bisa lulus. lihatlah aku, pas masuk sma dulu- orang ngejar osis buat ttd, lah aku milih beli es teh terus pulang. ✌🏻 https://t.co/J7qMgCuFVf</t>
  </si>
  <si>
    <t>jangan mau gak sih, bilang ke ortu mu. lagi ppkm gini juga bisa bisanya . . ngga apa apa kok, kamu gak punya ttd mereka bukan berarti kamu gak bisa lulus. lihatlah aku, pas masuk sma dulu- orang ngejar osis buat ttd, lah aku milih beli es teh terus pulang.</t>
  </si>
  <si>
    <t>PPKM : pernah peduli kemudian menghilang</t>
  </si>
  <si>
    <t>@Umar_Chelsea_75 @berlianidris Knp yg jual vaksin ga ditangkap ya
 Knp yg ambil dagangan dgn tameng ppkm ga ditangkap ya
 @LsOwien keluar dari pakem yang emang sebagian rakyat rasakan
 Ada dokter prosedural &amp;amp; textbook
 Semua berdasarkan data lab
 Efeknya MAHAL
 Ada dokter yg mengamati
 Penanganan berdasarkan keluhan</t>
  </si>
  <si>
    <t>Knp yg jual vaksin ga ditangkap yaKnp yg ambil dagangan dgn tameng ppkm ga ditangkap ya keluar dari pakem yang emang sebagian rakyat rasakanAda dokter prosedural &amp;amp; textbookSemua berdasarkan data labEfeknya MAHALAda dokter yg mengamatiPenanganan berdasarkan keluhan</t>
  </si>
  <si>
    <t>@geloraco Dalam video tsb, polisi bangsat itu ditenangkan oleh anggota Marinir, saya yakin tanpa anggota TNI, petugas ppkm dimanapun akan dilawan warga.</t>
  </si>
  <si>
    <t>Dalam video tsb, polisi bangsat itu ditenangkan oleh anggota Marinir, saya yakin tanpa anggota TNI, petugas ppkm dimanapun akan dilawan warga.</t>
  </si>
  <si>
    <t>@ObbieNugraha @DewinthaNonong seharusnya sih ditanggung total bang selama PPKM, tapi kan di Wakanda pemerintahnya dari atas sampe bawah rakus rakus, bantuannya udah abis duluan sebelum sampai ke rakyat</t>
  </si>
  <si>
    <t>seharusnya sih ditanggung total bang selama PPKM, tapi kan di Wakanda pemerintahnya dari atas sampe bawah rakus rakus, bantuannya udah abis duluan sebelum sampai ke rakyat</t>
  </si>
  <si>
    <t>Aku suka PPKM tapi tanpa pp aww &amp;lt;3</t>
  </si>
  <si>
    <t>PPKM Rakyat Sehat https://t.co/LHhwQLfQ3s</t>
  </si>
  <si>
    <t>PPKM Rakyat Sehat</t>
  </si>
  <si>
    <t>JB ppkm belanja dari rumah yu 
 Shopee : dagangmusiman https://t.co/hwc5LRCEvT</t>
  </si>
  <si>
    <t>JB ppkm belanja dari rumah yu Shopee : dagangmusiman</t>
  </si>
  <si>
    <t>@PolresBuleleng Patuhi PPKM Darurat guna menekan angka penyebaran covid-29</t>
  </si>
  <si>
    <t>Patuhi PPKM Darurat guna menekan angka penyebaran covid-29</t>
  </si>
  <si>
    <t>Atau bisa untuk donasi di laman berikut, ini akan terus kontinue selama masa PPKM ini.
 https://t.co/YHwdZAVE65</t>
  </si>
  <si>
    <t>Atau bisa untuk donasi di laman berikut, ini akan terus kontinue selama masa PPKM ini.</t>
  </si>
  <si>
    <t>@idextratime Banyak yang mereka tidak tahu.. southgate all in pegang italy.. buat jaga2 kena grosokan satpol pp di era ppkm</t>
  </si>
  <si>
    <t>Banyak yang mereka tidak tahu.. southgate all in pegang italy.. buat jaga2 kena grosokan satpol pp di era ppkm</t>
  </si>
  <si>
    <t>bilang covid katanya gk ada, di suruh vaksin gk mau, pas bnyak meninggal bingung, ada PPKM di suruh tutup bilang nyari makan buat anak istri, yang nyuruh nutup maksa dan marah2. pie to jan hmmm</t>
  </si>
  <si>
    <t>@schfess masuk offline mya diundur abis ppkm, tp hariini tetep online</t>
  </si>
  <si>
    <t>masuk offline mya diundur abis ppkm, tp hariini tetep online</t>
  </si>
  <si>
    <t>Kotak amal buat danai teroris Diam aja, toko 212 jadi ajang penipuan diam aja, giliran pemerintah adakan ppkm demi kesehatan pada ribut🤣. Kadrun goblok🤣 https://t.co/zvuzucZyTt</t>
  </si>
  <si>
    <t>Kotak amal buat danai teroris Diam aja, toko jadi ajang penipuan diam aja, giliran pemerintah adakan ppkm demi kesehatan pada ribut. Kadrun goblok</t>
  </si>
  <si>
    <t>Surabaya melawan trhadap PPkM d kala rakyat bnyk yg susah gerak menjalankan usaha demi pnuhi kbutuhan klrg🙈 https://t.co/ySx0PCUpKl</t>
  </si>
  <si>
    <t>Surabaya melawan trhadap PPkM d kala rakyat bnyk yg susah gerak menjalankan usaha demi pnuhi kbutuhan klrg</t>
  </si>
  <si>
    <t>@andimuhr yg jual tutup. ppkm wkwk</t>
  </si>
  <si>
    <t>yg jual tutup. ppkm wkwk</t>
  </si>
  <si>
    <t>@republikaonline Kalau tokoh politik itu nyinyir itu bagian dr suara kritis mereka thd pemerintah dlm penanganan virus wuhan yg trkesan amburadul itu dr kebijahkan vaksin gratis/berbayar hingga aturan PPKM darurat tnp solusi bt warga miskin.dasar!!asal nyinyir jg loe😂</t>
  </si>
  <si>
    <t>Kalau tokoh politik itu nyinyir itu bagian dr suara kritis mereka thd pemerintah dlm penanganan virus wuhan yg trkesan amburadul itu dr kebijahkan vaksin gratis/berbayar hingga aturan PPKM darurat tnp solusi bt warga miskin.dasar!!asal nyinyir jg loe</t>
  </si>
  <si>
    <t>Mohon maaf, ini demi mencegah penularan covid19 sekaligus upaya mendukung PPKM Darurat, thd yg masa berlaku SIM nya habis idealnya ada kebijaksanaan, sehingga layanan bisa stop dulu. Terimakasih. https://t.co/dUxq7M4McV</t>
  </si>
  <si>
    <t>Mohon maaf, ini demi mencegah penularan covid19 sekaligus upaya mendukung PPKM Darurat, thd yg masa berlaku SIM nya habis idealnya ada kebijaksanaan, sehingga layanan bisa stop dulu. Terimakasih.</t>
  </si>
  <si>
    <t>PPKM, pengen pacaran kemudian menikah</t>
  </si>
  <si>
    <t>PPKM 
 Syarat kemna mana harus 
 Sudah vaksin
 .....pantes sekarang dijual 
 Itu vaksin
 Negara lain emang pada 
 Jualin tuh vaksin Ama rakyat nya?</t>
  </si>
  <si>
    <t>PPKM Syarat kemna mana harus Sudah vaksin.....pantes sekarang dijual Itu vaksinNegara lain emang pada Jualin tuh vaksin Ama rakyat nya?</t>
  </si>
  <si>
    <t>Konter HP di tutup, ppkm nya nggak jelas. Berarti harus cari pulsa dan kuota internet di #tongsampah</t>
  </si>
  <si>
    <t>Konter HP di tutup, ppkm nya nggak jelas. Berarti harus cari pulsa dan kuota internet di</t>
  </si>
  <si>
    <t>Waktunya liburan malah ppkm</t>
  </si>
  <si>
    <t>Kok bisa yaa, penonton Euro 2020 dan Copa America 2021 pada lepas masker, deket²an, pada gapake masker, dan udah bebas keknya. Lah di Indonesia masih pake masker, WFH dan ditambah PPKM darurat. Ahh janc*k yekan</t>
  </si>
  <si>
    <t>Kok bisa yaa, penonton Euro dan Copa America pada lepas masker, deketan, pada gapake masker, dan udah bebas keknya. Lah di Indonesia masih pake masker, WFH dan ditambah PPKM darurat. Ahh janc*k yekan</t>
  </si>
  <si>
    <t>@convomf Jangan mau nder. Lagi ppkm</t>
  </si>
  <si>
    <t>Jangan mau nder. Lagi ppkm</t>
  </si>
  <si>
    <t>Lihat video perlakuan aparat yg over reaktif, bentrokan dgn masyarakat, menunjukkan adanya kesalahan dlm pemberlakuan PPKM. Petugas di lapangan &amp;amp; masyarakat sudah memasuki tingkat stres tinggi. Bukan ga mungkin gesekan ini akan meluas jika pemangku kebijakan abai thd situasi ini.</t>
  </si>
  <si>
    <t>gwe klo g ppkm, kyknya bisa deh offline😩</t>
  </si>
  <si>
    <t>gwe klo g ppkm, kyknya bisa deh offline</t>
  </si>
  <si>
    <t>@uusbiasaaja Iya bang, 
 gw prihatin seh sama jaman sekarang, tp yg gak abis gw pikir bang,
 @ koko jackson donate @ reza arab 70jt cuma2.. @ doni salmanan donate @ reza arab 1m. Dari pasa donate orng yg mampu secara materi, mwnding sumbang orng2 yg kena phk, pedagang kecil yg kena ppkm.
 sampah</t>
  </si>
  <si>
    <t>Iya bang, gw prihatin seh sama jaman sekarang, tp yg gak abis gw pikir bang, koko jackson donate reza arab jt cuma2.. doni salmanan donate reza arab m. Dari pasa donate orng yg mampu secara materi, mwnding sumbang orng2 yg kena phk, pedagang kecil yg kena ppkm.sampah</t>
  </si>
  <si>
    <t>@ayuliafebrys PPKM yeuh di semprot pulici lu ntaarr</t>
  </si>
  <si>
    <t>PPKM yeuh di semprot pulici lu ntaarr</t>
  </si>
  <si>
    <t>PPKM: Para Penista Kapan Mampoes ?? https://t.co/qlEiXx1nkR</t>
  </si>
  <si>
    <t>PPKM: Para Penista Kapan Mampoes ??</t>
  </si>
  <si>
    <t>Selamat pagi PPKM
 Pria Pemberani Kesayangan Mertua
 JYAKHHH https://t.co/tzf9lfyDnU</t>
  </si>
  <si>
    <t>Selamat pagi PPKMPria Pemberani Kesayangan MertuaJYAKHHH</t>
  </si>
  <si>
    <t>Wew 
 PPKM malah bubarin kerumunan .warung 
 Lah ini coba https://t.co/co47MNJh7X</t>
  </si>
  <si>
    <t>Wew PPKM malah bubarin kerumunan .warung Lah ini coba</t>
  </si>
  <si>
    <t>@convomf lah? Kan lagi ppkm, jangan mau dah mending</t>
  </si>
  <si>
    <t>lah? Kan lagi ppkm, jangan mau dah mending</t>
  </si>
  <si>
    <t>@tiaraayrmnd sepi karena ppkm kan🙄</t>
  </si>
  <si>
    <t>sepi karena ppkm kan</t>
  </si>
  <si>
    <t>Woy @pln_123 knp listrik saya naik nya drastis bgt ya ???WFH engga pemakaian normal , niey gw rasa ngesubsidi yg dpt gratis sama discount nan , gmn ini tolong @KemenBUMN @erickthohir pak @jokowi PPKM " Pelan - Pelan Kami Miskin"</t>
  </si>
  <si>
    <t>Woy knp listrik saya naik nya drastis bgt ya ???WFH engga pemakaian normal , niey gw rasa ngesubsidi yg dpt gratis sama discount nan , gmn ini tolong pak PPKM " Pelan - Pelan Kami Miskin"</t>
  </si>
  <si>
    <t>@ChusnulCh__ Mknya suka bingung.... Ngak lockdown teriak.. Lockdown
 PPKM Mikro ribut membunuh umkm 
 PPKM darurat ribut juga
 Dilarang mudik ribut juga 
 Vaksin gratis ribut
 Vaksin berbayar ribut juga 
 Ujung ujung salah jokowi... Capek lah....</t>
  </si>
  <si>
    <t>Mknya suka bingung.... Ngak lockdown teriak.. LockdownPPKM Mikro ribut membunuh umkm PPKM darurat ribut jugaDilarang mudik ribut juga Vaksin gratis ributVaksin berbayar ribut juga Ujung ujung salah jokowi... Capek lah....</t>
  </si>
  <si>
    <t>@s00mybin mpls, bkn ldks/ldka sepertinya. tpi online, krna skrg msih ppkm</t>
  </si>
  <si>
    <t>mpls, bkn ldks/ldka sepertinya. tpi online, krna skrg msih ppkm</t>
  </si>
  <si>
    <t>@FaisalBasri @yadhijashar @KontanNews Rakyat dijadikan sengsara dg ppkm ditindas oleh aturan.dibunuh Dg vaksin</t>
  </si>
  <si>
    <t>Rakyat dijadikan sengsara dg ppkm ditindas oleh aturan.dibunuh Dg vaksin</t>
  </si>
  <si>
    <t>Modus.....
 PPKM Darurat....rakyat nggak dapat santunan.... dipalak beli vaksin pula....
 Bisnis Jualan Vaksin Covid-19, Berpotensi Menjadi Skandal di Tengah Pandemi, Ada 'Penyelundupan' Hukum, Definisi Vaksin Gotong Royong Mendadak Diubah | PORTAL ISLAM https://t.co/lZWksWanwn</t>
  </si>
  <si>
    <t>Modus.....PPKM Darurat....rakyat nggak dapat santunan.... dipalak beli vaksin pula....Bisnis Jualan Vaksin Covid-19, Berpotensi Menjadi Skandal di Tengah Pandemi, Ada 'Penyelundupan' Hukum, Definisi Vaksin Gotong Royong Mendadak Diubah | PORTAL ISLAM</t>
  </si>
  <si>
    <t>@AREAJULID Yang buat kebijakan lagi ngadem dirumah sambil terima gaji, yg kena efek kebijakan lagi bingung bsk mau makan apa kalo ppkm terus😔</t>
  </si>
  <si>
    <t>Yang buat kebijakan lagi ngadem dirumah sambil terima gaji, yg kena efek kebijakan lagi bingung bsk mau makan apa kalo ppkm terus</t>
  </si>
  <si>
    <t>Pemerintah dinilai sudah tepat dalam mengambil kebijakan Pemberlakuan Pembatasan Kegiatan Masyarakat (PPKM) Darurat. Kebijakan ini diambil sebagai respons melonjaknya kasus covid-19 di sejumlah daerah dalam beberapa waktu terakhir.
 PPKM Rakyat Sehat https://t.co/kFwUoYux1X</t>
  </si>
  <si>
    <t>Pemerintah dinilai sudah tepat dalam mengambil kebijakan Pemberlakuan Pembatasan Kegiatan Masyarakat (PPKM) Darurat. Kebijakan ini diambil sebagai respons melonjaknya kasus covid-19 di sejumlah daerah dalam beberapa waktu terakhir.PPKM Rakyat Sehat</t>
  </si>
  <si>
    <t>Diet. Ok. Diet. Dan ppkm jgggggg☹️</t>
  </si>
  <si>
    <t>Diet. Ok. Diet. Dan ppkm jgggggg</t>
  </si>
  <si>
    <t>@lirihgerimis_ PPKM, tong rame2 😑</t>
  </si>
  <si>
    <t>PPKM, tong rame2</t>
  </si>
  <si>
    <t>Pertm x kekantor pke grab ngntt krn ga pake surat tugas anjg ppkm sialan https://t.co/sXJw9jF98g</t>
  </si>
  <si>
    <t>Pertm x kekantor pke grab ngntt krn ga pake surat tugas anjg ppkm sialan</t>
  </si>
  <si>
    <t>@BKNgoid min syarat keterangan rohani khususnya di kemhan bisa dihilangkan tidak? Soalnya di rsud cibinong poli jiwa tutup smp akhir bulan. Mau ke jakarta ada penyekatan ppkm. Mohon dispensasinya. Tks</t>
  </si>
  <si>
    <t>min syarat keterangan rohani khususnya di kemhan bisa dihilangkan tidak? Soalnya di rsud cibinong poli jiwa tutup smp akhir bulan. Mau ke jakarta ada penyekatan ppkm. Mohon dispensasinya. Tks</t>
  </si>
  <si>
    <t>#availjakbar #openbojakbar #availjakpus #openbojakpus #bojakbar #bojakpus #expojakbar #expojakpus #Angeljakarta
 #EXPOjakarta
 Alee mau ngadain promo ah..lagi PPkm mudah2an ada rejkinya Ale 🙏 
 Lagi raedy cuman beberapa slot dlu ya ga smpe mlm magrib udh close</t>
  </si>
  <si>
    <t>mau ngadain promo ah..lagi PPkm mudah2an ada rejkinya Ale Lagi raedy cuman beberapa slot dlu ya ga smpe mlm magrib udh close</t>
  </si>
  <si>
    <t>Yeach bagaimana lagi pemerintah menerapkan PPKM</t>
  </si>
  <si>
    <t>@Gracealii1 lah iya msh ppkm</t>
  </si>
  <si>
    <t>lah iya msh ppkm</t>
  </si>
  <si>
    <t>Selamat pagi 
 Selamat hari senin para penikmat PPKM 🤗</t>
  </si>
  <si>
    <t>Selamat pagi Selamat hari senin para penikmat PPKM</t>
  </si>
  <si>
    <t>Purchasing jadi kudu nanya vendor kan kena efek ppkm ga</t>
  </si>
  <si>
    <t>@vontodo Karena semester kemarin banyak roleplay
 Harusnya yang ini https://t.co/T3U6M8aRSO kan sedang PPKM mana mungkin buka</t>
  </si>
  <si>
    <t>Karena semester kemarin banyak roleplayHarusnya yang ini kan sedang PPKM mana mungkin buka</t>
  </si>
  <si>
    <t>@vlorentae2 online, masih ppkm</t>
  </si>
  <si>
    <t>online, masih ppkm</t>
  </si>
  <si>
    <t>Pak @jokowi maaf pak, PPKM ini mrmbunuh temen2 kami yg tidak berpenghasilan. Jika mmg tidk ada bantuan, mohon di cabut PPKM ini pak. Saya sedih liat temen2 ga bisa jualan seperti sedia dulu.</t>
  </si>
  <si>
    <t>Pak maaf pak, PPKM ini mrmbunuh temen2 kami yg tidak berpenghasilan. Jika mmg tidk ada bantuan, mohon di cabut PPKM ini pak. Saya sedih liat temen2 ga bisa jualan seperti sedia dulu.</t>
  </si>
  <si>
    <t>Cuma mau tanya, mana dulu yg awal2 pandemi teriak-teriak minta Indonesia diLOCKDOWN segera. Hari ini PPKM darurat berjalan malah teriak-teriak kegiatan ini menyusahkan masyarakat, mematikan ekonomi, dll. Ga sadar apa ya, penyebaran infeksi yg skrg ini jauh lebih cepat sodara2ku.</t>
  </si>
  <si>
    <t>@byunohsarang Gw udah pernah offline 😎 tp ini ppkm jadi daring dulu</t>
  </si>
  <si>
    <t>Gw udah pernah offline tp ini ppkm jadi daring dulu</t>
  </si>
  <si>
    <t>Mungkin inilah imbas dari kinerja pemerintah dan jajarannya di tingkat kota/kabupaten yg tidak pernah turun gunung, alias menengok rakyatnya yg dibawah sejak psbb-ppkm sehingga menimbulkan miskom yg berkepanjangan terhadap lembaga keamanan dengan masyarakat. 🙏amitslur https://t.co/wid0yVTL6o</t>
  </si>
  <si>
    <t>Mungkin inilah imbas dari kinerja pemerintah dan jajarannya di tingkat kota/kabupaten yg tidak pernah turun gunung, alias menengok rakyatnya yg dibawah sejak psbb-ppkm sehingga menimbulkan miskom yg berkepanjangan terhadap lembaga keamanan dengan masyarakat. amitslur</t>
  </si>
  <si>
    <t>@antaranews Seharusnya sblm ppkm dimulai sdh dipirkan dulu segala sesuatunya, jangan habis nyumbang malah disumbang</t>
  </si>
  <si>
    <t>Seharusnya sblm ppkm dimulai sdh dipirkan dulu segala sesuatunya, jangan habis nyumbang malah disumbang</t>
  </si>
  <si>
    <t>@gglossiebby Nunggu ppkm selesai kali ya😌</t>
  </si>
  <si>
    <t>Nunggu ppkm selesai kali ya</t>
  </si>
  <si>
    <t>PPKM berasa banget bedanya sama PSBB tahun lalu
 Lah iya dulu mah masih sama kamu *eh</t>
  </si>
  <si>
    <t>PPKM berasa banget bedanya sama PSBB tahun laluLah iya dulu mah masih sama kamu *eh</t>
  </si>
  <si>
    <t>Nah ini sebenernya yg bikin sedih dan serba salah.. Mereka yg pedagang swasta yg finansialnya kurang ya mau gakmau kerja walaupun ppkm, bukan gakmau patuh, keadaan mereka gak ada yg tanggung.. Yg gaji dah ditanggung pemerintah mah enakk https://t.co/98d2NRY1rk</t>
  </si>
  <si>
    <t>Nah ini sebenernya yg bikin sedih dan serba salah.. Mereka yg pedagang swasta yg finansialnya kurang ya mau gakmau kerja walaupun ppkm, bukan gakmau patuh, keadaan mereka gak ada yg tanggung.. Yg gaji dah ditanggung pemerintah mah enakk</t>
  </si>
  <si>
    <t>Shaum sunnah di masa Ppkm itu godaannya luar biasa..</t>
  </si>
  <si>
    <t>@cassieanbgt ak suka ppkm</t>
  </si>
  <si>
    <t>ak suka ppkm</t>
  </si>
  <si>
    <t>@arifxmhd Beruntung yang ppkm 😂</t>
  </si>
  <si>
    <t>Beruntung yang ppkm</t>
  </si>
  <si>
    <t>Selamat pagi ppkm darurat ✌️</t>
  </si>
  <si>
    <t>Selamat pagi ppkm darurat</t>
  </si>
  <si>
    <t>@aodaikiii Muak bgt dirumah cmn kalau ga nurut ppkm makin lama shshsh</t>
  </si>
  <si>
    <t>Muak bgt dirumah cmn kalau ga nurut ppkm makin lama shshsh</t>
  </si>
  <si>
    <t>@naurasfn Buat kperluan makan...lgi ppkm ga bsa krja...</t>
  </si>
  <si>
    <t>Buat kperluan makan...lgi ppkm ga bsa krja...</t>
  </si>
  <si>
    <t>Sekarang saat ini masih PPKM jangan pergi2 dulu kecuali urgen banget</t>
  </si>
  <si>
    <t>@AREAJULID Miris. Mau ppkm tapi ga siap sama segala macam dana untuk rakyatnya.</t>
  </si>
  <si>
    <t>Miris. Mau ppkm tapi ga siap sama segala macam dana untuk rakyatnya.</t>
  </si>
  <si>
    <t>@notyourexxx_ @schfess kalo aku kan sekarang di jakarta masih ppkm jadi maaih online lewat gmeet gitu, kalo udh engga offline katanya gitu</t>
  </si>
  <si>
    <t>kalo aku kan sekarang di jakarta masih ppkm jadi maaih online lewat gmeet gitu, kalo udh engga offline katanya gitu</t>
  </si>
  <si>
    <t>@rasjawa Yang penting ada aturan keluar😂 semoga ppkm ga di perpanjang</t>
  </si>
  <si>
    <t>Yang penting ada aturan keluar semoga ppkm ga di perpanjang</t>
  </si>
  <si>
    <t>Jngn bersembunyi dngn nomenklatur PPKM ya pak presidenku, istilah d ubah2 biar gk menjalankan pasal 52 dan 55 😌 https://t.co/pxPqEJAUJ0</t>
  </si>
  <si>
    <t>Jngn bersembunyi dngn nomenklatur PPKM ya pak presidenku, istilah d ubah2 biar gk menjalankan pasal dan</t>
  </si>
  <si>
    <t>@dindausherrr Yaaa nanti setelah ppkm dan situasi mereda akan aku cobaa xixi</t>
  </si>
  <si>
    <t>Yaaa nanti setelah ppkm dan situasi mereda akan aku cobaa xixi</t>
  </si>
  <si>
    <t>@straykiizeuu__ lagi ppkm</t>
  </si>
  <si>
    <t>lagi ppkm</t>
  </si>
  <si>
    <t>Pemerintah Telah GAGAL...
 Menangani NYAWA MANUSIA...
 SEJAK AWAL WUHAN Pertama..
 Hingga DETIK ini.
 LEBIH Baik Cepat...MUNDUR.
 PPKM....
 Pak Pak Kapan Mundur.</t>
  </si>
  <si>
    <t>Pemerintah Telah GAGAL...Menangani NYAWA MANUSIA...SEJAK AWAL WUHAN Pertama..Hingga DETIK ini.LEBIH Baik Cepat...MUNDUR.PPKM....Pak Pak Kapan Mundur.</t>
  </si>
  <si>
    <t>@Husen_Jafar Bib...berhubung PPKM sholat subuhnya dideket TV dan suara TV nya dikencengin biar kedengeran pinaltinya..
 Sah apa ga ya bib?</t>
  </si>
  <si>
    <t>Bib...berhubung PPKM sholat subuhnya dideket TV dan suara TV nya dikencengin biar kedengeran pinaltinya..Sah apa ga ya bib?</t>
  </si>
  <si>
    <t>@urbbygu Abis ppkm aja kita ya oyin 😊</t>
  </si>
  <si>
    <t>Abis ppkm aja kita ya oyin</t>
  </si>
  <si>
    <t>@PT_Transjakarta @VhieaOllivia Pagi min, mohon info 1n, 1p beroperasi normalkah selama PPKM?</t>
  </si>
  <si>
    <t>Pagi min, mohon info n, p beroperasi normalkah selama PPKM?</t>
  </si>
  <si>
    <t>Hindarkan aku dari godaan diskon2 nail art selama ppkm Ya Allah 😓😓😓</t>
  </si>
  <si>
    <t>Hindarkan aku dari godaan diskon2 nail art selama ppkm Ya Allah</t>
  </si>
  <si>
    <t>emg anjg ppkm tanpa solusi https://t.co/3uwOhqW0qK</t>
  </si>
  <si>
    <t>emg anjg ppkm tanpa solusi</t>
  </si>
  <si>
    <t>@rahasia_ihh Mau makan² di mana ih, lagi PPKM gini 😌</t>
  </si>
  <si>
    <t>Mau makan di mana ih, lagi PPKM gini</t>
  </si>
  <si>
    <t>@yeolgabut belum, ppkm</t>
  </si>
  <si>
    <t>belum, ppkm</t>
  </si>
  <si>
    <t>Sedang di fase jenuh mungkin kayaknya, apalagi ketika PPKM begini. Buat kerja kek gak semangat, di rumah terus ngelakuin hal yang sama berulang-ulang, gak bisa kemana-mana, bahkan sampai jenuh kek gak tau mau ngapain lagi.</t>
  </si>
  <si>
    <t>@ObbieNugraha @DewinthaNonong Bener bngt gan😭😭😭 PPKM setengah2
 Mending full lockdown sekalian, kasih mereka makan, dan suruh mrk diam d rmh.. Mk mrk akan nurut 😭</t>
  </si>
  <si>
    <t>Bener bngt gan PPKM setengah2Mending full lockdown sekalian, kasih mereka makan, dan suruh mrk diam d rmh.. Mk mrk akan nurut</t>
  </si>
  <si>
    <t>@panca66 Lagian pula sudah bnyak yg ksih solusi,tapi ngk di dengar juga, slah satunya bila ingin PPKM sukses ya dgan menanggung kebutuhan rakyat sesui UU, tapi apa di dengaa???</t>
  </si>
  <si>
    <t>Lagian pula sudah bnyak yg ksih solusi,tapi ngk di dengar juga, slah satunya bila ingin PPKM sukses ya dgan menanggung kebutuhan rakyat sesui UU, tapi apa di dengaa???</t>
  </si>
  <si>
    <t>Ppkm disuruh survive tapi pemasukan gak ada ya lama" streess lah org, yg bilang stay di rumah aja ya enak dapet gaji, lah org yg kerjaan nya emg harus dijalan gimana dong, jualan di luar di semprot pakek air bahkan ada yg dagangnya di hancurin, tapi gak ngasih solusi apa"🥺.</t>
  </si>
  <si>
    <t>Ppkm disuruh survive tapi pemasukan gak ada ya lama" streess lah org, yg bilang stay di rumah aja ya enak dapet gaji, lah org yg kerjaan nya emg harus dijalan gimana dong, jualan di luar di semprot pakek air bahkan ada yg dagangnya di hancurin, tapi gak ngasih solusi apa".</t>
  </si>
  <si>
    <t>PPKM
 Pp nya terserah asal km punyaku</t>
  </si>
  <si>
    <t>PPKMPp nya terserah asal km punyaku</t>
  </si>
  <si>
    <t>@loser_OTY @DewinthaNonong Pedagang setuju setuju aja ppkm tapi pemerintah harusnya menjamin makanan minuman untuk mereka.enak polisi udah digaji tiap bulan,lah pedagang?</t>
  </si>
  <si>
    <t>Pedagang setuju setuju aja ppkm tapi pemerintah harusnya menjamin makanan minuman untuk mereka.enak polisi udah digaji tiap bulan,lah pedagang?</t>
  </si>
  <si>
    <t>@HanifahAndini96 Dukung PPKM Darurat</t>
  </si>
  <si>
    <t>Dukung PPKM Darurat</t>
  </si>
  <si>
    <t>ada yang tau ppkm kapan selesai?</t>
  </si>
  <si>
    <t>Olahraga bisa dengan streching di rumah atau berjalan di dlm komplek 
 .
 .
 .
 .
 PPKM Darurat harus sukses untuk menekan kasus covid 19
 #PatuhiAturanPPKMDarurat https://t.co/q8m4OAPmIv</t>
  </si>
  <si>
    <t>Olahraga bisa dengan streching di rumah atau berjalan di dlm komplek ....PPKM Darurat harus sukses untuk menekan kasus covid</t>
  </si>
  <si>
    <t>ppkm penghambat segalanya</t>
  </si>
  <si>
    <t>@wonggbudi Horee siap uncle 🥳
 Semoga jadi Rezeki saat PPKM 😚😎</t>
  </si>
  <si>
    <t>Horee siap uncle Semoga jadi Rezeki saat PPKM</t>
  </si>
  <si>
    <t>@snobvy Masih ppkm kaka</t>
  </si>
  <si>
    <t>Masih ppkm kaka</t>
  </si>
  <si>
    <t>@Lelaki_5unyi Gini gak mau disebut penjajah, pki... Kelakuannya memalukan...
 PPKM = Penjahat Penipu Kapan Modar?</t>
  </si>
  <si>
    <t>Gini gak mau disebut penjajah, pki... Kelakuannya memalukan...PPKM = Penjahat Penipu Kapan Modar?</t>
  </si>
  <si>
    <t>Penerapan dan penegakan PPKM Darurat ini mestinya pemerintah bisa lebih humanis dengan menggunakan strong leadership bukan dengan OTORITER dan ANTI KRITIK, kalau seperti itu terus maka bisa menjadi 'bom waktu'</t>
  </si>
  <si>
    <t>Liat berita burung katanya ppkm dilanjut sama 17 agustus mang bener?</t>
  </si>
  <si>
    <t>Liat berita burung katanya ppkm dilanjut sama agustus mang bener?</t>
  </si>
  <si>
    <t>PPKM Darurat, Pemprov Jatim Cek Kepatuhan Pabrik Air Minum di Pandaan</t>
  </si>
  <si>
    <t>@B0c4hkeling PPKM tekan penyebaran virus</t>
  </si>
  <si>
    <t>PPKM tekan penyebaran virus</t>
  </si>
  <si>
    <t>@Cobeh09 Influencer bayaran ppkm.</t>
  </si>
  <si>
    <t>Influencer bayaran ppkm.</t>
  </si>
  <si>
    <t>Pas dipndk kehalang tembok asrama, 
 Pas lulus kehalang covid dan ppkm. 
 Emg skrng serba LDR yak:')</t>
  </si>
  <si>
    <t>Pas dipndk kehalang tembok asrama, Pas lulus kehalang covid dan ppkm. Emg skrng serba LDR yak:')</t>
  </si>
  <si>
    <t>Paham Lo! Sinih dtg ke rumah, gw unjukin. Masjidnya. Pagi² bikin sewot. Elo enak meski PPKM ga kemana², diem dirumah Tp msh terima rutin gaji. lah gw, kerjaan &amp;amp; gaji ga punya, jualan minus orderan, istri sm 3 anak, mau di kasih makan apa..? Belum nnt 2 bln lg kudu byr kontrakan😭</t>
  </si>
  <si>
    <t>Paham Lo! Sinih dtg ke rumah, gw unjukin. Masjidnya. Pagi bikin sewot. Elo enak meski PPKM ga kemana, diem dirumah Tp msh terima rutin gaji. lah gw, kerjaan &amp;amp; gaji ga punya, jualan minus orderan, istri sm anak, mau di kasih makan apa..? Belum nnt bln lg kudu byr kontrakan</t>
  </si>
  <si>
    <t>Fokus ke PPKM darurat, jangan lalai prokes 5m+1v menuju Indonesia sehat dan bangkit https://t.co/vC7JanXzX9</t>
  </si>
  <si>
    <t>Fokus ke PPKM darurat, jangan lalai prokes m+1v menuju Indonesia sehat dan bangkit</t>
  </si>
  <si>
    <t>Terjebak ppkm darurat 😌</t>
  </si>
  <si>
    <t>Terjebak ppkm darurat</t>
  </si>
  <si>
    <t>Dah di bilang ppkm (pelan-pelan kamek mati ) https://t.co/jynbizbplS</t>
  </si>
  <si>
    <t>Dah di bilang ppkm (pelan-pelan kamek mati )</t>
  </si>
  <si>
    <t>PPKM Darurat 8 hr di Batam terkesan hanya manut pusat dan alasan mendapatkan anggaran. Analisisnya Pemda mendapat anggaran, masyarakat umum dapat apa?? #JokowiStepDown https://t.co/0InbNUwWWp</t>
  </si>
  <si>
    <t>PPKM Darurat hr di Batam terkesan hanya manut pusat dan alasan mendapatkan anggaran. Analisisnya Pemda mendapat anggaran, masyarakat umum dapat apa??</t>
  </si>
  <si>
    <t>@_faakhira Ayodong stlh ppkm deh 🤣🤣 kalo aku kesana kdu berdua budgetnya melar</t>
  </si>
  <si>
    <t>Ayodong stlh ppkm deh kalo aku kesana kdu berdua budgetnya melar</t>
  </si>
  <si>
    <t>#PatuhiAturanPPKMDarurat
 PPKM darurat itu langkah tepat tuk kendalikan dn cegah lonjakn kopit. 
 Apalagi yg kita tahu banyak varian baru dr kopit tersebar di Indonesia 
 Yuk taati PPKM Darurat ya https://t.co/04qjqHWu3t</t>
  </si>
  <si>
    <t>darurat itu langkah tepat tuk kendalikan dn cegah lonjakn kopit. Apalagi yg kita tahu banyak varian baru dr kopit tersebar di Indonesia Yuk taati PPKM Darurat ya</t>
  </si>
  <si>
    <t>Baru dipanggil dikit2 udah ppkm udah dibubarkan hajatan masjid2 
 Maunya apa coba makin keruh keadaan nyusah rakyat kecil susah nyari duit</t>
  </si>
  <si>
    <t>Baru dipanggil dikit2 udah ppkm udah dibubarkan hajatan masjid2 Maunya apa coba makin keruh keadaan nyusah rakyat kecil susah nyari duit</t>
  </si>
  <si>
    <t>@xaviremora Masih ppkm</t>
  </si>
  <si>
    <t>Masih ppkm</t>
  </si>
  <si>
    <t>Semoga daringnya cuma sampe berakhirnya PPKM darurat saja Ya Allah. Wis nggak kuat nek kudu daring terus2an 😫 terlepas jadi guru mapel, yg ribet karna jadi wali kelas ini lhooo 😫</t>
  </si>
  <si>
    <t>Semoga daringnya cuma sampe berakhirnya PPKM darurat saja Ya Allah. Wis nggak kuat nek kudu daring terus2an terlepas jadi guru mapel, yg ribet karna jadi wali kelas ini lhooo</t>
  </si>
  <si>
    <t>Assalamu'alaikum..page....Monday...Monday....masih PPKM ya,baiklah nikmati aja dulu...semoga sehat selalu utk semua...Akiramenai de...Ganbareee💪 https://t.co/tzAg4LycLb</t>
  </si>
  <si>
    <t>Assalamu'alaikum..page....Monday...Monday....masih PPKM ya,baiklah nikmati aja dulu...semoga sehat selalu utk semua...Akiramenai de...Ganbareee</t>
  </si>
  <si>
    <t>@DewinthaNonong 💔
 PPKM darurat tuh berat utk banyak sekali kalangan. Tolong klo menertibkan harus disertai solusi. Nuraninya dipake.
 Semuanya juga ayo bantu sudahi pandemi dg patuh prokes. Hanya sesederhana pakai masker, jauhi kerumunan, sering cuci tangan, ambil vaksin. Udah. Ga susah kan?</t>
  </si>
  <si>
    <t>PPKM darurat tuh berat utk banyak sekali kalangan. Tolong klo menertibkan harus disertai solusi. Nuraninya dipake.Semuanya juga ayo bantu sudahi pandemi dg patuh prokes. Hanya sesederhana pakai masker, jauhi kerumunan, sering cuci tangan, ambil vaksin. Udah. Ga susah kan?</t>
  </si>
  <si>
    <t>@kemalpalevi ppkm malah kluyuran https://t.co/aHgDQhaM0y</t>
  </si>
  <si>
    <t>ppkm malah kluyuran</t>
  </si>
  <si>
    <t>libur semester tapi ppkm , huhu</t>
  </si>
  <si>
    <t>Berhasil tidaknya PPKM Darurat, tergantung dr kita semua dalam #PatuhiAturanPPKMDarurat ,
 PPKM Darurat di terapkan semata2 utk menahan lonjakan kopit. 
 Jangan pernah abai. 
 Jangan pernah lalai
 Sayangi drimu dan keluarga, dgn patuh prokes dn aturan PPKM Darurat https://t.co/MSymKhfhrc</t>
  </si>
  <si>
    <t>Berhasil tidaknya PPKM Darurat, tergantung dr kita semua dalam ,PPKM Darurat di terapkan semata2 utk menahan lonjakan kopit. Jangan pernah abai. Jangan pernah lalaiSayangi drimu dan keluarga, dgn patuh prokes dn aturan PPKM Darurat</t>
  </si>
  <si>
    <t>@ajizaky571 Di saat ppkm sakit berat non covid benar benar diabaikan jika tidak melakukan rapid test antigen. Kebayang yg awam akan melakukan test. Karena ph tubuh asam maka reaktif dan ini dirujuk ke RS penanganan C19 maka dari itu membludak. Penyakit inti nya tdk diobati.dan akhirnya...</t>
  </si>
  <si>
    <t>Di saat ppkm sakit berat non covid benar benar diabaikan jika tidak melakukan rapid test antigen. Kebayang yg awam akan melakukan test. Karena ph tubuh asam maka reaktif dan ini dirujuk ke RS penanganan C19 maka dari itu membludak. Penyakit inti nya tdk diobati.dan akhirnya...</t>
  </si>
  <si>
    <t>sedih banget ga si, orderan ortu dikit banget gara-gara ppkm😔</t>
  </si>
  <si>
    <t>sedih banget ga si, orderan ortu dikit banget gara-gara ppkm</t>
  </si>
  <si>
    <t>Gegara banyak yang bikin plesetan tentang PPKM , aku sampe lupa kepanjangan PPKM yang sesungguhnya itu apa 😶</t>
  </si>
  <si>
    <t>Gegara banyak yang bikin plesetan tentang PPKM , aku sampe lupa kepanjangan PPKM yang sesungguhnya itu apa</t>
  </si>
  <si>
    <t>Pemberlakuan Pembatasan Kegiatan Masyarakat (PPKM) Darurat di Pulau Jawa dan Bali 3 hingga 20 Juli 2021,adalah langkah tepat Untuk menekan laju kasus dan memutus mata rantai penularan COVID-19.
 #PatuhiAturanPPKMDarurat https://t.co/eHh6JJ5U57</t>
  </si>
  <si>
    <t>Pemberlakuan Pembatasan Kegiatan Masyarakat (PPKM) Darurat di Pulau Jawa dan Bali hingga Juli ,adalah langkah tepat Untuk menekan laju kasus dan memutus mata rantai penularan COVID-19.</t>
  </si>
  <si>
    <t>Dengan kita tetap disiplin mematuhi PPKM Darurat,kita optimis, penyebaran Covid-19 di Indonesia dapat segera ditekan.
 #PatuhiAturanPPKMDarurat https://t.co/f0gETlp6fc</t>
  </si>
  <si>
    <t>Dengan kita tetap disiplin mematuhi PPKM Darurat,kita optimis, penyebaran Covid-19 di Indonesia dapat segera ditekan.</t>
  </si>
  <si>
    <t>Hendaknya para petugas ppkm itu kasi contoh dulu prokes yg bener, baru deh negur rakyat. Bukan malah masker di dagu trus marah2 di depan muka. Ehh .. tu droplet nyemprot2 kmana2. Ujan lokal taukk</t>
  </si>
  <si>
    <t>Pemerintah siap untuk menyalurkan Bantuan guna membantu Perekonomian Warga yg terdampak pada masa penerapan PPKM Darurat yaitu ±18.8 juta keluarga penerima manfaat.
 Jgn hanya menerima bantuan aja terdepan, Mematuhi PPKM darurat juga harus yg terdepan.
 #PatuhiAturanPPKMDarurat https://t.co/ntfYCcLSPv</t>
  </si>
  <si>
    <t>Pemerintah siap untuk menyalurkan Bantuan guna membantu Perekonomian Warga yg terdampak pada masa penerapan PPKM Darurat yaitu juta keluarga penerima manfaat.Jgn hanya menerima bantuan aja terdepan, Mematuhi PPKM darurat juga harus yg terdepan.</t>
  </si>
  <si>
    <t>sumpah sesedih ini liat pedagang diusirin. itu yg dagang ngasih makan apa ya ke anak anaknya dirumah, kalo dipaksa dirumah aja selama ppkm ini trus gaada pemasukan gitu gimana ya, dipaksa mati kelaperan dirumah apa gimana</t>
  </si>
  <si>
    <t>@Aguiailue @TejaAru05798875 @AREAJULID kakakku ga wfh, dia kerja pabrik tetep masuk bahkan PPKM diterobos udah masuk berita.</t>
  </si>
  <si>
    <t>kakakku ga wfh, dia kerja pabrik tetep masuk bahkan PPKM diterobos udah masuk berita.</t>
  </si>
  <si>
    <t>Tujuannya agar masyarakat tetap patuh prokes sampai batas akhir pelaksanaan PPKM darurat, itu benar
 Tapi dengan
 #PatuhiAturanPPKMDarurat
 kita bisa manfaatkan waktu tuk ikut vaksin gratis yang mana menyelamatkan nyawa lebih penting dari sekedar ekonomi
 sluman slumun slamet https://t.co/xe9D7jWbjt</t>
  </si>
  <si>
    <t>Tujuannya agar masyarakat tetap patuh prokes sampai batas akhir pelaksanaan PPKM darurat, itu benarTapi dengan bisa manfaatkan waktu tuk ikut vaksin gratis yang mana menyelamatkan nyawa lebih penting dari sekedar ekonomisluman slumun slamet</t>
  </si>
  <si>
    <t>Sedih banget ngeliat pedagang &amp;amp; karyawan yang terdampak PPKM ini... 😭</t>
  </si>
  <si>
    <t>Sedih banget ngeliat pedagang &amp;amp; karyawan yang terdampak PPKM ini...</t>
  </si>
  <si>
    <t>@adjisdoaibu italy menang itu pengalihan isu gaes. tetap kawal ppkm, harus tetap pakai maskermu.</t>
  </si>
  <si>
    <t>italy menang itu pengalihan isu gaes. tetap kawal ppkm, harus tetap pakai maskermu.</t>
  </si>
  <si>
    <t>BANTUAN SOSIAL UNTUK MEMBANTU PEREKONOMIAN PADA MASA PPKM DARURAT
 Bantuan diberikan setiap bulan sebesar Rp300 ribu per KPM per bulan.
 Bantuan ini untuk meringankan masyarakat terdampak dalam pelaksanaan PPKM.
 #PatuhiAturanPPKMDarurat https://t.co/DdeH82ectl</t>
  </si>
  <si>
    <t>BANTUAN SOSIAL UNTUK MEMBANTU PEREKONOMIAN PADA MASA PPKM DARURATBantuan diberikan setiap bulan sebesar Rp300 ribu per KPM per bulan.Bantuan ini untuk meringankan masyarakat terdampak dalam pelaksanaan PPKM.</t>
  </si>
  <si>
    <t>PPKM Darurat menjadi Langkah yg tepat untuk memutuskan mata rantai penularan covid19.
 Jadilah Masyarakat yg Turut Peduli, bukan malah ngerusuhin. 🙏
 #PatuhiAturanPPKMDarurat https://t.co/hrhj6TUXEq</t>
  </si>
  <si>
    <t>PPKM Darurat menjadi Langkah yg tepat untuk memutuskan mata rantai penularan covid19.Jadilah Masyarakat yg Turut Peduli, bukan malah ngerusuhin.</t>
  </si>
  <si>
    <t>@kompascom ni contoh apa perlu ingrris ppkm lockdown,,aya aya wae,,hidup makin menderita,,udah miskin semua di batasi,,mereka negara maju enak enak aja walau entah klo covid mengganas nangis juga</t>
  </si>
  <si>
    <t>ni contoh apa perlu ingrris ppkm lockdown,,aya aya wae,,hidup makin menderita,,udah miskin semua di batasi,,mereka negara maju enak enak aja walau entah klo covid mengganas nangis juga</t>
  </si>
  <si>
    <t>@TAN_10_ Pembuluh darahnya ngapain ngumpul2 ya, padahal ppkm &amp;amp; socdis 😔</t>
  </si>
  <si>
    <t>Pembuluh darahnya ngapain ngumpul2 ya, padahal ppkm &amp;amp; socdis</t>
  </si>
  <si>
    <t>@indhp284 Apalah arti ppkm ya wkwkw</t>
  </si>
  <si>
    <t>Apalah arti ppkm ya wkwkw</t>
  </si>
  <si>
    <t>Kenapasi gabisa dgn cara “mengingatkan” gitu, kenapa harus pake “punishment”. Dah 4x lihat cara “mereka” mendisiplinkan rakyat saat ppkm tp gada rasa kemanusiaannya sama sekali. Kalo benar2 melarang ya kasih mereka uang seharga penjualannya mereka dong!! SOLUSI WOY!!! https://t.co/I6DBsjFxwO</t>
  </si>
  <si>
    <t>Kenapasi gabisa dgn cara mengingatkan gitu, kenapa harus pake punishment. Dah x lihat cara mereka mendisiplinkan rakyat saat ppkm tp gada rasa kemanusiaannya sama sekali. Kalo benar2 melarang ya kasih mereka uang seharga penjualannya mereka dong!! SOLUSI WOY!!!</t>
  </si>
  <si>
    <t>kios dah tutup dri lama malah ditanyain sama pak polisi kemana🤣. terbukti pada kangen soto apa ya. woy pak ppkm libur dulu😂</t>
  </si>
  <si>
    <t>kios dah tutup dri lama malah ditanyain sama pak polisi kemana. terbukti pada kangen soto apa ya. woy pak ppkm libur dulu</t>
  </si>
  <si>
    <t>@PutraWadapi Pemerintah harus pastikan petugas PPKM itu orang yang berpendidikan, bisa berkomunikasi dengan baik, punya empati dan profesional. 
 Jangan menurunkan preman!
 Kalo gitu, sama saja ngajak perang rakyat..</t>
  </si>
  <si>
    <t>Pemerintah harus pastikan petugas PPKM itu orang yang berpendidikan, bisa berkomunikasi dengan baik, punya empati dan profesional. Jangan menurunkan preman!Kalo gitu, sama saja ngajak perang rakyat..</t>
  </si>
  <si>
    <t>Saya sangat kecewa atas tindakan aparat dalam operasi PPKM yg sedang berlangsung iniApakah pantas para pedagang" kecil di obrak Abrik daganya 
 Teruntuk pemerintahku @kementrianRI Teruntuk presidenku @jokowi 
 Kami sangat menolak peraturan ppkm ini 
 #TOLAKPPKM 
 Karnakamipunyaalasan</t>
  </si>
  <si>
    <t>Saya sangat kecewa atas tindakan aparat dalam operasi PPKM yg sedang berlangsung iniApakah pantas para pedagang" kecil di obrak Abrik daganya Teruntuk pemerintahku Teruntuk presidenku Kami sangat menolak peraturan ppkm ini Karnakamipunyaalasan</t>
  </si>
  <si>
    <t>@Tatowise1 @RagilSemar Solusinya apa? Nahan makan sampe ppkm kelar?</t>
  </si>
  <si>
    <t>Solusinya apa? Nahan makan sampe ppkm kelar?</t>
  </si>
  <si>
    <t>Gini bgt ya ppkm😢</t>
  </si>
  <si>
    <t>Gini bgt ya ppkm</t>
  </si>
  <si>
    <t>Pas Nobar Om @IwanMah ngomongnya 
 PPKM - Pekan-Pekan kemenangan Mancini
 Opung @03Kembara ga mau kalah ngomongnya :
 PPKM - Pekan-Pekan Kemenangan MInggris
 🤣🤣🤣🤣🤣</t>
  </si>
  <si>
    <t>Pas Nobar Om ngomongnya PPKM - Pekan-Pekan kemenangan ManciniOpung ga mau kalah ngomongnya KM - Pekan-Pekan Kemenangan MInggris</t>
  </si>
  <si>
    <t>Libur semester tapi ppkm :)</t>
  </si>
  <si>
    <t>Libur semester tapi ppkm</t>
  </si>
  <si>
    <t>PPKM Darurat. 
 PPKM Rakyat Sehat https://t.co/dR4tpRlsh8</t>
  </si>
  <si>
    <t>PPKM Darurat. PPKM Rakyat Sehat</t>
  </si>
  <si>
    <t>Ppkm jalan tol macettt https://t.co/eeb7gkjaTq</t>
  </si>
  <si>
    <t>Ppkm jalan tol macettt</t>
  </si>
  <si>
    <t>Entah istilahnya PPKM, lockdown, ataupun PSBB, semuanya sama itu Karantina Kesehatan. Itu berarti bahwa Negara Wajib mencukupi semua kebutuhan warganya (sesuai UU No 6 Tahun 2018). Bukan cuma membatasi lalu membiarkan warganya bisa makan apa nggak. https://t.co/83GQT1RvBn</t>
  </si>
  <si>
    <t>Entah istilahnya PPKM, lockdown, ataupun PSBB, semuanya sama itu Karantina Kesehatan. Itu berarti bahwa Negara Wajib mencukupi semua kebutuhan warganya (sesuai UU No Tahun ). Bukan cuma membatasi lalu membiarkan warganya bisa makan apa nggak.</t>
  </si>
  <si>
    <t>Ketika rakyat sudah dipaksa mematuhi peraturan PPKM,
 Maka pemerintah HARUS memenuhi hak-hak hidup rakyat yang mendasar.</t>
  </si>
  <si>
    <t>Ketika rakyat sudah dipaksa mematuhi peraturan PPKM,Maka pemerintah HARUS memenuhi hak-hak hidup rakyat yang mendasar.</t>
  </si>
  <si>
    <t>Ya Allah plis kasih kerjaan lagi dong yang bisa nerima mahasiswa semester akhir. Pusing bgt bayar tagihan banyak bgt tapi pemasukan minim. Mana lagi ppkm :")</t>
  </si>
  <si>
    <t>Dukung vonis hukuman terhadap Rizieq Shihab. 
 PPKM Rakyat Sehat https://t.co/hSyoD7TX0r</t>
  </si>
  <si>
    <t>Dukung vonis hukuman terhadap Rizieq Shihab. PPKM Rakyat Sehat</t>
  </si>
  <si>
    <t>dah ppkm kah batam hari ini ?</t>
  </si>
  <si>
    <t>Aku pikir skrg semua milenial rata” udah pada pinter dan bisa menyaring sesuatu hal dengan cara yg bijak. Ternyata engga 🥲 banyak jg yg marah” dengan murkanya karna pemberlakuan PPKM.</t>
  </si>
  <si>
    <t>Aku pikir skrg semua milenial rata udah pada pinter dan bisa menyaring sesuatu hal dengan cara yg bijak. Ternyata engga banyak jg yg marah dengan murkanya karna pemberlakuan PPKM.</t>
  </si>
  <si>
    <t>Stop TKA China, kita sedang PPKM Darurat. Dengarlah suara rakyat. Klik youtube tonton subscribe
 https://t.co/ipXUQuQH36</t>
  </si>
  <si>
    <t>Stop TKA China, kita sedang PPKM Darurat. Dengarlah suara rakyat. Klik youtube tonton subscribe</t>
  </si>
  <si>
    <t>@Bagas_Cakra10 @drpriono1 @jokowi Halah.
 Ngapain bansos dikorupsi.
 Ngapain jual ibukota baru?
 Ngapain jual vaksin?
 Ngaku saja , gak bisa manage duit pajak rakyat.
 Maka PPKM, 
 Pak Presiden Kapan Mundur?</t>
  </si>
  <si>
    <t>Halah.Ngapain bansos dikorupsi.Ngapain jual ibukota baru?Ngapain jual vaksin?Ngaku saja , gak bisa manage duit pajak rakyat.Maka PPKM, Pak Presiden Kapan Mundur?</t>
  </si>
  <si>
    <t>@caklis4 @fadlizon Geblek,inggris itu pake lockdown,klo karantina ya bener karantina.pemerintah sana ngk main2 menghadapi nya dan bukan melakukan hal konyol pake istilah psbb,ppkm hahahaha
 Satu lg,vaksin mrk gratis ngk bayar.sementara indonesia udh mulai ke arah bisnis.
 Pemerintah kita masih jauh</t>
  </si>
  <si>
    <t>Geblek,inggris itu pake lockdown,klo karantina ya bener karantina.pemerintah sana ngk main2 menghadapi nya dan bukan melakukan hal konyol pake istilah psbb,ppkm hahahahaSatu lg,vaksin mrk gratis ngk bayar.sementara indonesia udh mulai ke arah bisnis.Pemerintah kita masih jauh</t>
  </si>
  <si>
    <t>@apacarikbeb nah iya mau kerumah kakak lagi ppkm wkwk</t>
  </si>
  <si>
    <t>nah iya mau kerumah kakak lagi ppkm wkwk</t>
  </si>
  <si>
    <t>@tatakujiyati @nety_rusi lha kenapa jd gini ya?
 ini yg saya tau: Pak Anies di Jakarta saat PPKM darurat, beliau jalan2 keluar daerah sebelum PPKM darurat utk kerjasama pangan.
 mohon koreksi jika sy keliru 🙏 salam sehat n salam santun</t>
  </si>
  <si>
    <t>lha kenapa jd gini ya?ini yg saya tau: Pak Anies di Jakarta saat PPKM darurat, beliau jalan2 keluar daerah sebelum PPKM darurat utk kerjasama pangan.mohon koreksi jika sy keliru salam sehat n salam santun</t>
  </si>
  <si>
    <t>ppkm [pagi pagi kangen mbaknya] https://t.co/1PLL9do4ei</t>
  </si>
  <si>
    <t>ppkm [pagi pagi kangen mbaknya]</t>
  </si>
  <si>
    <t>@micellarwateer Kok bisa sih sampe sini pas PPKM gini, kemaren pagi mau lari disana aja disuruh balik</t>
  </si>
  <si>
    <t>Kok bisa sih sampe sini pas PPKM gini, kemaren pagi mau lari disana aja disuruh balik</t>
  </si>
  <si>
    <t>#Anaking masih selow minggu ini, si teteh MPLS via yutub, si Ujang karena ppkm jadi jadwalnya belom ada. Karena buku baru bisa diambil setelah tanggal 20.</t>
  </si>
  <si>
    <t>masih selow minggu ini, si teteh MPLS via yutub, si Ujang karena ppkm jadi jadwalnya belom ada. Karena buku baru bisa diambil setelah tanggal .</t>
  </si>
  <si>
    <t>Seperti kepanjangan dari PPKM (Pak Pres Kapan Mundur) ??? https://t.co/xGxq9V6rlo</t>
  </si>
  <si>
    <t>Seperti kepanjangan dari PPKM (Pak Pres Kapan Mundur) ???</t>
  </si>
  <si>
    <t>@KozumekiNs kan lagi ppkm, ahaha!</t>
  </si>
  <si>
    <t>kan lagi ppkm, ahaha!</t>
  </si>
  <si>
    <t>@antaranews Waktu PSBB ..masih ada duitnya..saat PPKM (darurat)..duitnya sdh habis sebagian besar ditilep oleh orang2 yg tdk beradab..eh..masih mau lanjut</t>
  </si>
  <si>
    <t>Waktu PSBB ..masih ada duitnya..saat PPKM (darurat)..duitnya sdh habis sebagian besar ditilep oleh orang2 yg tdk beradab..eh..masih mau lanjut</t>
  </si>
  <si>
    <t>lagi ppkm gini kantorku apa ga berniat wfh?? 🥲🥲</t>
  </si>
  <si>
    <t>lagi ppkm gini kantorku apa ga berniat wfh??</t>
  </si>
  <si>
    <t>Ini poliklinik ikutan tutup slm PPKM bgt nih 😭</t>
  </si>
  <si>
    <t>Ini poliklinik ikutan tutup slm PPKM bgt nih</t>
  </si>
  <si>
    <t>@fajarrusalem bis ppkm ye, tp jemput dari depan gang masjid nya, lupa kedalem nya hahaha</t>
  </si>
  <si>
    <t>bis ppkm ye, tp jemput dari depan gang masjid nya, lupa kedalem nya hahaha</t>
  </si>
  <si>
    <t>@dikychandra_ PPKM itu Pengambilan Paksa Kesejahteraan Masyarakat ya</t>
  </si>
  <si>
    <t>PPKM itu Pengambilan Paksa Kesejahteraan Masyarakat ya</t>
  </si>
  <si>
    <t>bukti dari awal pandemi hingga kini,yg namanya PSBB/prokes/PPKM di medan maimun = HOAX @jokowi @kompasiana @tempodotco @kemendagri @medantalk @Prambors @RRI @RadioElshinta @indiainmedan @voaindonesia @BBCIndonesia @CNNIndonesia @PDI_Perjuangan @Jovian696 https://t.co/Yn25DVwqtq</t>
  </si>
  <si>
    <t>bukti dari awal pandemi hingga kini,yg namanya PSBB/prokes/PPKM di medan maimun = HOAX</t>
  </si>
  <si>
    <t>@PutraWadapi @jvdas_iskariot Makin suram..kebijakan penanganan C19 semisal PPKM ini cuma bikin bentrok aparat dan rakyat doank</t>
  </si>
  <si>
    <t>Makin suram..kebijakan penanganan C19 semisal PPKM ini cuma bikin bentrok aparat dan rakyat doank</t>
  </si>
  <si>
    <t>Loh? Ini udah PPKM DAY10 !!! Ternyata aku kuat 😌</t>
  </si>
  <si>
    <t>Loh? Ini udah PPKM DAY10 !!! Ternyata aku kuat</t>
  </si>
  <si>
    <t>@foxbfort PpKM bli🙂🍃</t>
  </si>
  <si>
    <t>PpKM bli</t>
  </si>
  <si>
    <t>@esideef13 Efek ppkm kah?🥲</t>
  </si>
  <si>
    <t>Efek ppkm kah?</t>
  </si>
  <si>
    <t>Teriak PPKM tutup sana tutup sini..
 Tapi nggak kasi solusi buat rakyat yg kelaparan..
 Buat kebijakan tpi hnya menguntungkan orng kaya yg punya peghasilan tetap...
 Orang miskin ?
 Nggak kerja keluarga kelaparan..
 Pas kerja dibubarin..
 Serba salah jadi orang miskin.. https://t.co/7jz8CHU5Ma</t>
  </si>
  <si>
    <t>Teriak PPKM tutup sana tutup sini..Tapi nggak kasi solusi buat rakyat yg kelaparan..Buat kebijakan tpi hnya menguntungkan orng kaya yg punya peghasilan tetap...Orang miskin ?Nggak kerja keluarga kelaparan..Pas kerja dibubarin..Serba salah jadi orang miskin..</t>
  </si>
  <si>
    <t>bar PPKM pingin muncak</t>
  </si>
  <si>
    <t>@baseumum Bagus...
 Bukannya pas ppkm undangan boleh cm 30org ya? Lg pandemi gini, soalnya pasti mikir2 kl ad undangan.....</t>
  </si>
  <si>
    <t>Bagus...Bukannya pas ppkm undangan boleh cm org ya? Lg pandemi gini, soalnya pasti mikir2 kl ad undangan.....</t>
  </si>
  <si>
    <t>Tak ada yg keberatan PPKM dilaksanakan bahkan kalau pilihan lockdown pun diambil, dengan catatan kebutuhan masyarakat dan ternak dipenuhi sesuai dengan UU Karantina.
 Persoalan negara tidak sanggup untuk membiayai, aku pikir banyak opsi yg bisa diambil pemerintah, seperti..</t>
  </si>
  <si>
    <t>Tak ada yg keberatan PPKM dilaksanakan bahkan kalau pilihan lockdown pun diambil, dengan catatan kebutuhan masyarakat dan ternak dipenuhi sesuai dengan UU Karantina.Persoalan negara tidak sanggup untuk membiayai, aku pikir banyak opsi yg bisa diambil pemerintah, seperti..</t>
  </si>
  <si>
    <t>@tiaaapphari @ByPawang @detikcom Mas, sudah tau nasib masyarakat kecil pas PPKM gini?</t>
  </si>
  <si>
    <t>Mas, sudah tau nasib masyarakat kecil pas PPKM gini?</t>
  </si>
  <si>
    <t>@jokowi Setelah tanggal 20 ada episode apa lg... Apakah metode PPKM lebih efektif dan berhasil Pak??</t>
  </si>
  <si>
    <t>Setelah tanggal ada episode apa lg... Apakah metode PPKM lebih efektif dan berhasil Pak??</t>
  </si>
  <si>
    <t>@geloraco PPKM adalah bentuk aturan yg mana rakyatnya hrs taat. Tp disisi lai penguasa rezim lepas tangan tanpa ada biaya/ bantuan.</t>
  </si>
  <si>
    <t>PPKM adalah bentuk aturan yg mana rakyatnya hrs taat. Tp disisi lai penguasa rezim lepas tangan tanpa ada biaya/ bantuan.</t>
  </si>
  <si>
    <t>PPKM
 “Pernah Perhatian Kemudian Menghilang”</t>
  </si>
  <si>
    <t>PPKMPernah Perhatian Kemudian Menghilang</t>
  </si>
  <si>
    <t>Aku sebagai yang punya orang tua pedagang ngerasain bgt dampak dari ppkm gini, kalau gak jualan gak bisa makan :" semoga pandemi kek gini cepet berlalu ya Allah:"( https://t.co/Y59lDGHZuS</t>
  </si>
  <si>
    <t>Aku sebagai yang punya orang tua pedagang ngerasain bgt dampak dari ppkm gini, kalau gak jualan gak bisa makan :" semoga pandemi kek gini cepet berlalu ya Allah:"(</t>
  </si>
  <si>
    <t>PPKM Yuk = Pagi Pagi Kontol Muncrat,
 Bantu Pulsa Gratis VCS YUK https://t.co/waZnGDgbAA</t>
  </si>
  <si>
    <t>PPKM Yuk = Pagi Pagi Kontol Muncrat,Bantu Pulsa Gratis VCS YUK</t>
  </si>
  <si>
    <t>Ada yg ga jadi pulang, kena PPKM 😂</t>
  </si>
  <si>
    <t>Ada yg ga jadi pulang, kena PPKM</t>
  </si>
  <si>
    <t>PPKM Pernah Peduli Kemudian Mati rasa</t>
  </si>
  <si>
    <t>@KompasTV Sy pekerja harian lepas, akibat ppkm sdh hampir 2 minggu tdk bekerja...bgm nti sy bisa memenuhi kebutuhan sebulan rmh tga sy...?? Blm lg biaya kebutuhan dan uang sekolah anak...???</t>
  </si>
  <si>
    <t>Sy pekerja harian lepas, akibat ppkm sdh hampir minggu tdk bekerja...bgm nti sy bisa memenuhi kebutuhan sebulan rmh tga sy...?? Blm lg biaya kebutuhan dan uang sekolah anak...???</t>
  </si>
  <si>
    <t>Gw tahu persis bgm busuknya RS dan Nakes. Karena gw terjun sendiri keliling RS bdg - Jkt masa ppkm 
 Mulai dari katanya ICU penuh dgn pasien covid padahal bangsal dan ruang isolasi kosong hanya terisi 1, pemaksaan antigen sbl dikasih infus, merujuk semua pasien ke RS besar</t>
  </si>
  <si>
    <t>Gw tahu persis bgm busuknya RS dan Nakes. Karena gw terjun sendiri keliling RS bdg - Jkt masa ppkm Mulai dari katanya ICU penuh dgn pasien covid padahal bangsal dan ruang isolasi kosong hanya terisi , pemaksaan antigen sbl dikasih infus, merujuk semua pasien ke RS besar</t>
  </si>
  <si>
    <t>Rete udah sangat murah, udah dibawah sejuta dan dan hampir 40% lala prmonya tpi ttp aja kosong, selama pandemi dan psbb diterapkan kemudian skrng ppkm astga bisa mati pelan pelan klu kek gini terus bukan krn krn corona matinya tpi krn pemasukan ngga ada makan pun susah 😭😭😭</t>
  </si>
  <si>
    <t>Rete udah sangat murah, udah dibawah sejuta dan dan hampir % lala prmonya tpi ttp aja kosong, selama pandemi dan psbb diterapkan kemudian skrng ppkm astga bisa mati pelan pelan klu kek gini terus bukan krn krn corona matinya tpi krn pemasukan ngga ada makan pun susah</t>
  </si>
  <si>
    <t>Gausah jauh2 ke lockdown deh, aturan ppkm tapi ga diurusin bantuan jauh2 hari aja udah aneh 🥰🥰🥰
 Dah setaun lebih ga ada progress xixixi https://t.co/PXojWc5FO0</t>
  </si>
  <si>
    <t>Gausah jauh2 ke lockdown deh, aturan ppkm tapi ga diurusin bantuan jauh2 hari aja udah aneh Dah setaun lebih ga ada progress xixixi</t>
  </si>
  <si>
    <t>@bcdsii ppkm tidak boleh kemana mana</t>
  </si>
  <si>
    <t>ppkm tidak boleh kemana mana</t>
  </si>
  <si>
    <t>pdhl aku dr dlu gada statement larang org kerja pas ppkm, justru i pray fo them semoga sll dilindungi Tuhan dan rejekinya lancar. Tapi menaati prokes (double masks, distance, cuci tangan) itu kan udh kewajiban, knp hrs marah coba aneh bgt ew</t>
  </si>
  <si>
    <t>@tatakujiyati @nety_rusi Setelah lebaran Pak Anies ke bbrp sentra pertanian daerah, panen padi utk memenuhi kebutuhan beras warga DKI.
 Saat itu belum belum ada penetapan PPKM.
 Ada yang kemana2 dan dari mana2 hanya beberapa hari setelah ditetapkan PPKM, sebuah munas yang akhirnya memunculkan cluster baru.</t>
  </si>
  <si>
    <t>Setelah lebaran Pak Anies ke bbrp sentra pertanian daerah, panen padi utk memenuhi kebutuhan beras warga DKI.Saat itu belum belum ada penetapan PPKM.Ada yang kemana2 dan dari mana2 hanya beberapa hari setelah ditetapkan PPKM, sebuah munas yang akhirnya memunculkan cluster baru.</t>
  </si>
  <si>
    <t>PPKM Rasa Darurat Militer https://t.co/lelQDDynld https://t.co/NjRFfR4PK9</t>
  </si>
  <si>
    <t>PPKM Rasa Darurat Militer</t>
  </si>
  <si>
    <t>Hari ini mulai yang namanya ppkm darurat buat bkt yauda terserah</t>
  </si>
  <si>
    <t>PPKM diperpanjang sampe agustus. yg nyalahin org ngeyel mudik datanya kolot bngt, woi, tuh liat cina india pada masuk ke Indo. bertumpu ke satu berita doang tck</t>
  </si>
  <si>
    <t>@FWBESS Ppkm sayang</t>
  </si>
  <si>
    <t>Ppkm sayang</t>
  </si>
  <si>
    <t>@bertanyarl gpp bu mana baiknya aja tp kalo bisa yg kekurangan finansial di kasih sembako or semacam nya gitu. mau ppkm selamanya jg kalo rakyat terjamin g akan ada yg protes.</t>
  </si>
  <si>
    <t>gpp bu mana baiknya aja tp kalo bisa yg kekurangan finansial di kasih sembako or semacam nya gitu. mau ppkm selamanya jg kalo rakyat terjamin g akan ada yg protes.</t>
  </si>
  <si>
    <t>@simplehonggu Aku ga ngerti si ngaruh ppkm apa bukan, tp 3hari yg lalu adek ku pesen barang juga di Shopee , nah pake sicepat dan udah smpe duluan sedih banget 😭 
 Aku dom kalimantan btw peu,</t>
  </si>
  <si>
    <t>Aku ga ngerti si ngaruh ppkm apa bukan, tp hari yg lalu adek ku pesen barang juga di Shopee , nah pake sicepat dan udah smpe duluan sedih banget Aku dom kalimantan btw peu,</t>
  </si>
  <si>
    <t>Sch! Ntar kalo PPKM diperpanjang sampe pertengahan agustus gimana nasib anak KSN-P? Apa bakal diundur?😭🙂
 ✄・・・
 🧐 Trivia: Hujan Orografis merupakan hujan yang terjadi di daerah pegunungan.</t>
  </si>
  <si>
    <t>Sch! Ntar kalo PPKM diperpanjang sampe pertengahan agustus gimana nasib anak KSN-P? Apa bakal diundur? Trivia: Hujan Orografis merupakan hujan yang terjadi di daerah pegunungan.</t>
  </si>
  <si>
    <t>kalo ppkm beneran diperpanjang sampe 6 minggu gatau lagi dah :(</t>
  </si>
  <si>
    <t>kalo ppkm beneran diperpanjang sampe minggu gatau lagi dah</t>
  </si>
  <si>
    <t>@cihunnnnnnnnnn ohiya ppkm.. untung aja rumahku deket sama masjid jdi tiap sholat ketemu deh hehehehe</t>
  </si>
  <si>
    <t>ohiya ppkm.. untung aja rumahku deket sama masjid jdi tiap sholat ketemu deh hehehehe</t>
  </si>
  <si>
    <t>@evvevvv Wkwk gatau aku klu disini. Cek di ig coba. Tp kalau disini kayanya krna ga trlalu ketat jdnya ppkm nya ga maksimal jg semua tmpat ttup, paling btasan wktu.</t>
  </si>
  <si>
    <t>Wkwk gatau aku klu disini. Cek di ig coba. Tp kalau disini kayanya krna ga trlalu ketat jdnya ppkm nya ga maksimal jg semua tmpat ttup, paling btasan wktu.</t>
  </si>
  <si>
    <t>Selamat pagi PPKM minggu ke-3 https://t.co/DrNr5ZkFkF</t>
  </si>
  <si>
    <t>Selamat pagi PPKM minggu ke-3</t>
  </si>
  <si>
    <t>Persiapan menyambut rencana PPKM 6 minggu.... #BayarKompensasiKarantina https://t.co/zGLnc67v3E</t>
  </si>
  <si>
    <t>Persiapan menyambut rencana PPKM minggu....</t>
  </si>
  <si>
    <t>@Dennysiregar7 @jokowi Sejak ppkm mikro aja order dah sepi tambah darurot mau perpanjang? Matemahita</t>
  </si>
  <si>
    <t>Sejak ppkm mikro aja order dah sepi tambah darurot mau perpanjang? Matemahita</t>
  </si>
  <si>
    <t>"saya tau kenapa bapak bisa setega itu pada kami rakyat kecil yg mencari makan dengan berdagang, karena bapak mendapat gaji bulanan, sedang kami bahkan untuk makan besok aja masih harus banting tulang,siapa yg akan kasih makan anak istri kami?"
 PPKM darurat</t>
  </si>
  <si>
    <t>"saya tau kenapa bapak bisa setega itu pada kami rakyat kecil yg mencari makan dengan berdagang, karena bapak mendapat gaji bulanan, sedang kami bahkan untuk makan besok aja masih harus banting tulang,siapa yg akan kasih makan anak istri kami?"PPKM darurat</t>
  </si>
  <si>
    <t>@mbooonnn PPKM: Pagi Pagi Ku Mengsedih</t>
  </si>
  <si>
    <t>PPKM: Pagi Pagi Ku Mengsedih</t>
  </si>
  <si>
    <t>Ppkm mikro hrusnya enggak bikin bnyak “korban” untuk rakyat indonesia bagi wilayah yg menerapkan ppkm. Tp kembali lagi, anggaran yang ada siap gak untuk rakyat? Berkaca lagi, negara tetangga defisit krna anggran negara dipakai untuk rakyat jd gak sengsra amad.</t>
  </si>
  <si>
    <t>Ppkm mikro hrusnya enggak bikin bnyak korban untuk rakyat indonesia bagi wilayah yg menerapkan ppkm. Tp kembali lagi, anggaran yang ada siap gak untuk rakyat? Berkaca lagi, negara tetangga defisit krna anggran negara dipakai untuk rakyat jd gak sengsra amad.</t>
  </si>
  <si>
    <t>Ppkm = pelan pelan kena mental</t>
  </si>
  <si>
    <t>ppkm bukannya ngajak ngirit tapi malah ngajak boros -_-</t>
  </si>
  <si>
    <t>@boynakedmlg Selama PPKM, tetap buka ya?</t>
  </si>
  <si>
    <t>Selama PPKM, tetap buka ya?</t>
  </si>
  <si>
    <t>@txtdrcringe Ya ga sehat tuh PPKM eh mlh korupsi. Apalagi korupsi dana bansos</t>
  </si>
  <si>
    <t>Ya ga sehat tuh PPKM eh mlh korupsi. Apalagi korupsi dana bansos</t>
  </si>
  <si>
    <t>@AndroidDev77 @SAPAR752 @RachlanNashidik kritik boleh taat ttp wajib... apa km sdh taat prokes, VAKSIN dan aturan PPKM?</t>
  </si>
  <si>
    <t>kritik boleh taat ttp wajib... apa km sdh taat prokes, VAKSIN dan aturan PPKM?</t>
  </si>
  <si>
    <t>Semoga ppkm ini segera berakhirrrr huhu</t>
  </si>
  <si>
    <t>Kemaren pt kena sidak ppkm, skrg peraturannya makin ketat. Jadi riweuuhhh yaAllah 😭</t>
  </si>
  <si>
    <t>Kemaren pt kena sidak ppkm, skrg peraturannya makin ketat. Jadi riweuuhhh yaAllah</t>
  </si>
  <si>
    <t>PPKM di perpanjang SD 6 minggu ke depan ( 3 sd 20 juli lanjut 21 juli sd 30 agustus 2021 ) waow , Trus Rakyat carik makannya gimana ? Semua jalan kalian Tutup semua? Emang cicilan Kendaraan rumah sekolah dll @KemenkeuRI kau yg bayar? Mikir , focus aja tangani yg sakit dan vaksin https://t.co/unMrT4wWfZ</t>
  </si>
  <si>
    <t>PPKM di perpanjang SD minggu ke depan ( sd juli lanjut juli sd agustus ) waow , Trus Rakyat carik makannya gimana ? Semua jalan kalian Tutup semua? Emang cicilan Kendaraan rumah sekolah dll kau yg bayar? Mikir , focus aja tangani yg sakit dan vaksin</t>
  </si>
  <si>
    <t>@bertanyarl w yang 20 hari ga keluar bahkan gaboleh beli makanan diluar.. ga sempet belanja… tbtb ppkm lagi hadeh🥲</t>
  </si>
  <si>
    <t>w yang hari ga keluar bahkan gaboleh beli makanan diluar.. ga sempet belanja tbtb ppkm lagi hadeh</t>
  </si>
  <si>
    <t>@kmngindah @detikcom S7. Swami jd g kerja slma ppkm. G kerja g dpt uang. Makan mah kan tiap hari. Puyeng dah</t>
  </si>
  <si>
    <t>S7. Swami jd g kerja slma ppkm. G kerja g dpt uang. Makan mah kan tiap hari. Puyeng dah</t>
  </si>
  <si>
    <t>Jujur kasian kalo ppkm gini, warung makan yg gabisa dine in. Harus take away. Iya kalo ada? Kalo ga ada?</t>
  </si>
  <si>
    <t>@Dennysiregar7 @jokowi Pak jokowi yg terhormat menurut saya pribadi sebagai rakyat kecil jika Bpk memperpanjang PPKM darurat rakyat akan semakin terpuruk..Bpk kucurkan dana ke pemerintah daerah atau bansos itupun bukan solusi yg tepat...</t>
  </si>
  <si>
    <t>Pak jokowi yg terhormat menurut saya pribadi sebagai rakyat kecil jika Bpk memperpanjang PPKM darurat rakyat akan semakin terpuruk..Bpk kucurkan dana ke pemerintah daerah atau bansos itupun bukan solusi yg tepat...</t>
  </si>
  <si>
    <t>@Annibilazqap Emaaangg... Rame bgt sial
 Apasih yg diribetin perkara jam malem, cafee yg dine in, org gapake masker itupun ga bijak sangat2 ga bijak dan ga berperikemanusiaan. Yg miskin makin melarat soalnya ppkm berlaku cuma buat org yg pengahasilannya dijamin baru deh aman</t>
  </si>
  <si>
    <t>Emaaangg... Rame bgt sialApasih yg diribetin perkara jam malem, cafee yg dine in, org gapake masker itupun ga bijak sangat2 ga bijak dan ga berperikemanusiaan. Yg miskin makin melarat soalnya ppkm berlaku cuma buat org yg pengahasilannya dijamin baru deh aman</t>
  </si>
  <si>
    <t>-11fess nasi uduk saffira gerbel selama ppkm ga buka ya?</t>
  </si>
  <si>
    <t>fess nasi uduk saffira gerbel selama ppkm ga buka ya?</t>
  </si>
  <si>
    <t>Ppkm, pelan pelan kita miskin wkwkk</t>
  </si>
  <si>
    <t>@arwahtapir @xxibi @subschfess enak beli di toko offline aslii tapi lagi ppkm</t>
  </si>
  <si>
    <t>enak beli di toko offline aslii tapi lagi ppkm</t>
  </si>
  <si>
    <t>" PPKM "
 Hanya menutup akses jalan darat, laut dan udara, percayalah.. Allah akan tetap buka akses rezeki kita dari segala arah. Aamiin.</t>
  </si>
  <si>
    <t>" PPKM "Hanya menutup akses jalan darat, laut dan udara, percayalah.. Allah akan tetap buka akses rezeki kita dari segala arah. Aamiin.</t>
  </si>
  <si>
    <t>“PPKM darurat selama 4-6 minggu dijalankan untuk menahan penyebaran kasus Covid-19. Mobilitas masyarakat diharapkan menurun signifikan,” kata Sri Mulyani . 
 Macam dia punya kapasitas aja.
 Silahkan nilai sendiri apa katanya. https://t.co/TAEy30IFyB https://t.co/EwEW2gVphr</t>
  </si>
  <si>
    <t>PPKM darurat selama $NUMBER$ minggu dijalankan untuk menahan penyebaran kasus Covid-19. Mobilitas masyarakat diharapkan menurun signifikan, kata Sri Mulyani . Macam dia punya kapasitas aja.Silahkan nilai sendiri apa katanya.</t>
  </si>
  <si>
    <t>@O4HARULIGHT les nya online sampe ppkm nya selesaii, klo ppkm nya udh baru offline</t>
  </si>
  <si>
    <t>les nya online sampe ppkm nya selesaii, klo ppkm nya udh baru offline</t>
  </si>
  <si>
    <t>@KompasTV Psbb, ppkm apalagi lockdown ga akan cocok diterapkan di Indonesia... melihat karakteristik masyarakatnya dan wilayah nya yg luas..</t>
  </si>
  <si>
    <t>Psbb, ppkm apalagi lockdown ga akan cocok diterapkan di Indonesia... melihat karakteristik masyarakatnya dan wilayah nya yg luas..</t>
  </si>
  <si>
    <t>@bertanyarl gak papa si kalo emng kasus masi banyak masa ppkm diberhentiin</t>
  </si>
  <si>
    <t>gak papa si kalo emng kasus masi banyak masa ppkm diberhentiin</t>
  </si>
  <si>
    <t>PERPANJANGAN PPKM 6 MINGGU BERARTI PERPANJANGAN MEMASUKAN TENTARA CINA/TKA UTK MENDUKUNG REZIM.. https://t.co/lrjX7pxuOQ</t>
  </si>
  <si>
    <t>PERPANJANGAN PPKM MINGGU BERARTI PERPANJANGAN MEMASUKAN TENTARA CINA/TKA UTK MENDUKUNG REZIM..</t>
  </si>
  <si>
    <t>semenjak ppkm darurat chat wa temanku random sekali :(</t>
  </si>
  <si>
    <t>semenjak ppkm darurat chat wa temanku random sekali</t>
  </si>
  <si>
    <t>@detikcom Gak masalah ppkm berapa lama asalkan ada kebijakan juga yg menyatakan segala kebutuhan rakyat ditanggung, pajak dan cicilan diberhentikan. Setahun juga gw jabanin ni ppkm. Demi Indonesia sehat kembali (tapi rakyatnya dihidupi biar gak mati kelaparan)🙂</t>
  </si>
  <si>
    <t>Gak masalah ppkm berapa lama asalkan ada kebijakan juga yg menyatakan segala kebutuhan rakyat ditanggung, pajak dan cicilan diberhentikan. Setahun juga gw jabanin ni ppkm. Demi Indonesia sehat kembali (tapi rakyatnya dihidupi biar gak mati kelaparan)</t>
  </si>
  <si>
    <t>day #2 ppkm, ntah bakalan dimaki2 lagi sama pengguna jalan lagi ap nggak</t>
  </si>
  <si>
    <t>day ppkm, ntah bakalan dimaki2 lagi sama pengguna jalan lagi ap nggak</t>
  </si>
  <si>
    <t>ppkm stay diruma gakeluar2 malah boros 🥲</t>
  </si>
  <si>
    <t>ppkm stay diruma gakeluar2 malah boros</t>
  </si>
  <si>
    <t>@AREAJULID kalo ada hari besar lagi, pasti ada ppkm lagi ngab.
 tapi kalo ada pemilu bebas ngab😂</t>
  </si>
  <si>
    <t>kalo ada hari besar lagi, pasti ada ppkm lagi ngab.tapi kalo ada pemilu bebas ngab</t>
  </si>
  <si>
    <t>@MpussCatsie @C0PetJ4tinegar4 Sampai 17 Agts kata SMI. Makin remuk. Brp banyak yg akan PHK? Apa yg gulung tikar nanti bisa bangkit setelah PPKM? Yg usahanya pake duit utang pakabar? Banyak pengusaha yg utang lo. Duit makin seret. Tinggal tunggu waktu rakyat akan melawan</t>
  </si>
  <si>
    <t>Sampai Agts kata SMI. Makin remuk. Brp banyak yg akan PHK? Apa yg gulung tikar nanti bisa bangkit setelah PPKM? Yg usahanya pake duit utang pakabar? Banyak pengusaha yg utang lo. Duit makin seret. Tinggal tunggu waktu rakyat akan melawan</t>
  </si>
  <si>
    <t>@Syskillska PPKM.. plonga plongo koyo munyuk.. wkwwkwk</t>
  </si>
  <si>
    <t>PPKM.. plonga plongo koyo munyuk.. wkwwkwk</t>
  </si>
  <si>
    <t>Masi edisi kasian sama efek ppkm, kasian bgt sama tukang bangunan yg diusir karna ga pake masker…</t>
  </si>
  <si>
    <t>Masi edisi kasian sama efek ppkm, kasian bgt sama tukang bangunan yg diusir karna ga pake masker</t>
  </si>
  <si>
    <t>@Dennysiregar7 @jokowi PPKM hanya di jalan2 utama saja…dijalan2 kecil orang malas pake masker</t>
  </si>
  <si>
    <t>PPKM hanya di jalan2 utama sajadijalan2 kecil orang malas pake masker</t>
  </si>
  <si>
    <t>@AREAJULID PPKM ini lebih ketat dari PSBB kemarin, parah.
 Tapi mo gimana lagi kasus lg ningkat begini, tapi satu sisi kasihan juga yg jualan di jalan</t>
  </si>
  <si>
    <t>PPKM ini lebih ketat dari PSBB kemarin, parah.Tapi mo gimana lagi kasus lg ningkat begini, tapi satu sisi kasihan juga yg jualan di jalan</t>
  </si>
  <si>
    <t>@BagasYuniawan Ppkm mas,pulang pagi kerja malem.</t>
  </si>
  <si>
    <t>Ppkm mas,pulang pagi kerja malem.</t>
  </si>
  <si>
    <t>@FriendlyFrost Jgn sampe deh😾😾😾 ni beberapa hari ppkm aja mama aku mau brkt dan pulang kerja telaat terus karna jalanan macettt diblock sana sani banyak trukk yg gabisa jalan</t>
  </si>
  <si>
    <t>Jgn sampe deh ni beberapa hari ppkm aja mama aku mau brkt dan pulang kerja telaat terus karna jalanan macettt diblock sana sani banyak trukk yg gabisa jalan</t>
  </si>
  <si>
    <t>@geloraco @diva_acm Jeng Bond sudah merambah jadi penentu kebijakan PPKM, makin tumpang tindih, sebenarnya yg berhak menentukan Perpanjangan PPKM siapa, presidenkah? Lord kah? Menjeskah? Apa jeng bond? Makin gak paham, bicaralah sesuai dengan tupoksinya, jangan overlapp, rakyat bingung</t>
  </si>
  <si>
    <t>Jeng Bond sudah merambah jadi penentu kebijakan PPKM, makin tumpang tindih, sebenarnya yg berhak menentukan Perpanjangan PPKM siapa, presidenkah? Lord kah? Menjeskah? Apa jeng bond? Makin gak paham, bicaralah sesuai dengan tupoksinya, jangan overlapp, rakyat bingung</t>
  </si>
  <si>
    <t>@csa_2357 Virus jelas dalang utamanya, tapi PPKM juga menyiksa. Udah tau dari jaman PSBB ga ngasi solusi sama sekali, ini malah PPKM...</t>
  </si>
  <si>
    <t>Virus jelas dalang utamanya, tapi PPKM juga menyiksa. Udah tau dari jaman PSBB ga ngasi solusi sama sekali, ini malah PPKM...</t>
  </si>
  <si>
    <t>@detikcom Efek takut lockdown sejak awal dan takut kasih makan rakyat sendiri. Malah sekarang keluar uang lebih banyak..
 Dan siapa yg ambil untung?. Psbb dan ppkm.. akhirnya berlarut2.. ditambah imun menurun krn asupan gizi, bantuan minim tp harus makan</t>
  </si>
  <si>
    <t>Efek takut lockdown sejak awal dan takut kasih makan rakyat sendiri. Malah sekarang keluar uang lebih banyak..Dan siapa yg ambil untung?. Psbb dan ppkm.. akhirnya berlarut2.. ditambah imun menurun krn asupan gizi, bantuan minim tp harus makan</t>
  </si>
  <si>
    <t>@JebulMania291 intinya mah mau PPKM ga maslh asal pikirin jg itu kebutuhan org yg pd kena dampak</t>
  </si>
  <si>
    <t>intinya mah mau PPKM ga maslh asal pikirin jg itu kebutuhan org yg pd kena dampak</t>
  </si>
  <si>
    <t>@geludanjing PPKM: Pagi Pagi Kok Muring</t>
  </si>
  <si>
    <t>PPKM: Pagi Pagi Kok Muring</t>
  </si>
  <si>
    <t>https://t.co/0VgM7x0pwa
 tidak heran apabila PPKM Darurat pada kenyataannya di lapangan tidak ada perubahan sama seperti kebijakan sebelumnya</t>
  </si>
  <si>
    <t>heran apabila PPKM Darurat pada kenyataannya di lapangan tidak ada perubahan sama seperti kebijakan sebelumnya</t>
  </si>
  <si>
    <t>@Dagdigduq PPKM : PELAN PELAN KITA MATI</t>
  </si>
  <si>
    <t>PPKM : PELAN PELAN KITA MATI</t>
  </si>
  <si>
    <t>Jika hingga sa'at ini kamu masih jomblo, mungkin jodohmu terkena penyekatan PPKM waktu menuju ke hatimu.</t>
  </si>
  <si>
    <t>@liputan6dotcom Ekonomi keluarga makin PPKM juga (pelan-pelan kita mati)....</t>
  </si>
  <si>
    <t>Ekonomi keluarga makin PPKM juga (pelan-pelan kita mati)....</t>
  </si>
  <si>
    <t>@Annajmussaaqib Sabar aja sambil nunggu PPKM selesai.
 Ga dong 😏😏😏
 Aku ga mau akunku tiba2 error lagi.
 Ampun Gusti 🤣🤣🤣🤣🤣</t>
  </si>
  <si>
    <t>Sabar aja sambil nunggu PPKM selesai.Ga dong Aku ga mau akunku tiba2 error lagi.Ampun Gusti</t>
  </si>
  <si>
    <t>Ada wacana PPKM bakal sampe enam minggu...
 Kalo yang nyuruh PPKM tu gak bisa kasi makan orang-orang kecil selama enam minggu, suru kasimati aja yang nyuruh itu... 
 Sudah gila kah?</t>
  </si>
  <si>
    <t>Ada wacana PPKM bakal sampe enam minggu...Kalo yang nyuruh PPKM tu gak bisa kasi makan orang-orang kecil selama enam minggu, suru kasimati aja yang nyuruh itu... Sudah gila kah?</t>
  </si>
  <si>
    <t>@NRamadh4n @hadisulisdado Wahh ppkm berakibat fatal juga thdp jomblo2 😄</t>
  </si>
  <si>
    <t>Wahh ppkm berakibat fatal juga thdp jomblo2</t>
  </si>
  <si>
    <t>@panca66 PPKM aja diserahkan ke orang lain, karna gk pede atau sadar gk mampu ?? 🤔</t>
  </si>
  <si>
    <t>PPKM aja diserahkan ke orang lain, karna gk pede atau sadar gk mampu ??</t>
  </si>
  <si>
    <t>@PT_Transjakarta Mau tanya dong trans royal selama ppkm gak lewat blok m cibubur ya? Krn pas hari senin (3hari ppkm/5juli) diturunin dipancoran🤦🏻‍♀️</t>
  </si>
  <si>
    <t>Mau tanya dong trans royal selama ppkm gak lewat blok m cibubur ya? Krn pas hari senin (3hari ppkm/5juli) diturunin dipancoran</t>
  </si>
  <si>
    <t>@titisuharti @IinYanuarti @alisyarief sandiwara bani ebong, kasus d ciduknya louis jg utk pengalihan isu TKA yg masuk selama PPKM.</t>
  </si>
  <si>
    <t>sandiwara bani ebong, kasus d ciduknya louis jg utk pengalihan isu TKA yg masuk selama PPKM.</t>
  </si>
  <si>
    <t>@afrkml Justru saya kasihan sama masyarakat kecil yg berjuang hidupnya dijalanan. Aturan pemertintah menyatakan PPKM darurat jawa-bali, bagusnya memperkecil adanya penularan, tapi tanpa melihat susahnya hidup utk masy. kecil.</t>
  </si>
  <si>
    <t>Justru saya kasihan sama masyarakat kecil yg berjuang hidupnya dijalanan. Aturan pemertintah menyatakan PPKM darurat jawa-bali, bagusnya memperkecil adanya penularan, tapi tanpa melihat susahnya hidup utk masy. kecil.</t>
  </si>
  <si>
    <t>@TimpalBali PPKM, PELAN PELAN KITA MISKIN</t>
  </si>
  <si>
    <t>PPKM, PELAN PELAN KITA MISKIN</t>
  </si>
  <si>
    <t>Muak sama ppkm sumpah dah, ditambah ada desas desus isu diperpanjang jadi 6 minggu.
 Ini pemerintah mau nya apa? Cuan nya kenceng kah?</t>
  </si>
  <si>
    <t>Muak sama ppkm sumpah dah, ditambah ada desas desus isu diperpanjang jadi minggu.Ini pemerintah mau nya apa? Cuan nya kenceng kah?</t>
  </si>
  <si>
    <t>PPKM marai PELAN PELAN KU MENYERAH ✊🏼😔 https://t.co/thf286rLtj</t>
  </si>
  <si>
    <t>PPKM marai PELAN PELAN KU MENYERAH</t>
  </si>
  <si>
    <t>@berlianidris pantesan PPKM mo diperpanjang 6 minggu lagi</t>
  </si>
  <si>
    <t>pantesan PPKM mo diperpanjang minggu lagi</t>
  </si>
  <si>
    <t>@BellaAzziela Ppkm dek, nikah e online wae wkwkw</t>
  </si>
  <si>
    <t>Ppkm dek, nikah e online wae wkwkw</t>
  </si>
  <si>
    <t>Ppkm jgn diperpanjang plis:(</t>
  </si>
  <si>
    <t>Ppkm jgn diperpanjang plis</t>
  </si>
  <si>
    <t>Tetap Kuat Saat PPKM Darurat bersama kita lawan pandemi tetap tenang dan patuhi protokol kesehatan yang berlaki tetap jaga kesehatan jaga diri jaga keluarga dan jaga sesama https://t.co/GnHPTVPI5H</t>
  </si>
  <si>
    <t>Tetap Kuat Saat PPKM Darurat bersama kita lawan pandemi tetap tenang dan patuhi protokol kesehatan yang berlaki tetap jaga kesehatan jaga diri jaga keluarga dan jaga sesama</t>
  </si>
  <si>
    <t>Selamat pagi indonesia yang sedang ppkm</t>
  </si>
  <si>
    <t>@Dennysiregar7 @jokowi Makanya jng PPKM, Lockdown sekalian, Pasti Rakyat pada anteng di rumah.. soalnya kalau Lockdown Pemerintah wajib kasih makan semua Mahluk yg bernyawa, tapi kalau PPKM rakyat disuruh dirumah tapi cari mkn sendiri.. ya susah..</t>
  </si>
  <si>
    <t>Makanya jng PPKM, Lockdown sekalian, Pasti Rakyat pada anteng di rumah.. soalnya kalau Lockdown Pemerintah wajib kasih makan semua Mahluk yg bernyawa, tapi kalau PPKM rakyat disuruh dirumah tapi cari mkn sendiri.. ya susah..</t>
  </si>
  <si>
    <t>@na_dirs Ruwet gus ruwet.. PPKM TIDAK DARURAT,</t>
  </si>
  <si>
    <t>Ruwet gus ruwet.. PPKM TIDAK DARURAT,</t>
  </si>
  <si>
    <t>@dhianmaulidya1 Paketku yg beli di 7.7 udah sampe di tgl 9 kemarin. Masa ppkm tp samsek ga gerak</t>
  </si>
  <si>
    <t>Paketku yg beli di udah sampe di tgl kemarin. Masa ppkm tp samsek ga gerak</t>
  </si>
  <si>
    <t>@adistyaratu Udh paling bagus jobdesc satpol PP lomba lari ama bencong aja
 Udah PPKM gini, masih aja pungli nyari untung pribadi</t>
  </si>
  <si>
    <t>Udh paling bagus jobdesc satpol PP lomba lari ama bencong ajaUdah PPKM gini, masih aja pungli nyari untung pribadi</t>
  </si>
  <si>
    <t>@msaid_didu Pake istilah PSBB, PPKM kamuflase dari UU karantina kesehatan cuma ngeles lari dari tanggung jawab👻</t>
  </si>
  <si>
    <t>Pake istilah PSBB, PPKM kamuflase dari UU karantina kesehatan cuma ngeles lari dari tanggung jawab</t>
  </si>
  <si>
    <t>@singamontlok Gas lahh agendakan abis ppkm</t>
  </si>
  <si>
    <t>Gas lahh agendakan abis ppkm</t>
  </si>
  <si>
    <t>@Rubysscell Belum tau sih, katanya tunggu ppkm selesai</t>
  </si>
  <si>
    <t>Belum tau sih, katanya tunggu ppkm selesai</t>
  </si>
  <si>
    <t>@LiiaMonday Bukan😁 provider si kuning mbak, ppkm ni buat hadiah lama2 bangat datangnya.
 Akun ini gapake ikutan GA DOLLAR mbak?😁</t>
  </si>
  <si>
    <t>Bukan provider si kuning mbak, ppkm ni buat hadiah lama2 bangat datangnya.Akun ini gapake ikutan GA DOLLAR mbak?</t>
  </si>
  <si>
    <t>@jokowi Hati hati dengan penerapan PPKM darurat jilid ke dua......
 Tunggangan politik</t>
  </si>
  <si>
    <t>Hati hati dengan penerapan PPKM darurat jilid ke dua......Tunggangan politik</t>
  </si>
  <si>
    <t>@Karena_Anu Harussss biar PPKM berjaln aman wkkksss</t>
  </si>
  <si>
    <t>Harussss biar PPKM berjaln aman wkkksss</t>
  </si>
  <si>
    <t>Bocoran Sri Mulyani : Skenario PPKM darurat diperpanjang 4 s.d 6 Minggu
 Namun dipihak lain Jubir Luhut bilang tidak benar. Alias Hoax
 Yang benar yang mana ???
 🧐🧐🤔 https://t.co/rSpXgz2KpR</t>
  </si>
  <si>
    <t>Bocoran Sri Mulyani : Skenario PPKM darurat diperpanjang s.d MingguNamun dipihak lain Jubir Luhut bilang tidak benar. Alias HoaxYang benar yang mana ???</t>
  </si>
  <si>
    <t>Sri Mulyani Bilang PPKM Darurat Bakal Diperpanjang Hingga Enam Minggu Ke Depan
 Apakah mau nanggung biaya hidup rakyat?
 #RezimSampah_AntiPribumi 
 #RezimSampah_AntiPribumi 
 https://t.co/qKdX2PxraA</t>
  </si>
  <si>
    <t>Sri Mulyani Bilang PPKM Darurat Bakal Diperpanjang Hingga Enam Minggu Ke DepanApakah mau nanggung biaya hidup rakyat?</t>
  </si>
  <si>
    <t>Ternyata bukan cuma pemerintah yang menerapkan PPKM
 Kamu juga
 Pernah Perhatian Kemudian Menghilang🙂</t>
  </si>
  <si>
    <t>Ternyata bukan cuma pemerintah yang menerapkan PPKMKamu jugaPernah Perhatian Kemudian Menghilang</t>
  </si>
  <si>
    <t>ppkm day 10, huhu mengsedih rasanya kek ada yang ganjel gitu</t>
  </si>
  <si>
    <t>ppkm day , huhu mengsedih rasanya kek ada yang ganjel gitu</t>
  </si>
  <si>
    <t>Gokil ya tv indonesia, masih pagi udah dikasih berita2 kriminal, covid, ppkm gada gitu yg ngehibur atau berita baik gitu dari negara ini, apa emang udah ga ada ya? Apa ga ada duitnya? Entahlah. Dah disuruh dirumah, dirumah tetep ditakut2in wkwk</t>
  </si>
  <si>
    <t>Ha ha ha ha. Penyekatan jalan dalam kota aja udah aneh. Emang less akhlak yang bikin aturan PPKM ini. https://t.co/DvgBdLU55C</t>
  </si>
  <si>
    <t>Ha ha ha ha. Penyekatan jalan dalam kota aja udah aneh. Emang less akhlak yang bikin aturan PPKM ini.</t>
  </si>
  <si>
    <t>oyi ppkm gini dokter di kimia farma ijen apa buka praktek ya? lg butuh bgt soalnya</t>
  </si>
  <si>
    <t>@kumparan PPKM kok demo</t>
  </si>
  <si>
    <t>PPKM kok demo</t>
  </si>
  <si>
    <t>Udah mulai kerja mas? Kam masih PPKM https://t.co/lbhzNLxioY</t>
  </si>
  <si>
    <t>Udah mulai kerja mas? Kam masih PPKM</t>
  </si>
  <si>
    <t>PPKM diperpanjang?
 Yuk ngelumpuk, terus nangis bareng.</t>
  </si>
  <si>
    <t>PPKM diperpanjang?Yuk ngelumpuk, terus nangis bareng.</t>
  </si>
  <si>
    <t>g jdi ketemu dah kan, gmana lagi. ada ppkm. let's make many memories after ppkm :)</t>
  </si>
  <si>
    <t>g jdi ketemu dah kan, gmana lagi. ada ppkm. let's make many memories after ppkm</t>
  </si>
  <si>
    <t>@JebulMania291 @msaid_didu Yahh beginilah...pemerintah harus bertanggungjawab...memberi kebutuhan selama ppkm</t>
  </si>
  <si>
    <t>Yahh beginilah...pemerintah harus bertanggungjawab...memberi kebutuhan selama ppkm</t>
  </si>
  <si>
    <t>Ppkm nyusahin aja ihh</t>
  </si>
  <si>
    <t>@herman_depp Pemerintah harus perbaiki supply chain manajemen vaksin gratis agar seluruh warga bisa mengakses. Salahnya BUMN kl mengambil untung Dari vaksin Disaat pandemi Dan PPKM diatas derita rakyat .</t>
  </si>
  <si>
    <t>Pemerintah harus perbaiki supply chain manajemen vaksin gratis agar seluruh warga bisa mengakses. Salahnya BUMN kl mengambil untung Dari vaksin Disaat pandemi Dan PPKM diatas derita rakyat .</t>
  </si>
  <si>
    <t>@rripro2tpi Hai selamat pagi mimin dan penyiar. Terakhir kemarin sebelum ppkm soalnya rumah dekat pantai. Mau request lagu Terlukis Indah - Rizky Febian, Ziva Magnolya. Puterin yaa hehe, thankyou #Pro2Activity</t>
  </si>
  <si>
    <t>Hai selamat pagi mimin dan penyiar. Terakhir kemarin sebelum ppkm soalnya rumah dekat pantai. Mau request lagu Terlukis Indah - Rizky Febian, Ziva Magnolya. Puterin yaa hehe, thankyou</t>
  </si>
  <si>
    <t>@dr_koko28 warung di pinggir jalan dibubarkan, tidak ada kompensasi! 
 PPKM yang hanya membuat pedagang susah, lebih baik dihentikan.
 coba berpikir cari konsep PPKM yang benar.
 kalau rakyat dicukupi kebutuhannya selama sebulan, rakyat pasti patuh tidak keluar rumah sebulan!</t>
  </si>
  <si>
    <t>warung di pinggir jalan dibubarkan, tidak ada kompensasi! PPKM yang hanya membuat pedagang susah, lebih baik dihentikan.coba berpikir cari konsep PPKM yang benar.kalau rakyat dicukupi kebutuhannya selama sebulan, rakyat pasti patuh tidak keluar rumah sebulan!</t>
  </si>
  <si>
    <t>@prastow Alasan dungu sih ini. 
 Kalau mau percepat vaksin yah perbanyak lokasi vaksin donk. Bkn dgn berbayar. 
 Cba bayangkan karyawan perusahaan atau individu kaya yg mampu bayar itu menggunakan uang yg untk vaksin buat bntu rakyat yg miskin yg gak bsa kerja krn ppkm. Pstl lbh baik</t>
  </si>
  <si>
    <t>Alasan dungu sih ini. Kalau mau percepat vaksin yah perbanyak lokasi vaksin donk. Bkn dgn berbayar. Cba bayangkan karyawan perusahaan atau individu kaya yg mampu bayar itu menggunakan uang yg untk vaksin buat bntu rakyat yg miskin yg gak bsa kerja krn ppkm. Pstl lbh baik</t>
  </si>
  <si>
    <t>Alhamdulillah...
 🙏🏿🙏🏿🙏🏿🙏🏿🙏🏿
 Pantas sj @AnnisaPohan pun buru buru gembok akunnya
 Rupanya itu adl 1 wujud dr mendukung pemerintahan @jokowi 
 Salam sehat selalu utk @RachlanNashidik &amp;amp; kel
 Jg utk semua kader @PDemokrat termasuk pengelolanya
 Terimakasih atas kedisiplinan PPKM &amp;amp; prokes https://t.co/z2XhrIiZ6t</t>
  </si>
  <si>
    <t>Alhamdulillah...Pantas sj pun buru buru gembok akunnyaRupanya itu adl wujud dr mendukung pemerintahan Salam sehat selalu utk &amp;amp; kelJg utk semua kader termasuk pengelolanyaTerimakasih atas kedisiplinan PPKM &amp;amp; prokes</t>
  </si>
  <si>
    <t>@sukidi_boy @FKadrun ini akibat PPKM.</t>
  </si>
  <si>
    <t>ini akibat PPKM.</t>
  </si>
  <si>
    <t>@uciyame @bertanyarl Nnti aj sayank, klou dh selese ppkm, trusna kalo ak udh pasang wifi. Ak kabarin kok😘</t>
  </si>
  <si>
    <t>Nnti aj sayank, klou dh selese ppkm, trusna kalo ak udh pasang wifi. Ak kabarin kok</t>
  </si>
  <si>
    <t>Jangan lupa PPKM
 "Pagi Pagi Kena Matahari"
 #ppkm
 #keephealthy 
 #morning #morningmotivation 
 #sunrise #sunrisephotography @ Jakarta, Indonesia https://t.co/APyAzUUn7v</t>
  </si>
  <si>
    <t>Jangan lupa PPKM"Pagi Pagi Kena Matahari" Jakarta, Indonesia</t>
  </si>
  <si>
    <t>Stop nyebar hoax, patuhi prokes, segera vaksin untuk warga yg memang bisa di vaksin biar kita bisa melindungi orang2 yg berhalangan untuk vaksin. 
 Biar herd immunity segera terbentuk, kita bisa berdampingan dgn covid spt negara lain. Capek PPKM terus2an.</t>
  </si>
  <si>
    <t>Stop nyebar hoax, patuhi prokes, segera vaksin untuk warga yg memang bisa di vaksin biar kita bisa melindungi orang2 yg berhalangan untuk vaksin. Biar herd immunity segera terbentuk, kita bisa berdampingan dgn covid spt negara lain. Capek PPKM terus2an.</t>
  </si>
  <si>
    <t>@gojekindonesia min, ada driver yang pickup penjualan saya (via tokopedia), tapi ketika mengantarkan paketnya di tolak oleh komplek pembeli krn selama ppkm komplek tutup jam 8 malam. dia sudah mengembalikan barangnya kepada saya tapi aplikasinya blm bisa bekerja. bagaimana ya ?</t>
  </si>
  <si>
    <t>min, ada driver yang pickup penjualan saya (via tokopedia), tapi ketika mengantarkan paketnya di tolak oleh komplek pembeli krn selama ppkm komplek tutup jam malam. dia sudah mengembalikan barangnya kepada saya tapi aplikasinya blm bisa bekerja. bagaimana ya ?</t>
  </si>
  <si>
    <t>PPKM sama jalan ditutup itu korelasinya apa coba ?! Sektor konstruksi peraturannya tetap 100% WFO, tapi akses jalan ditutup 🤦🏻 aing terlambat mulu dah ini gegara muter jalan terus</t>
  </si>
  <si>
    <t>PPKM sama jalan ditutup itu korelasinya apa coba ?! Sektor konstruksi peraturannya tetap % WFO, tapi akses jalan ditutup aing terlambat mulu dah ini gegara muter jalan terus</t>
  </si>
  <si>
    <t>Pak @luhutbinsarp inikah bukti Bahwa Pandemik terkendali? Banyak Rakyat yang Kelaparan karena dilarang Keluar Rumah. 
 Jangan Dibebankan kepada Rakyat Akibat Negatif dari PPKM, Gunakan UU No.6/2018 sebagai Rujukan Karantina. https://t.co/Qr7d90BLiS</t>
  </si>
  <si>
    <t>Pak inikah bukti Bahwa Pandemik terkendali? Banyak Rakyat yang Kelaparan karena dilarang Keluar Rumah. Jangan Dibebankan kepada Rakyat Akibat Negatif dari PPKM, Gunakan UU No.6/2018 sebagai Rujukan Karantina.</t>
  </si>
  <si>
    <t>PPKM DARURAT NGAK USAH DIPERPANJANG...CUKUP SAMPAI TGL 20 KECUALI PEMERINTAH MENJAMIN 
 1.BAYAR SEWA TEMPAT USAHA 
 2.IKUT BAYAR GAJI PARA KARYAWAN
 3.MENJAMIN KEBUTUHAN HIDUP SELAMA PPKM DARURAT
 TANPA ITU SEMUA RAKYAT BISA STRES BUKAN KRN COVID TAPI KRN SUDH TAK ADA KERJA DAN MODAL</t>
  </si>
  <si>
    <t>PPKM DARURAT NGAK USAH DIPERPANJANG...CUKUP SAMPAI TGL KECUALI PEMERINTAH MENJAMIN .BAYAR SEWA TEMPAT USAHA .IKUT BAYAR GAJI PARA KARYAWAN3.MENJAMIN KEBUTUHAN HIDUP SELAMA PPKM DARURATTANPA ITU SEMUA RAKYAT BISA STRES BUKAN KRN COVID TAPI KRN SUDH TAK ADA KERJA DAN MODAL</t>
  </si>
  <si>
    <t>PPKM : 
 PLINTAT PLINTUT KAGA MIKIR https://t.co/7FAzniSEoi</t>
  </si>
  <si>
    <t>PPKM : PLINTAT PLINTUT KAGA MIKIR</t>
  </si>
  <si>
    <t>Pagi pagi udh on rp aja. Sungguh ppkm bikin gabut men</t>
  </si>
  <si>
    <t>@walidwibusalim @KupaPokpokpok @lemkoala @AREAJULID Semua job akan esensial kalo urusannya perut. Apalagi mereka yang kerja buat makan hari itu juga, masalahnya adalah beberapa orang yang kena imbas "sisi buruk" ppkm adalah orang-orang itu.</t>
  </si>
  <si>
    <t>Semua job akan esensial kalo urusannya perut. Apalagi mereka yang kerja buat makan hari itu juga, masalahnya adalah beberapa orang yang kena imbas "sisi buruk" ppkm adalah orang-orang itu.</t>
  </si>
  <si>
    <t>Yakali ppkm di tambah ☹️😞</t>
  </si>
  <si>
    <t>Yakali ppkm di tambah</t>
  </si>
  <si>
    <t>@AREAJULID Mengatasi masalah tanpa solusi😌 psbb diganti nama menjadi ppkm udah itu doang, proses vaksin ngantrinya minta ampun</t>
  </si>
  <si>
    <t>Mengatasi masalah tanpa solusi psbb diganti nama menjadi ppkm udah itu doang, proses vaksin ngantrinya minta ampun</t>
  </si>
  <si>
    <t>@ayubsr sulit dah ppkm gini pdhl kangen bcr kehidupan sm tmen2</t>
  </si>
  <si>
    <t>sulit dah ppkm gini pdhl kangen bcr kehidupan sm tmen2</t>
  </si>
  <si>
    <t>@Panglima_Minal @Tarida_Indah Lha iya PPKM diterapkan tapi bansos gak turun. Lalu rakyat disuruh makan angin???</t>
  </si>
  <si>
    <t>Lha iya PPKM diterapkan tapi bansos gak turun. Lalu rakyat disuruh makan angin???</t>
  </si>
  <si>
    <t>Pulang ke sub niat hati biar bisa sering ketemu, eh kena ppkm jadi tetep berasa LDR. Lebih nyesek kalo LDR nya deketan tapi ngga bisa ketemu daripada pas lagi beneran jauh rupanya ya..
 LDR with the best croissant everrr🥐 https://t.co/zcTqItgIXT</t>
  </si>
  <si>
    <t>Pulang ke sub niat hati biar bisa sering ketemu, eh kena ppkm jadi tetep berasa LDR. Lebih nyesek kalo LDR nya deketan tapi ngga bisa ketemu daripada pas lagi beneran jauh rupanya ya..LDR with the best croissant everrr</t>
  </si>
  <si>
    <t>Met pagi sahabat, met aktifitas bersama PPKM disini kami masih bisa bernafas bebas dipinggir sungai.. https://t.co/jemIVW9ffy</t>
  </si>
  <si>
    <t>Met pagi sahabat, met aktifitas bersama PPKM disini kami masih bisa bernafas bebas dipinggir sungai..</t>
  </si>
  <si>
    <t>emang kebijakannya gak bener. silop yang di lapangan walaupun “HaNyA mEnJaLaNkAn TuGaS” paling gak bisa saling tenggang rasa, gausah berasa paling prokes dan paling ppkm. gausah ngebentak-bentak orang yang cari duit harian, kan lau mah setiap bulan juga digaji brother… https://t.co/seTEMTtOMw</t>
  </si>
  <si>
    <t>emang kebijakannya gak bener. silop yang di lapangan walaupun HaNyA mEnJaLaNkAn TuGaS paling gak bisa saling tenggang rasa, gausah berasa paling prokes dan paling ppkm. gausah ngebentak-bentak orang yang cari duit harian, kan lau mah setiap bulan juga digaji brother</t>
  </si>
  <si>
    <t>@geloraco Terkendali tp memberlakukan ppkm darurat?????</t>
  </si>
  <si>
    <t>Terkendali tp memberlakukan ppkm darurat?????</t>
  </si>
  <si>
    <t>@Febyff1 @AREAJULID Waduh kalo diperpanjang, PPKM (pelan-pelan kita mati) 😭😭</t>
  </si>
  <si>
    <t>Waduh kalo diperpanjang, PPKM (pelan-pelan kita mati)</t>
  </si>
  <si>
    <t>@bos_sir @msaid_didu Ppkm 6 minggu makin gila aja kebijakan. 2 minggu aja kr uangan udah morat marit gimna 6 minggu asw lh</t>
  </si>
  <si>
    <t>Ppkm minggu makin gila aja kebijakan. minggu aja kr uangan udah morat marit gimna minggu asw lh</t>
  </si>
  <si>
    <t>@kumparan klo penangannnya kayak gini terus, klo yg ngurus kopit dri dlu itu2 aja orgnya..ppkm mao diperpanjang smp setaun pun tetap aja hasilnya 🇮🇩 nomor teratas masalah kopit,solusinya ikutin cara Singapura menyikapi kopit.mulai dri kabupaten2 yg masih hijau begitu seterusnya smp smw kab</t>
  </si>
  <si>
    <t>klo penangannnya kayak gini terus, klo yg ngurus kopit dri dlu itu2 aja orgnya..ppkm mao diperpanjang smp setaun pun tetap aja hasilnya nomor teratas masalah kopit,solusinya ikutin cara Singapura menyikapi kopit.mulai dri kabupaten2 yg masih hijau begitu seterusnya smp smw kab</t>
  </si>
  <si>
    <t>@FerdinandHaean3 Pada dasarnya rakyat gak mempersoalkan ppkm / lockdown diperpanjang sampai kapanpun asalkan pemerintah menjamin penghidupan dan kehidupanya seluruh rakyatnya</t>
  </si>
  <si>
    <t>Pada dasarnya rakyat gak mempersoalkan ppkm / lockdown diperpanjang sampai kapanpun asalkan pemerintah menjamin penghidupan dan kehidupanya seluruh rakyatnya</t>
  </si>
  <si>
    <t>Selamat pagi min ..mau tanya untuk pencairan bpjsketenagakerjaan di PPKM sekarang apakah bisa langsung datang ke kantor atau fia online ya min ..thx https://t.co/gTZoX2JJSQ</t>
  </si>
  <si>
    <t>Selamat pagi min ..mau tanya untuk pencairan bpjsketenagakerjaan di PPKM sekarang apakah bisa langsung datang ke kantor atau fia online ya min ..thx</t>
  </si>
  <si>
    <t>Ga habis fikir kalau ppkm diperpanjang, huuuaaa aku pengen jalan jalan</t>
  </si>
  <si>
    <t>@hendrarprihadi Testing masih rendah pak, angka positivity rate bahkan naik 1,3 persen dari masa ppkm awal. 
 https://t.co/QOpDT4fgxQ https://t.co/LVTWJIiAsy</t>
  </si>
  <si>
    <t>Testing masih rendah pak, angka positivity rate bahkan naik persen dari masa ppkm awal.</t>
  </si>
  <si>
    <t>@drpriono1 dengan catatan pemerintah bisa jamin pemenuhan kebutuhan hidup sehari2x warga yg terdampak ppkm, dokter @drpriono1 , agar mereka bisa hidup normal dan sehat, tanpa perlu keluar rumah untuk bekerja, tanpa itu semua ya sama saja dgn mencekik rakyat hingga mati 🤨😑</t>
  </si>
  <si>
    <t>dengan catatan pemerintah bisa jamin pemenuhan kebutuhan hidup sehari2x warga yg terdampak ppkm, dokter , agar mereka bisa hidup normal dan sehat, tanpa perlu keluar rumah untuk bekerja, tanpa itu semua ya sama saja dgn mencekik rakyat hingga mati</t>
  </si>
  <si>
    <t>Dear, pak @jokowi
 Rakyatmu capek dengerin berita duka tiap hari. Stop PPKM Darurat, jalanin Karantina Wilayah, hidupin warganya selama di rumah. Anda minta PPKM, tapi Anda juga minta kita buat bekerja, bukan untuk mencari nafkah, tapi mencari penyakit. 
 Sedih saya, pak.</t>
  </si>
  <si>
    <t>Dear, pak capek dengerin berita duka tiap hari. Stop PPKM Darurat, jalanin Karantina Wilayah, hidupin warganya selama di rumah. Anda minta PPKM, tapi Anda juga minta kita buat bekerja, bukan untuk mencari nafkah, tapi mencari penyakit. Sedih saya, pak.</t>
  </si>
  <si>
    <t>Djanur Perbanyak Internal Game Selama Masa PPKM Darurat https://t.co/J4N4u7ARv1</t>
  </si>
  <si>
    <t>Djanur Perbanyak Internal Game Selama Masa PPKMDarurat</t>
  </si>
  <si>
    <t>PPKM akan diperpanjang sampai 17 Aug 21</t>
  </si>
  <si>
    <t>PPKM akan diperpanjang sampai Aug</t>
  </si>
  <si>
    <t>@Alika09960316 Diskon PPKM ada tak?</t>
  </si>
  <si>
    <t>Diskon PPKM ada tak?</t>
  </si>
  <si>
    <t>PPKM
 Pelan Pelan Korona Minggat
 Aamiin</t>
  </si>
  <si>
    <t>PPKMPelan Pelan Korona MinggatAamiin</t>
  </si>
  <si>
    <t>@AREAJULID Mafia nya ga libur biarpun ppkm</t>
  </si>
  <si>
    <t>Mafia nya ga libur biarpun ppkm</t>
  </si>
  <si>
    <t>Kepada presiden indonesia @jokowi .dengan adanya wacana perpanjngan ppkm ...bpk harus tinjau kembali dn harus tau di lapangan pak....di lapangan suara suara sumbang dh mulai brdengung pak...saya yg sllu kelling kampung sering mendengar dn melihat riak riak yg sangt menghawatirkn</t>
  </si>
  <si>
    <t>Kepada presiden indonesia .dengan adanya wacana perpanjngan ppkm ...bpk harus tinjau kembali dn harus tau di lapangan pak....di lapangan suara suara sumbang dh mulai brdengung pak...saya yg sllu kelling kampung sering mendengar dn melihat riak riak yg sangt menghawatirkn</t>
  </si>
  <si>
    <t>@adistyaratu @ganjarpranowo @infokejadiansmg Pas awal2 ppkm ak jajan di sini tp emg wajib take away, ga ada jg yg makan d situ.. emg sepi bgt waktu itu wkakwak</t>
  </si>
  <si>
    <t>Pas awal2 ppkm ak jajan di sini tp emg wajib take away, ga ada jg yg makan d situ.. emg sepi bgt waktu itu wkakwak</t>
  </si>
  <si>
    <t>@aritj @Dennysiregar7 @jokowi jangan main gampar lah, ditanya dulu kenapa tetep keluar, kalo karena nggak bisa makan ya dikasih makan, kalo karena untuk bayar cicilan rumah ya dibayarin ato banknya diminta jangan nagih dulu selama ppkm.</t>
  </si>
  <si>
    <t>jangan main gampar lah, ditanya dulu kenapa tetep keluar, kalo karena nggak bisa makan ya dikasih makan, kalo karena untuk bayar cicilan rumah ya dibayarin ato banknya diminta jangan nagih dulu selama ppkm.</t>
  </si>
  <si>
    <t>Konon katanya PPKM akan diperjang, lah terus ga ada bantuan buat para pria yg jauh dr Istri yg ga bs balik rumah gitu? #uhuk</t>
  </si>
  <si>
    <t>Konon katanya PPKM akan diperjang, lah terus ga ada bantuan buat para pria yg jauh dr Istri yg ga bs balik rumah gitu?</t>
  </si>
  <si>
    <t>@AREAJULID jangan smpai ppkm diperpanjng, dah bingung nnti mau ngpain.</t>
  </si>
  <si>
    <t>jangan smpai ppkm diperpanjng, dah bingung nnti mau ngpain.</t>
  </si>
  <si>
    <t>Becuk lemot gegara PPKM ya?</t>
  </si>
  <si>
    <t>@FEYPasSby mau ppkm sama km kk ahahah</t>
  </si>
  <si>
    <t>mau ppkm sama km kk ahahah</t>
  </si>
  <si>
    <t>Pemerintah betul2 dlm situasi sulit dan serba salah. PPKM diperketat banyak yg protes soal ekonomi tp disisi lain kelompok yg sama mengusulkan lockdown sbg solusi
 Kemudian isu dikemas soal (HOAX) perpanjangan PPKM. Tujuannya tentu utk membakar keresahan.
 https://t.co/YmY5uqJlyc</t>
  </si>
  <si>
    <t>Pemerintah betul2 dlm situasi sulit dan serba salah. PPKM diperketat banyak yg protes soal ekonomi tp disisi lain kelompok yg sama mengusulkan lockdown sbg solusiKemudian isu dikemas soal (HOAX) perpanjangan PPKM. Tujuannya tentu utk membakar keresahan.</t>
  </si>
  <si>
    <t>PPKM parte baru ya?</t>
  </si>
  <si>
    <t>@dr_koko28 PPKM hanya penyekatan jalan ..
 Masyarakat yg makin susah buat cari makan ..
 TKA msh saja masuk NKRI ..
 Kira2 apa yg akan didapat dr PPKM ini dok ?</t>
  </si>
  <si>
    <t>PPKM hanya penyekatan jalan ..Masyarakat yg makin susah buat cari makan ..TKA msh saja masuk NKRI ..Kira2 apa yg akan didapat dr PPKM ini dok ?</t>
  </si>
  <si>
    <t>Mulai bosen sama rutinitas tiap hari, butuh pembaharuan tapi sekarang lagi PPKM 🥴</t>
  </si>
  <si>
    <t>Mulai bosen sama rutinitas tiap hari, butuh pembaharuan tapi sekarang lagi PPKM</t>
  </si>
  <si>
    <t>https://t.co/EUCBttlqiQ
 Pemerintah Impor 40 Ribu Ton Oksigen Cair, Luhut : Lebih Bagus Berjaga-Jaga
 JELAS BANGET ARAHNYA
 Akhirnya PPKM melahirkan kebijakan impor baru
 #RezimSampah_AntiPtibumi
 #RezimSampah_AntiPribumi</t>
  </si>
  <si>
    <t>Impor Ribu Ton Oksigen Cair, Luhut : Lebih Bagus Berjaga-JagaJELAS BANGET ARAHNYAAkhirnya PPKM melahirkan kebijakan impor baru</t>
  </si>
  <si>
    <t>iri banget sama yang pacaran terus nongkrong tiap malem pas lagi ppkm gini, eh</t>
  </si>
  <si>
    <t>@puspresnas kami punya kendala waktu untuk Lomba Film Pendek FLS2N SMK saat PPKM ini, rekan peserta sedang "isoman". Semoga ada informasi perpanjangan waktu FLS2N SMK</t>
  </si>
  <si>
    <t>kami punya kendala waktu untuk Lomba Film Pendek FLS2N SMK saat PPKM ini, rekan peserta sedang "isoman". Semoga ada informasi perpanjangan waktu FLS2N SMK</t>
  </si>
  <si>
    <t>Selamat pagi semuanya..
 Semoga selama ppkm ini kebutuhan primer kalian terpenuhi, dan juga semoga jiwa dan raga kalian juga sehat selalu...
 Aamiin</t>
  </si>
  <si>
    <t>Selamat pagi semuanya..Semoga selama ppkm ini kebutuhan primer kalian terpenuhi, dan juga semoga jiwa dan raga kalian juga sehat selalu...Aamiin</t>
  </si>
  <si>
    <t>@JebulMania291 Arul (@Arul70848368) Tweeted:
 @jaluciparay Hrsnya pemerintah spt ini, bukan hanya bisanya membatasi perdagangan dan pekerjaan mrk tp juga hrs memberikan kompensasi, jgn sampe rakyat disrh milih taat PPKM mati atau ga taat PPKM mati juga (https://t.co/yTG28gIPk9)</t>
  </si>
  <si>
    <t>Arul () Tweeted: Hrsnya pemerintah spt ini, bukan hanya bisanya membatasi perdagangan dan pekerjaan mrk tp juga hrs memberikan kompensasi, jgn sampe rakyat disrh milih taat PPKM mati atau ga taat PPKM mati juga ()</t>
  </si>
  <si>
    <t>Isu ppkm di perpanjang sampe 17 agustus, tpi di sangkal pemerintah 🙃 kelar dah</t>
  </si>
  <si>
    <t>Isu ppkm di perpanjang sampe agustus, tpi di sangkal pemerintah kelar dah</t>
  </si>
  <si>
    <t>@tvOneNews @karniilyas Modal surat PPKM, lalu petugas membentak, melarang rakyat kecil mencari penghidupan. Petugas negara bangga dia tetap bergaji dri uang rakyat yang ditindas. Selagi anggaran masih banyak Akan heboh corona.</t>
  </si>
  <si>
    <t>Modal surat PPKM, lalu petugas membentak, melarang rakyat kecil mencari penghidupan. Petugas negara bangga dia tetap bergaji dri uang rakyat yang ditindas. Selagi anggaran masih banyak Akan heboh corona.</t>
  </si>
  <si>
    <t>@geloraco Sekalian siapkan lahan kuburan yg banyak bu pas ppkm selesai rakyatmu mati kelaparan☠☠</t>
  </si>
  <si>
    <t>Sekalian siapkan lahan kuburan yg banyak bu pas ppkm selesai rakyatmu mati kelaparan</t>
  </si>
  <si>
    <t>Lagi masa ppkm gini msh aja ada gerombolan sepeda konvoi, masuk ke jalur cepat, dan dikawal isilop. Istimewa sekali</t>
  </si>
  <si>
    <t>@Dedensyah13 Ppkm darurat memang gawat
 Bikin rakyat jelata sekarat 😞</t>
  </si>
  <si>
    <t>Ppkm darurat memang gawatBikin rakyat jelata sekarat</t>
  </si>
  <si>
    <t>@mohmahfudmd Kok ga sensitif pak, post seperti ini di waktu ppkm darurat. Tidak sensitif. Sayang sekali</t>
  </si>
  <si>
    <t>Kok ga sensitif pak, post seperti ini di waktu ppkm darurat. Tidak sensitif. Sayang sekali</t>
  </si>
  <si>
    <t>@Izamajadehh Ya gimana PPKM bikin gila kalo ga kuat mah bisa kejalur RSJ</t>
  </si>
  <si>
    <t>Ya gimana PPKM bikin gila kalo ga kuat mah bisa kejalur RSJ</t>
  </si>
  <si>
    <t>ini karena gue pake seragam pemda ato gimana deh kok mbak tije gk mintain surat ppkm ke gue 😅</t>
  </si>
  <si>
    <t>ini karena gue pake seragam pemda ato gimana deh kok mbak tije gk mintain surat ppkm ke gue</t>
  </si>
  <si>
    <t>@CNNIndonesia Makin lama PPKM bisa berlipat lipat hasil denda, lumayan juga daripada lockdown lebih untung PPKM</t>
  </si>
  <si>
    <t>Makin lama PPKM bisa berlipat lipat hasil denda, lumayan juga daripada lockdown lebih untung PPKM</t>
  </si>
  <si>
    <t>@2Mikeadamhalik Stop provokasi hoak mari kita percaya kan semua nya pada pemerintah AYO kita vaksin dan taati ppkm dan taati prokes</t>
  </si>
  <si>
    <t>Stop provokasi hoak mari kita percaya kan semua nya pada pemerintah AYO kita vaksin dan taati ppkm dan taati prokes</t>
  </si>
  <si>
    <t>Bener bener gada keluar kos kmren wkwkw. Ppkm gini bgt, mau keluar aja pake bingung + panik :(</t>
  </si>
  <si>
    <t>Bener bener gada keluar kos kmren wkwkw. Ppkm gini bgt, mau keluar aja pake bingung + panik</t>
  </si>
  <si>
    <t>Rasanya gak mgkin gw ngerasain ppkm hehe</t>
  </si>
  <si>
    <t>@KompasTV Kami habis beras pa..gimana boleh minta ke bapa..yg buat bekal sampai PPKM selesai</t>
  </si>
  <si>
    <t>Kami habis beras pa..gimana boleh minta ke bapa..yg buat bekal sampai PPKM selesai</t>
  </si>
  <si>
    <t>@AREAJULID Ppkm, itu lama2 matiin bisnis tau ga? 
 Ujungnya g bisa bayar gaji karyawan. Klo udh gini pemerintah bisa bantu apa? 
 Lagian masih banyak WNA masuk nth buat apa yg sipit2 itu.. W heran aja</t>
  </si>
  <si>
    <t>Ppkm, itu lama2 matiin bisnis tau ga? Ujungnya g bisa bayar gaji karyawan. Klo udh gini pemerintah bisa bantu apa? Lagian masih banyak WNA masuk nth buat apa yg sipit2 itu.. W heran aja</t>
  </si>
  <si>
    <t>sebenernya pemerintang gausah repot2 bikin peraturan ppkm dan ngasih bansos ke org2, toh banyak yg gak patuh kayak percuma aja gtu. jadi mending pake herd imun aja biarkan org2 melakukan apapun toh biarin aja pada kena virus dan mati juga gpp itung2 ngurangin populasi diindo wkwk</t>
  </si>
  <si>
    <t>@fauziojii_ @MelayuSejahtera Yg susah adalah yg berpikiran sempit. PpKM utk keselamatan bersama Bro. Nanti klo semua udah vaksin ya silahkan bebas.</t>
  </si>
  <si>
    <t>Yg susah adalah yg berpikiran sempit. PpKM utk keselamatan bersama Bro. Nanti klo semua udah vaksin ya silahkan bebas.</t>
  </si>
  <si>
    <t>@Bang_Garr Waah... amazing...
 Mudah2an ada rezeki keluarga saya dimasa pandemi ini.
 Apalagi lagi PPKM</t>
  </si>
  <si>
    <t>Waah... amazing...Mudah2an ada rezeki keluarga saya dimasa pandemi ini.Apalagi lagi PPKM</t>
  </si>
  <si>
    <t>PPKM = program pembunuhan kepada manusia/masyarakat</t>
  </si>
  <si>
    <t>@geloraco Kolo terkendali kenapa musti harus pake PPKM segala pak...kolo Uda di PPKM Covid nya Uda langsung hilang pak</t>
  </si>
  <si>
    <t>Kolo terkendali kenapa musti harus pake PPKM segala pak...kolo Uda di PPKM Covid nya Uda langsung hilang pak</t>
  </si>
  <si>
    <t>@_Si_Bee Percuma rakyat dipaksa PPKM lah, dipaksa ini itu, dipaksa vaksin kl sumber penyakitnya didatangkan terus @KemenkesRI</t>
  </si>
  <si>
    <t>Percuma rakyat dipaksa PPKM lah, dipaksa ini itu, dipaksa vaksin kl sumber penyakitnya didatangkan terus</t>
  </si>
  <si>
    <t>PPKM... Pernah Percaya Kemudian Menyesal,,,,</t>
  </si>
  <si>
    <t>PPKM tentu saja diniatkan agar jangan terjadi kematian massal dan tidak terurusnya para korban terpapar. ketakutan para pengambil kebijakan jauh di atas rata-rata orang-orang biasa. itu harus dihargai. tak perlu dan jangan pernah curiga, industrasi dan kapitalisasi persoalan.</t>
  </si>
  <si>
    <t>ini baru contoh yg baik sekaligus memberikan solusi dlm menerapkan PPKM Darurat ala Jokowi..
 utk petugas dilapangan jika kehabisan duit, minta ama @mohmahfudmd @jokowi @AliNgabalin1 @DPR_RI @setkabgoid tim KSP, inshaAllah gaji mereka siap disumbangkan selama wabah ini belum kelar https://t.co/rZGVX6IVOc</t>
  </si>
  <si>
    <t>ini baru contoh yg baik sekaligus memberikan solusi dlm menerapkan PPKM Darurat ala Jokowi..utk petugas dilapangan jika kehabisan duit, minta ama tim KSP, inshaAllah gaji mereka siap disumbangkan selama wabah ini belum kelar</t>
  </si>
  <si>
    <t>@Smsl_alghozali Ga lagi typo kan pak? Ngetweet PPKM diperpanjang??</t>
  </si>
  <si>
    <t>Ga lagi typo kan pak? Ngetweet PPKM diperpanjang??</t>
  </si>
  <si>
    <t>Woww keren, ppkm nya berhasil https://t.co/L0PgUyOs1I</t>
  </si>
  <si>
    <t>Woww keren, ppkm nya berhasil</t>
  </si>
  <si>
    <t>Penerima Bansos Tunai Dapat 'Bonus' Beras saat PPKM Darurat
 https://t.co/orAiB1Yuzf
 PPKM Lindungi Keluarga</t>
  </si>
  <si>
    <t>Penerima Bansos Tunai Dapat 'Bonus' Beras saat PPKM Darurat Lindungi Keluarga</t>
  </si>
  <si>
    <t>@CNNIndonesia @TongSate Jgn pencitraan kasih mrk yg dibatasi perdagangan dan pekerjaannya kompensasi yg memadai, jgn hanya bisanya melarang dg PPKM darurat</t>
  </si>
  <si>
    <t>Jgn pencitraan kasih mrk yg dibatasi perdagangan dan pekerjaannya kompensasi yg memadai, jgn hanya bisanya melarang dg PPKM darurat</t>
  </si>
  <si>
    <t>@rripro2tpi Gak kangen soalnya baru kemarin minggu sebelum PPKM aku pergi ke Pantai, Selamat pagi kak Wulan, Request lagu SALAH MENCINTAI By Betrand Peto Putra Onsu di #Pro2Activity, terima kasih kak</t>
  </si>
  <si>
    <t>Gak kangen soalnya baru kemarin minggu sebelum PPKM aku pergi ke Pantai, Selamat pagi kak Wulan, Request lagu SALAH MENCINTAI By Betrand Peto Putra Onsu di , terima kasih kak</t>
  </si>
  <si>
    <t>@tempodotco Jangan lupa kasih makan rakyat dan penuhi kebutuhan pokok nya selama PPKM
 Jika tidak itu Dzalim. 
 #rezimbebanirakyat</t>
  </si>
  <si>
    <t>Jangan lupa kasih makan rakyat dan penuhi kebutuhan pokok nya selama PPKMJika tidak itu Dzalim.</t>
  </si>
  <si>
    <t>@LuhutBinsarFans Mana buktinya ga ada gagara ppkm ini mau kuli jalan di tutup terus di rumah saya harus makan angin.....?</t>
  </si>
  <si>
    <t>Mana buktinya ga ada gagara ppkm ini mau kuli jalan di tutup terus di rumah saya harus makan angin.....?</t>
  </si>
  <si>
    <t>@dr_koko28 PPKM disini membuat para pedagang makanan (Resto langganan) terutama di jalan Utama banyak yg tutup. Padahal yg lagi sakit butuh makanan siap makan. Go**k pun aga susah...
 Klo PPKM diperpanjang semoga pada sehat ya, biar bisa masak sendiri dirumah..</t>
  </si>
  <si>
    <t>PPKM disini membuat para pedagang makanan (Resto langganan) terutama di jalan Utama banyak yg tutup. Padahal yg lagi sakit butuh makanan siap makan. Go**k pun aga susah...Klo PPKM diperpanjang semoga pada sehat ya, biar bisa masak sendiri dirumah..</t>
  </si>
  <si>
    <t>PPKM di perpanjang, keuangan sudah mulai oleng kapten,ya Allah hamba berserah diri padamu....
 #2021GantiPresiden https://t.co/AhJNmzjncu</t>
  </si>
  <si>
    <t>PPKM di perpanjang, keuangan sudah mulai oleng kapten,ya Allah hamba berserah diri padamu....</t>
  </si>
  <si>
    <t>PPKM (pernah patah karena mu)</t>
  </si>
  <si>
    <t>@faridaaqa @maulidiansyahdp Ehh jangan sampe ada ppkm lagi kek, kan mau piknik 🥺</t>
  </si>
  <si>
    <t>Ehh jangan sampe ada ppkm lagi kek, kan mau piknik</t>
  </si>
  <si>
    <t>PPKM jangan sampe diperpanjang, plisss</t>
  </si>
  <si>
    <t>Habis PPKM terbitlah data penurunan kasus dari pemerintah</t>
  </si>
  <si>
    <t>@zulmafarisa Mba ppkm ( perbanyak pakai kerudung manis deh ) :)</t>
  </si>
  <si>
    <t>Mba ppkm ( perbanyak pakai kerudung manis deh )</t>
  </si>
  <si>
    <t>PPKM Woooiiiii...... https://t.co/TRNzsRBsGv</t>
  </si>
  <si>
    <t>PPKM Woooiiiii......</t>
  </si>
  <si>
    <t>PPKM = Pelan Pelan Kita Melebar</t>
  </si>
  <si>
    <t>@DhafanRB @ridwankamil Cafe nya sudah sesuai aturan dan proses. Kursinya di ambil satpol pp, nah nanti yg mau ngambil berkerumun dikantor satpol pp atau dikelurahan, 2 minggu kemudian covid naek lagi, ppkm lagi, terus weh kitu nepi firaun hirup deui</t>
  </si>
  <si>
    <t>Cafe nya sudah sesuai aturan dan proses. Kursinya di ambil satpol pp, nah nanti yg mau ngambil berkerumun dikantor satpol pp atau dikelurahan, minggu kemudian covid naek lagi, ppkm lagi, terus weh kitu nepi firaun hirup deui</t>
  </si>
  <si>
    <t>@JebulMania291 Apapun komentar kalian di video ini. setidak nya dapat memberi contoh buat aparat penegak ppkm yg lain di seluruh negri. Sehat2 slalu buat bpk nya.</t>
  </si>
  <si>
    <t>Apapun komentar kalian di video ini. setidak nya dapat memberi contoh buat aparat penegak ppkm yg lain di seluruh negri. Sehat2 slalu buat bpk nya.</t>
  </si>
  <si>
    <t>Breaking news :
 PPKM diperpanjang sampai 2024 
 Digabung debat capres dan debat Covid</t>
  </si>
  <si>
    <t>Breaking news KM diperpanjang sampai Digabung debat capres dan debat Covid</t>
  </si>
  <si>
    <t>Parah sih kalau ppkm diperpanjang. Demi apapun ppkm itu dampaknya besar. Sebagian orang diluar sana karena ppkm bisa kehilangan pekerjaan. Trus gimana mereka menghidupi dirinya apalagi kalau punya anak/istri? Iya ini pandemi, tapi orang juga makin sakit karena lapar.</t>
  </si>
  <si>
    <t>Makan tuh PPKM..
 Bikin kebijakan kok pinter bgt ..
 Percuma kan cegat²in orang dijalan kasusnya gak reda&amp;amp;ekonomi juga gak pulih...
 Tebir bgt idup di Irlandia selatan ... https://t.co/oZjYLytcUr</t>
  </si>
  <si>
    <t>Makan tuh PPKM..Bikin kebijakan kok pinter bgt ..Percuma kan cegatin orang dijalan kasusnya gak reda&amp;amp;ekonomi juga gak pulih...Tebir bgt idup di Irlandia selatan ...</t>
  </si>
  <si>
    <t>@OposisiCerdas @WiewiexPalesti PPKM ga jamin kesejahteraan masyarakat, tapi membebani masyarakat dg denda dan pidana. Luar biasa bijaksananya rezim ini😥</t>
  </si>
  <si>
    <t>PPKM ga jamin kesejahteraan masyarakat, tapi membebani masyarakat dg denda dan pidana. Luar biasa bijaksananya rezim ini</t>
  </si>
  <si>
    <t>@alisyarief Arogansi pernyataan dan sikap ditunjukkan hanya untuk menutupi terkendalinya TKA CHINA AMAN Masuk Bandara ?.
 BANDARA seharusnya ditutup saat PPKM DARURAT ini. Jgn Sampai PPKM DARUTAT jadi PPKM tambah Darurat.
 @jokowi</t>
  </si>
  <si>
    <t>Arogansi pernyataan dan sikap ditunjukkan hanya untuk menutupi terkendalinya TKA CHINA AMAN Masuk Bandara ?.BANDARA seharusnya ditutup saat PPKM DARURAT ini. Jgn Sampai PPKM DARUTAT jadi PPKM tambah Darurat.</t>
  </si>
  <si>
    <t>Kami sudah di titik jenuh dan bingung bagaimana kami akan bekerja di tengah wabah pandemi ini, di terapkan sistem lockdown - PSBB - PPKM mikro - PPKM darurat, kami belum menemui titik terang apakah ada solusi bagi kami dimana sama" menguntungkan antara pemerintah dan masyarakat.</t>
  </si>
  <si>
    <t>Kalo memang PPKM akan di perpanjang sampai 6 Minggu, berikan sebuah solusi yg mungkin sama sama menguntungkan antata rakyat biasa dan para pejabat/pegawai yg di gaji negara.</t>
  </si>
  <si>
    <t>Kalo memang PPKM akan di perpanjang sampai Minggu, berikan sebuah solusi yg mungkin sama sama menguntungkan antata rakyat biasa dan para pejabat/pegawai yg di gaji negara.</t>
  </si>
  <si>
    <t>@CNNIndonesia Rakyat yg mana sih.. 
 Klo pada akhirnya bayar gw rasa orang berduiit aja yg mau, trus org miskin yg mau cari uang aja di persulit yg bikin imun pada down gegara PPKM COVID19.
 Jangan ngadi2 aje deh</t>
  </si>
  <si>
    <t>Rakyat yg mana sih.. Klo pada akhirnya bayar gw rasa orang berduiit aja yg mau, trus org miskin yg mau cari uang aja di persulit yg bikin imun pada down gegara PPKM COVID19.Jangan ngadi2 aje deh</t>
  </si>
  <si>
    <t>Setuju PPKM sangat memaatikan sandang pangan rakyat kecil... https://t.co/VZWwoPbkSC</t>
  </si>
  <si>
    <t>Setuju PPKM sangat memaatikan sandang pangan rakyat kecil...</t>
  </si>
  <si>
    <t>@Jengnala Aamiin YRA.. 
 Aku selama ppkm ngak ad kerjaan buki 😢😢,semua job di cancel berharap ppkm ngak di perpanjang</t>
  </si>
  <si>
    <t>Aamiin YRA.. Aku selama ppkm ngak ad kerjaan buki ,semua job di cancel berharap ppkm ngak di perpanjang</t>
  </si>
  <si>
    <t>@Sudiyanto204573 Agak mendingan sih, bisa juga diikuti kegiatan sentra ekonomi dibuat bergilir atau entah satu hari tertentu tutup semua yang non esensial. Optimalisasi aparat dibawah sosialisai dll ... Ketimbang perpanjangan PPKM</t>
  </si>
  <si>
    <t>Agak mendingan sih, bisa juga diikuti kegiatan sentra ekonomi dibuat bergilir atau entah satu hari tertentu tutup semua yang non esensial. Optimalisasi aparat dibawah sosialisai dll ... Ketimbang perpanjangan PPKM</t>
  </si>
  <si>
    <t>Pelan-Pelan Kita Merindu (PPKM).</t>
  </si>
  <si>
    <t>@wayvfess Ya Allah hendery pulang gk😡 lagi PPKM begini malah nongki²😬</t>
  </si>
  <si>
    <t>Ya Allah hendery pulang gk lagi PPKM begini malah nongki</t>
  </si>
  <si>
    <t>PPKM ...... apa yg terjadi https://t.co/MRzRIqliF9</t>
  </si>
  <si>
    <t>PPKM ...... apa yg terjadi</t>
  </si>
  <si>
    <t>@geloraco Kl ambigue dan membuat masy bingung sebaiknya diganti krn bs jd overload atau bingung menghadapi polarisasi dlm masy. Siapa yg mampu memimpin dlm PPKM darurat tersebut dan tentu hrsnya diserahkan pd ybs sehingga PPKM bisa lebih maksimal dan berhasil. Sesuatu kl tdk diserahkan pd</t>
  </si>
  <si>
    <t>Kl ambigue dan membuat masy bingung sebaiknya diganti krn bs jd overload atau bingung menghadapi polarisasi dlm masy. Siapa yg mampu memimpin dlm PPKM darurat tersebut dan tentu hrsnya diserahkan pd ybs sehingga PPKM bisa lebih maksimal dan berhasil. Sesuatu kl tdk diserahkan pd</t>
  </si>
  <si>
    <t>PPKM Rakyat sehat kuat
 https://t.co/qKWkjSetrR</t>
  </si>
  <si>
    <t>PPKM Rakyat sehat kuat</t>
  </si>
  <si>
    <t>Demi kebaikan kita semua. PPKM Rakyat sehat https://t.co/JV9yBa8o3b</t>
  </si>
  <si>
    <t>Demi kebaikan kita semua. PPKM Rakyat sehat</t>
  </si>
  <si>
    <t>@BNI Kalo yg di Dayeuhkolot buka ga min? Atau masih ppkm</t>
  </si>
  <si>
    <t>Kalo yg di Dayeuhkolot buka ga min? Atau masih ppkm</t>
  </si>
  <si>
    <t>Awas hoax. PPKM Rakyat sehat
 https://t.co/WvKe4hnflc</t>
  </si>
  <si>
    <t>Awas hoax. PPKM Rakyat sehat</t>
  </si>
  <si>
    <t>Tdk pernah melarang orng beribadah. PPKM Rakyat sehat https://t.co/ftgQYeAE9x</t>
  </si>
  <si>
    <t>Tdk pernah melarang orng beribadah. PPKM Rakyat sehat</t>
  </si>
  <si>
    <t>Diatur yaa. PPKM Rakyat sehat
 https://t.co/kpbnfgrjvq</t>
  </si>
  <si>
    <t>Diatur yaa. PPKM Rakyat sehat</t>
  </si>
  <si>
    <t>Waspada provokator. PPKM Rakyat sehat https://t.co/v6eVMlBuzS</t>
  </si>
  <si>
    <t>Waspada provokator. PPKM Rakyat sehat</t>
  </si>
  <si>
    <t>Di penjara karena PPKM.
 Mungkin napi yang di dalem penjara saat ada tahanan baru berasa ada mangsa baru tapi saat tau alesan di penjara karena melanggar PPKM mereka pasti iba dan akan kasih support tidak akan mendiskriminasi seperti yg di alami saat lapak mereka di grebek.</t>
  </si>
  <si>
    <t>Di penjara karena PPKM.Mungkin napi yang di dalem penjara saat ada tahanan baru berasa ada mangsa baru tapi saat tau alesan di penjara karena melanggar PPKM mereka pasti iba dan akan kasih support tidak akan mendiskriminasi seperti yg di alami saat lapak mereka di grebek.</t>
  </si>
  <si>
    <t>Stop giring opini yg tdk benar. PPKM Rakyat sehat https://t.co/niZnUxsJcI</t>
  </si>
  <si>
    <t>Stop giring opini yg tdk benar. PPKM Rakyat sehat</t>
  </si>
  <si>
    <t>@Safarmussafir @TwelviFebrina Efek ppkm darurat ngaruh banget sih, boro2 buat ngopi, buat makan aja susah. Orang mikirnya ada duit drpd buat ngopi2 mending buat beli beras. Bukan cm efek blokiran jalan doang. Semoga mas nya gak ngalamin kyk saya, sejahtera terus.. Aamiin</t>
  </si>
  <si>
    <t>Efek ppkm darurat ngaruh banget sih, boro2 buat ngopi, buat makan aja susah. Orang mikirnya ada duit drpd buat ngopi2 mending buat beli beras. Bukan cm efek blokiran jalan doang. Semoga mas nya gak ngalamin kyk saya, sejahtera terus.. Aamiin</t>
  </si>
  <si>
    <t>ppkm menyadarkan gue kalo jomblo enak juga kok, soalnya ga ada perasaan kangen bgt pengen ketemu seseorang, yaudah diem aja dirumah lalalayeyeye</t>
  </si>
  <si>
    <t>@Trustbinnn @bertanyarl Iya bang, ppkm juga nambah 6 minggu, kn bgst</t>
  </si>
  <si>
    <t>Iya bang, ppkm juga nambah minggu, kn bgst</t>
  </si>
  <si>
    <t>@BossTemlen Pepeknya lagi kampus gw mau melaksanakan KKN offline dimasa PPKM darurat , UGJ nama kampusnya</t>
  </si>
  <si>
    <t>Pepeknya lagi kampus gw mau melaksanakan KKN offline dimasa PPKM darurat , UGJ nama kampusnya</t>
  </si>
  <si>
    <t>@KuliDollarEuro1 PSBB rakyat masih dapat bantaun nah ini PPKM mana bantuan nya
 #StopMafiaObatAsing
 #StopMafiaObatAsing</t>
  </si>
  <si>
    <t>PSBB rakyat masih dapat bantaun nah ini PPKM mana bantuan nya</t>
  </si>
  <si>
    <t>Yang satu ngomong aman terkendali, yang satu ngomong kemungkinan PPKM 6 minggu dan yang satu lagi ngomong kewalahan. Kayaknya emang sengaja dibenturin semua biar bingung</t>
  </si>
  <si>
    <t>Yang satu ngomong aman terkendali, yang satu ngomong kemungkinan PPKM minggu dan yang satu lagi ngomong kewalahan. Kayaknya emang sengaja dibenturin semua biar bingung</t>
  </si>
  <si>
    <t>Tdk dilarang, tapi dia atur. PPKM Rakyat sehat
 https://t.co/oUmjf8cp3x</t>
  </si>
  <si>
    <t>Tdk dilarang, tapi dia atur. PPKM Rakyat sehat</t>
  </si>
  <si>
    <t>Ibadah bisa dilakukan dirumah. PPKM Rakyat sehat https://t.co/ZmLTcO5ZJM</t>
  </si>
  <si>
    <t>Ibadah bisa dilakukan dirumah. PPKM Rakyat sehat</t>
  </si>
  <si>
    <t>Atur peribadatan. PPKM Rakyat sehat
 https://t.co/Vznbwr4Wv5</t>
  </si>
  <si>
    <t>Atur peribadatan. PPKM Rakyat sehat</t>
  </si>
  <si>
    <t>Pemerintah tdk melarang warga beribadah. PPKM Rakyat sehat https://t.co/pALrWiNKHl</t>
  </si>
  <si>
    <t>Pemerintah tdk melarang warga beribadah. PPKM Rakyat sehat</t>
  </si>
  <si>
    <t>Jangan pernah menyalahkan rakyat jika suatu saat ada pergerakan rakyat secara nasional PPKM 2 minggu saja rakyat menjerit apa lagi ada wacana untuk di perpanjang 
 #camkan_itu_kisanak</t>
  </si>
  <si>
    <t>Jangan pernah menyalahkan rakyat jika suatu saat ada pergerakan rakyat secara nasional PPKM minggu saja rakyat menjerit apa lagi ada wacana untuk di perpanjang</t>
  </si>
  <si>
    <t>Pak, PPKM Darurat jangan diperpanjang Pak.
 Lebih mengerikan mana jutaan rakyat kelaparan atau mendengar berita kematian sesering sekarang?
 Pilihan. https://t.co/UXbhvjGSuh</t>
  </si>
  <si>
    <t>Pak, PPKM Darurat jangan diperpanjang Pak.Lebih mengerikan mana jutaan rakyat kelaparan atau mendengar berita kematian sesering sekarang?Pilihan.</t>
  </si>
  <si>
    <t>@Sarip_hidayat07 @shitlicious Lebih ngeri lagi yg udah modal banyak buat proyek baru atau ngebesarin usaha, eh ga bisa gerak gara2 PPKM.</t>
  </si>
  <si>
    <t>Lebih ngeri lagi yg udah modal banyak buat proyek baru atau ngebesarin usaha, eh ga bisa gerak gara2 PPKM.</t>
  </si>
  <si>
    <t>PPKM jadi diperpanjang gak ya? 😐</t>
  </si>
  <si>
    <t>PPKM jadi diperpanjang gak ya?</t>
  </si>
  <si>
    <t>PPKM : 
 Pagi Pagi Kepikiran Mas
 ☺️</t>
  </si>
  <si>
    <t>PPKM : Pagi Pagi Kepikiran Mas</t>
  </si>
  <si>
    <t>Seluruh masyarakat mendukung PPKM darurat
 #Bansos
 #IndonesiaMaju https://t.co/gJEZDN6CIa</t>
  </si>
  <si>
    <t>Seluruh masyarakat mendukung PPKM darurat</t>
  </si>
  <si>
    <t>Gara2 PPKM dan pindah rumah, jadi menemukan mereka:
 Kecipir - jual sayur (sebagian besar organik) zero waste, alias semua wadah bisa dikembaliin lewat kurir di pengiriman berikutnya. Dah gitu dikirimnya jam 4 subuh!! Me likey 😁</t>
  </si>
  <si>
    <t>Gara2 PPKM dan pindah rumah, jadi menemukan mereka:Kecipir - jual sayur (sebagian besar organik) zero waste, alias semua wadah bisa dikembaliin lewat kurir di pengiriman berikutnya. Dah gitu dikirimnya jam subuh!! Me likey</t>
  </si>
  <si>
    <t>Segeralah hentikan ppkm, Krn SDH jauh dari akal sehat https://t.co/LPPI33uQBC</t>
  </si>
  <si>
    <t>Segeralah hentikan ppkm, Krn SDH jauh dari akal sehat</t>
  </si>
  <si>
    <t>Selamat pagi Indonesia...PPKM mau di perpanjang..oh my God..piye jal . PPKM solusi apa buat mati..??
 #mikir</t>
  </si>
  <si>
    <t>Selamat pagi Indonesia...PPKM mau di perpanjang..oh my God..piye jal . PPKM solusi apa buat mati..??</t>
  </si>
  <si>
    <t>*PPKM Ciderai Kepercayaan Rakyat
 July 13, 20218 min read*
 Rakyat pun bertanya-tanya, bagaimana pelaksanaannya? dalam unggahannya di twitter, Ketua MUI, Cholil Nafis, menjawab bahwa “Masyarakat harus menaati Allah, Rasul-Nya, dan pemerintah” ungkapnya.
 https://t.co/l2EoAG64QN
 @np</t>
  </si>
  <si>
    <t>*PPKM Ciderai Kepercayaan RakyatJuly , min read*Rakyat pun bertanya-tanya, bagaimana pelaksanaannya? dalam unggahannya di twitter, Ketua MUI, Cholil Nafis, menjawab bahwa Masyarakat harus menaati Allah, Rasul-Nya, dan pemerintah ungkapnya.</t>
  </si>
  <si>
    <t>Pemerintah Jamin Tak Akan Biarkan Warga Kelaparan di Tengah PPKM Darurat.
 Bullshit! Hanya retorika.</t>
  </si>
  <si>
    <t>Pemerintah Jamin Tak Akan Biarkan Warga Kelaparan di Tengah PPKM Darurat.Bullshit! Hanya retorika.</t>
  </si>
  <si>
    <t>Kemarin malam, ngerasain ayam KFC paling nggak enak yg pernah gue makan seumur hidup. Saking ga enaknya, baru makan segigit, kerongkongan terasa nutup. Gak bisa nelen.
 Nggak ada yg salah dengan ayamnya. You're doing good, KFC. Aku yg salah. Makan di tengah suramnya PPKM Jakarta.</t>
  </si>
  <si>
    <t>Kemarin malam, ngerasain ayam KFC paling nggak enak yg pernah gue makan seumur hidup. Saking ga enaknya, baru makan segigit, kerongkongan terasa nutup. Gak bisa nelen.Nggak ada yg salah dengan ayamnya. You're doing good, KFC. Aku yg salah. Makan di tengah suramnya PPKM Jakarta.</t>
  </si>
  <si>
    <t>Ppkm diperpanjang kalo sampe gaada dana bantuan buat menengah kebawah awas aje</t>
  </si>
  <si>
    <t>ppkm april 2021 jakarta</t>
  </si>
  <si>
    <t>ppkm april jakarta</t>
  </si>
  <si>
    <t>PPKM diperpanjang 6 minggu?😳</t>
  </si>
  <si>
    <t>PPKM diperpanjang minggu?</t>
  </si>
  <si>
    <t>@NovenNancy 🤣🤣🤣
 Sama dong. Sejak PPKM banyak diem di rumah.
 Blanja pesen via WA ke tukang sayur keliling.
 Makan sering goput jg 😅
 Disini yg isoman pada berjemur di jalanan. Horor... 😫😫</t>
  </si>
  <si>
    <t>Sama dong. Sejak PPKM banyak diem di rumah.Blanja pesen via WA ke tukang sayur keliling.Makan sering goput jg Disini yg isoman pada berjemur di jalanan. Horor...</t>
  </si>
  <si>
    <t>Fungsinya ppkm salah satunya ini. Otw indochina https://t.co/GUWmP9CCey</t>
  </si>
  <si>
    <t>Fungsinya ppkm salah satunya ini. Otw indochina</t>
  </si>
  <si>
    <t>PPKM nambah lagi nih roman nye 
 Makin makin dehhh</t>
  </si>
  <si>
    <t>PPKM nambah lagi nih roman nye Makin makin dehhh</t>
  </si>
  <si>
    <t>Plis let me go back to medannnn
 Gue dah gak sanggup ini klu PPKM 6 Minggu mesti wfh mesti ngurus idul sebagai anak kosan yang selalu sendirian,,,,</t>
  </si>
  <si>
    <t>Plis let me go back to medannnnGue dah gak sanggup ini klu PPKM Minggu mesti wfh mesti ngurus idul sebagai anak kosan yang selalu sendirian,,,,</t>
  </si>
  <si>
    <t>PPKM udah mau 2 Minggu aja pemerintah gak ada bantuan apa2.
 Malah nyuruh rakyat bantu rakyat.
 Apalagi 6 Minggu 😅 https://t.co/wGMvOcwG23</t>
  </si>
  <si>
    <t>PPKM udah mau Minggu aja pemerintah gak ada bantuan apa2.Malah nyuruh rakyat bantu rakyat.Apalagi Minggu</t>
  </si>
  <si>
    <t>Aku gtau bgt kalo ppkm trnyta buat sengsara bgt, ibu aku sampe keliling nyari pinjeman duit cuma untuk beli beras krna drmh bnr² kosong g ada beras sama sekali:))</t>
  </si>
  <si>
    <t>Aku gtau bgt kalo ppkm trnyta buat sengsara bgt, ibu aku sampe keliling nyari pinjeman duit cuma untuk beli beras krna drmh bnr kosong g ada beras sama sekali</t>
  </si>
  <si>
    <t>@PRFMnews Bagaimana ini pemerintah? Bisa jamin kebutuhan warganya gak? Seperti saya contohnya, sudah mah dari bulan Maret 2021 belum dibayar gaji sama perusahaan, ditambah gak bisa kemana-mana karena PPKM. Bisa dipenuhi gk kebutuhan dasar saya sebagai manusia dan kepala keluarga?</t>
  </si>
  <si>
    <t>Bagaimana ini pemerintah? Bisa jamin kebutuhan warganya gak? Seperti saya contohnya, sudah mah dari bulan Maret belum dibayar gaji sama perusahaan, ditambah gak bisa kemana-mana karena PPKM. Bisa dipenuhi gk kebutuhan dasar saya sebagai manusia dan kepala keluarga?</t>
  </si>
  <si>
    <t>PPKM diperpanjang - insentif dicicil 😄 #pemerintah</t>
  </si>
  <si>
    <t>PPKM diperpanjang - insentif dicicil</t>
  </si>
  <si>
    <t>@Pai_C1 Bukankah ppkm darurat masih berlaku? 
 Banyak yg melangar prokes.. 
 🤔 @DivHumas_Polri @ridwankamil @LuhutBinsarFans</t>
  </si>
  <si>
    <t>Bukankah ppkm darurat masih berlaku? Banyak yg melangar prokes..</t>
  </si>
  <si>
    <t>@emerson_yuntho PPKM itu Kuli Dipecat, Pejabat Minta Maaf. https://t.co/V5kVcceVXf</t>
  </si>
  <si>
    <t>PPKM itu Kuli Dipecat, Pejabat Minta Maaf.</t>
  </si>
  <si>
    <t>@mamitequillaa Goooooddaaaaaamnnnn 😭 ppkm ni bgst sih</t>
  </si>
  <si>
    <t>Goooooddaaaaaamnnnn ppkm ni bgst sih</t>
  </si>
  <si>
    <t>@tempodotco Jangan lah.. pak @jokowi 2minggu aja udh hancur ekonomi masa diperpanjang lagi...kebangeten bener yg bikin kebijakan. Coba para pejabat dn ASN gajinya di potong sebagian untuk tanggulangi pandemi..apa mau si?? G mungkin kan..sdgkan PPKM yg kena dampak hnya rakyat kecil..swasta.</t>
  </si>
  <si>
    <t>Jangan lah.. pak minggu aja udh hancur ekonomi masa diperpanjang lagi...kebangeten bener yg bikin kebijakan. Coba para pejabat dn ASN gajinya di potong sebagian untuk tanggulangi pandemi..apa mau si?? G mungkin kan..sdgkan PPKM yg kena dampak hnya rakyat kecil..swasta.</t>
  </si>
  <si>
    <t>@tasyaarga Mau ppkm gak ppkm hidup gue gini2 aja sih paling rebahan lagi:(</t>
  </si>
  <si>
    <t>Mau ppkm gak ppkm hidup gue gini2 aja sih paling rebahan lagi</t>
  </si>
  <si>
    <t>Morning rabu. Masih dengan PPKM dimana yang lain WFH dan saya tetap WFO. https://t.co/USpc19icvn</t>
  </si>
  <si>
    <t>Morning rabu. Masih dengan PPKM dimana yang lain WFH dan saya tetap WFO.</t>
  </si>
  <si>
    <t>@txtdrpemerintah Yaa kalo ada ppkm ya ga terkendali pak wkwkkwwk</t>
  </si>
  <si>
    <t>Yaa kalo ada ppkm ya ga terkendali pak wkwkkwwk</t>
  </si>
  <si>
    <t>jujur aku ga suka liat polisi di jalanan ini. 
 udh trauma awak ditilangnya bbrp kali. 
 apalagi ppkm beserak dijalan itu. 
 jd sebenernya ppkm itu (pande pande kalian muter).</t>
  </si>
  <si>
    <t>jujur aku ga suka liat polisi di jalanan ini. udh trauma awak ditilangnya bbrp kali. apalagi ppkm beserak dijalan itu. jd sebenernya ppkm itu (pande pande kalian muter).</t>
  </si>
  <si>
    <t>sebenernya sistem lockdown, psbb, ppkm, ga cocok diterapin di indo kalo apa aja masih dikorupsi sama pemerintah. negara2 berkembang - maju bisa ngasih bansos sampe 20jt/kepala sedangkan dana bansos disini aja dikorupsi. yg ada mati rakyat gak makan, gak ada penghasilan.</t>
  </si>
  <si>
    <t>sebenernya sistem lockdown, psbb, ppkm, ga cocok diterapin di indo kalo apa aja masih dikorupsi sama pemerintah. negara2 berkembang - maju bisa ngasih bansos sampe jt/kepala sedangkan dana bansos disini aja dikorupsi. yg ada mati rakyat gak makan, gak ada penghasilan.</t>
  </si>
  <si>
    <t>@aik_arif Pilihan yang sulit 
 Cari makan dg melanggar ppkm, takut kena virus lalu mati
 Gak cari makan, taat ppkm,, gak ada yang dimakan , mati juga 
 Perlu lebih arif bagi semua pihak tentang ppkm, prokes, virus dan sebagainya</t>
  </si>
  <si>
    <t>Pilihan yang sulit Cari makan dg melanggar ppkm, takut kena virus lalu matiGak cari makan, taat ppkm,, gak ada yang dimakan , mati juga Perlu lebih arif bagi semua pihak tentang ppkm, prokes, virus dan sebagainya</t>
  </si>
  <si>
    <t>Ppkm 6 minggu rakyat buta huruf :( sekolah prei 2th spp pancet ae mbayar full</t>
  </si>
  <si>
    <t>Ppkm minggu rakyat buta huruf sekolah prei th spp pancet ae mbayar full</t>
  </si>
  <si>
    <t>Pak @jokowi Indonesia dianggap epicenter Pandemi Covid-19 di Asia. Situasi diprediksi dapat terus memburuk, karena PPKM Darurat belum optimal dan terlambat. Fokus pada Pengetatan, Tes-Lacak-Isolasi dan mengajak terus masyarakat. Bukan obat atau terapi yg bisa atasi pandemi. https://t.co/YUfO75GI2v</t>
  </si>
  <si>
    <t>Pak Indonesia dianggap epicenter Pandemi Covid-19 di Asia. Situasi diprediksi dapat terus memburuk, karena PPKM Darurat belum optimal dan terlambat. Fokus pada Pengetatan, Tes-Lacak-Isolasi dan mengajak terus masyarakat. Bukan obat atau terapi yg bisa atasi pandemi.</t>
  </si>
  <si>
    <t>Pak wali bilang, warga seng taat, #Ambon bisa masuk PPKM darurat 😱 https://t.co/ispVqj7ucj</t>
  </si>
  <si>
    <t>Pak wali bilang, warga seng taat, bisa masuk PPKM darurat</t>
  </si>
  <si>
    <t>@kopiganja Di daerah ku udah lamaaaaa berita covid dikaburkan, beritanya jarang2 bgt, soalnya warga menolak ttg berita covid dan tiba2, boom kena ikutan PPKM darurat non Jawa-Bali.</t>
  </si>
  <si>
    <t>Di daerah ku udah lamaaaaa berita covid dikaburkan, beritanya jarang2 bgt, soalnya warga menolak ttg berita covid dan tiba2, boom kena ikutan PPKM darurat non Jawa-Bali.</t>
  </si>
  <si>
    <t>PPKM tanpa tanggung jawab sosial yang cukup, bikin penganut konspirasi makin pede https://t.co/XvaAa5hpaa</t>
  </si>
  <si>
    <t>PPKM tanpa tanggung jawab sosial yang cukup, bikin penganut konspirasi makin pede</t>
  </si>
  <si>
    <t>ini ngeri anjer kalo emang ppkm di per panjang sampe 6 minggu</t>
  </si>
  <si>
    <t>ini ngeri anjer kalo emang ppkm di per panjang sampe minggu</t>
  </si>
  <si>
    <t>@medcom_id maaf wajar dalam kalangan apa ya.... klw sementara PPKM itu jelas² menyumbat matapencarian kalangan menengah kebawah</t>
  </si>
  <si>
    <t>maaf wajar dalam kalangan apa ya.... klw sementara PPKM itu jelas menyumbat matapencarian kalangan menengah kebawah</t>
  </si>
  <si>
    <t>@Pai_C1 Semoga ppkm ga diperpanjang ya pak @jokowi cc: pak @LuhutBPanjaitan @Dennysiregar7</t>
  </si>
  <si>
    <t>Semoga ppkm ga diperpanjang ya pak cc: pak</t>
  </si>
  <si>
    <t>@capparuni Kalau lokdon pemerintah harus bertanggung jawab atas kebutuhan hidup masyarakatnya, karena kaga mau maka diakali lah jadi ppkm 😂 pasal 55 ayat 1 2018</t>
  </si>
  <si>
    <t>Kalau lokdon pemerintah harus bertanggung jawab atas kebutuhan hidup masyarakatnya, karena kaga mau maka diakali lah jadi ppkm pasal ayat</t>
  </si>
  <si>
    <t>dear indonesia,
 cepet sembuh ya bro hehe sebenernya lu tuh udh bnr kok ada psbb,ppkm gw tau lu masih ngertiin kita masih mau kita sehat.Tapi,banyak org yg bingung mau makan apa besok? disini masih banyak yg membutuhkan pekerjaan untuk bertahan hidup.
 Semoga cepet sembuh indonesia</t>
  </si>
  <si>
    <t>dear indonesia,cepet sembuh ya bro hehe sebenernya lu tuh udh bnr kok ada psbb,ppkm gw tau lu masih ngertiin kita masih mau kita sehat.Tapi,banyak org yg bingung mau makan apa besok? disini masih banyak yg membutuhkan pekerjaan untuk bertahan hidup.Semoga cepet sembuh indonesia</t>
  </si>
  <si>
    <t>@adityajuliannn Semangat nabung tapi kerjanya lagi di stop karena ppkm eh jadinya ga bisa nabung nabung 😟</t>
  </si>
  <si>
    <t>Semangat nabung tapi kerjanya lagi di stop karena ppkm eh jadinya ga bisa nabung nabung</t>
  </si>
  <si>
    <t>Wes wes ini PPKM sangat sangat Dzolim Dzolim &amp;amp; Dzolim</t>
  </si>
  <si>
    <t>@midnightfolks_ Hopeless nget kak , apalagi diBali 😊 
 Tingkat Mobilitas yg bener2 sempit. Adanya PPKM semakin sempit. Buka usaha pun juga sapa yg mau beli. 
 Mau makan aja bingung gmna caranya 🤣</t>
  </si>
  <si>
    <t>Hopeless nget kak , apalagi diBali Tingkat Mobilitas yg bener2 sempit. Adanya PPKM semakin sempit. Buka usaha pun juga sapa yg mau beli. Mau makan aja bingung gmna caranya</t>
  </si>
  <si>
    <t>PPKM di perpanjang sampe 6 Minggu. Ya inimah yg kaya makin kaya yg miskin makin miskin</t>
  </si>
  <si>
    <t>PPKM di perpanjang sampe Minggu. Ya inimah yg kaya makin kaya yg miskin makin miskin</t>
  </si>
  <si>
    <t>Dengar-dengar bansos PPKM sebesar 300 - 500rb per kepala keluarga. Ada rencana PPKM diperpanjang hingga 6 minggu.
 500.000 dibagi 42 hari = sekitar Rp 11.900/hari .
 Satu keluarga, paling sedikit 3 orang (ayah, ibu, anak). 11.900 dibagi 3 = Rp 3.900 per kepala.</t>
  </si>
  <si>
    <t>Dengar-dengar bansos PPKM sebesar - rb per kepala keluarga. Ada rencana PPKM diperpanjang hingga minggu.500.000 dibagi hari = sekitar Rp /hari .Satu keluarga, paling sedikit orang (ayah, ibu, anak). dibagi = Rp per kepala.</t>
  </si>
  <si>
    <t>Mari katong sama dukung ppkm untuk cegah covid. https://t.co/NKzQgKkPAM</t>
  </si>
  <si>
    <t>Mari katong sama dukung ppkm untuk cegah covid.</t>
  </si>
  <si>
    <t>PPKM.
 Semua wajib taat. Jika tak taat berhadapan dengan aparat. Namun kebutuhan dasar saja tak dipenuhi. 
 👉 @jokowi 👈 sedang mengadu domba rakyat vs aparat. Benar2 dipertontonkan dengan vulgar dan tanpa malu2. Di sisi lain dia tetap ingin tampil bak dewa nan murah hati.</t>
  </si>
  <si>
    <t>PPKM.Semua wajib taat. Jika tak taat berhadapan dengan aparat. Namun kebutuhan dasar saja tak dipenuhi. sedang mengadu domba rakyat vs aparat. Benar2 dipertontonkan dengan vulgar dan tanpa malu2. Di sisi lain dia tetap ingin tampil bak dewa nan murah hati.</t>
  </si>
  <si>
    <t>"Mau Ngapain Ya hari ini"
 Kataku pada diriku sendiri sewaktu PPKM</t>
  </si>
  <si>
    <t>"Mau Ngapain Ya hari ini"Kataku pada diriku sendiri sewaktu PPKM</t>
  </si>
  <si>
    <t>protaper aku cepet dateng dongggg😭🤲 kalo album gk yakin si wlopun emg sama2 jkt cuma keknya agak lelet gr2 ppkm ini tuh yg sehari bisa jadi dua hari</t>
  </si>
  <si>
    <t>protaper aku cepet dateng dongggg kalo album gk yakin si wlopun emg sama2 jkt cuma keknya agak lelet gr2 ppkm ini tuh yg sehari bisa jadi dua hari</t>
  </si>
  <si>
    <t>Kebijakan terbaru gubernur Anies tentang PPKM terhadap Pedagang Kaki Lima dan UMKM lebih Humanis dan Merakyat... MasyaaAllaah Luar biasa.. AllaahuAkbar 3X https://t.co/DujGGlinUY</t>
  </si>
  <si>
    <t>Kebijakan terbaru gubernur Anies tentang PPKM terhadap Pedagang Kaki Lima dan UMKM lebih Humanis dan Merakyat... MasyaaAllaah Luar biasa.. AllaahuAkbar X</t>
  </si>
  <si>
    <t>heran sama orang yg masih nongki di ppkm gini</t>
  </si>
  <si>
    <t>@KAI121 selamat pagi, selama ppkm darurat penumpang KA jarak jauh wajib menunjukkan kartu vaksin covid-19, sementara ibu hamil kan tidak boleh vaksin apakah bisa menggunakan rapid antigen saja, terimakasih..</t>
  </si>
  <si>
    <t>selamat pagi, selama ppkm darurat penumpang KA jarak jauh wajib menunjukkan kartu vaksin covid-19, sementara ibu hamil kan tidak boleh vaksin apakah bisa menggunakan rapid antigen saja, terimakasih..</t>
  </si>
  <si>
    <t>PPKM ( Pelan Pelan Kita Mati )</t>
  </si>
  <si>
    <t>bosen dirumah doang but lagi ppkm</t>
  </si>
  <si>
    <t>@zarazettirazr @kumparan Kok dia yg bicara PPKM?</t>
  </si>
  <si>
    <t>Kok dia yg bicara PPKM?</t>
  </si>
  <si>
    <t>@rabulbulbul Waaa coba kalo bisa foto di tempatku ya bul. Ku bisa sekalian liat2 tuhh wkwk sayangnya ppkm huftt 🥲</t>
  </si>
  <si>
    <t>Waaa coba kalo bisa foto di tempatku ya bul. Ku bisa sekalian liat2 tuhh wkwk sayangnya ppkm huftt</t>
  </si>
  <si>
    <t>entah kenapa momen PPKM ini jadi ajang buat satpol pp menunjukan ajang kekuasaannya, mungkin bukan satpol pp aja, yang berseragam lain yg kalo tugas harus didokumentasikan 🤷‍♀️ https://t.co/39b0zRt8al</t>
  </si>
  <si>
    <t>entah kenapa momen PPKM ini jadi ajang buat satpol pp menunjukan ajang kekuasaannya, mungkin bukan satpol pp aja, yang berseragam lain yg kalo tugas harus didokumentasikan</t>
  </si>
  <si>
    <t>@Lembayung071 @jokowi Betul bunda..ngga setuju ppkm darurat diperpanjang..</t>
  </si>
  <si>
    <t>Betul bunda..ngga setuju ppkm darurat diperpanjang..</t>
  </si>
  <si>
    <t>@AREAJULID PPKM diperpanjang lagi 6 minggu dikira semua rakyat Indonesia pns apa</t>
  </si>
  <si>
    <t>PPKM diperpanjang lagi minggu dikira semua rakyat Indonesia pns apa</t>
  </si>
  <si>
    <t>Gila yaa ppkm nambah 6minggu keluargaku memenuhi kebutuhan gimana? Mbok yaaa uteknya dipake tangmentang digaji negara kalian ini rakjat jelata macam kami yang kerja jualan malam hari gimana?</t>
  </si>
  <si>
    <t>Gila yaa ppkm nambah minggu keluargaku memenuhi kebutuhan gimana? Mbok yaaa uteknya dipake tangmentang digaji negara kalian ini rakjat jelata macam kami yang kerja jualan malam hari gimana?</t>
  </si>
  <si>
    <t>uda lama gak jadi morning person, makasie ppkm https://t.co/VShOLn2NR3</t>
  </si>
  <si>
    <t>uda lama gak jadi morning person, makasie ppkm</t>
  </si>
  <si>
    <t>DEMI ALLAH PPKM PPKM FAEDAHNYA APA SIH😭😭😭 NYUSAHIN SEGALA-GALA</t>
  </si>
  <si>
    <t>DEMI ALLAH PPKM PPKM FAEDAHNYA APA SIH NYUSAHIN SEGALA-GALA</t>
  </si>
  <si>
    <t>PPKM Darurat Tidak Ngefek @aniesbaswedan @ArizaPatria @BimaAryaS @ridwankamil @ganjarpranowo @BudiGSadikin @drpriono1 @sociotalker @septian @mharisman @ismailfahmi @aik_arif @LaporCovid @ainunnajib @FaisalBasri @jokowi @blogdokter https://t.co/6M7x4DPqAm</t>
  </si>
  <si>
    <t>PPKM Darurat Tidak Ngefek</t>
  </si>
  <si>
    <t>@AzzamIzzulhaq @Puspen_TNI apa begini juknis/juklak PPKM..sama WNA ga seperti ini..tlg direspon</t>
  </si>
  <si>
    <t>apa begini juknis/juklak PPKM..sama WNA ga seperti ini..tlg direspon</t>
  </si>
  <si>
    <t>@detikcom PPKM udah, terus kata menteri yang onoh terkendali. tapi kasusnya makin tinggi.</t>
  </si>
  <si>
    <t>PPKM udah, terus kata menteri yang onoh terkendali. tapi kasusnya makin tinggi.</t>
  </si>
  <si>
    <t>@gugusan_kata Hehehe,
 Efek PPKM mas
 😂😂😂</t>
  </si>
  <si>
    <t>Hehehe,Efek PPKM mas</t>
  </si>
  <si>
    <t>ppkm, kelasku jd mundur 2 minggu :(</t>
  </si>
  <si>
    <t>ppkm, kelasku jd mundur minggu</t>
  </si>
  <si>
    <t>PPKM ( Pernah Percaya Kemudian Menyesal)</t>
  </si>
  <si>
    <t>haaa ppkm diperpanjang ya?</t>
  </si>
  <si>
    <t>ini karna ppkm kah makanya ga gerakgerak:( https://t.co/9YwQKwlVH8</t>
  </si>
  <si>
    <t>ini karna ppkm kah makanya ga gerakgerak</t>
  </si>
  <si>
    <t>PPKM + hujan deras diikuti buanjirrr. Perpaduan yang mengsedih menghadeh 🥲</t>
  </si>
  <si>
    <t>PPKM + hujan deras diikuti buanjirrr. Perpaduan yang mengsedih menghadeh</t>
  </si>
  <si>
    <t>Makin stress g sih ini kalo sampe ppkm di perpanjang</t>
  </si>
  <si>
    <t>Mau refreshing tapi mlah PPKM....</t>
  </si>
  <si>
    <t>@Udin70020291 @MiGoreeeng @ThoriqReynaldy @willdahamid kenapa karantina gak dipakai tapi pakai kata PSBB? untuk menghindari kewajiban menghidupi rakyat selama karantina. Kenapa PSBB diganti PPKM? karena ada banyak bansos saat PSBB, sehingga PPKM digunakan untuk menghindari permintaan bansos sebanyak saat PSBB.. Sok tahu saya aja ini</t>
  </si>
  <si>
    <t>kenapa karantina gak dipakai tapi pakai kata PSBB? untuk menghindari kewajiban menghidupi rakyat selama karantina. Kenapa PSBB diganti PPKM? karena ada banyak bansos saat PSBB, sehingga PPKM digunakan untuk menghindari permintaan bansos sebanyak saat PSBB.. Sok tahu saya aja ini</t>
  </si>
  <si>
    <t>Gegara pada gak taat PROKES...
 Berlaku lah PPKM...
 Gegara berlaku PPKM...
 tumbang lah periuk di dapur....
 ...Maka nya jang seenak UDEL NYA SENDIRI...</t>
  </si>
  <si>
    <t>Gegara pada gak taat PROKES...Berlaku lah PPKM...Gegara berlaku PPKM...tumbang lah periuk di dapur.......Maka nya jang seenak UDEL NYA SENDIRI...</t>
  </si>
  <si>
    <t>Dear Pak @jokowi Tolong pemberitahuan aturan PPKM agak di perjelas. Kalau buat yg jualan jgn ditutup cepat2 kasihan UKM yg buka sore. Take away dan jaga jarak solusinya. Kasihan saya lihat mereka menjerit. Saya yakin bapak akan cari solusinya dan bapak lebih mengerti dr pd saya.</t>
  </si>
  <si>
    <t>Dear Pak Tolong pemberitahuan aturan PPKM agak di perjelas. Kalau buat yg jualan jgn ditutup cepat2 kasihan UKM yg buka sore. Take away dan jaga jarak solusinya. Kasihan saya lihat mereka menjerit. Saya yakin bapak akan cari solusinya dan bapak lebih mengerti dr pd saya.</t>
  </si>
  <si>
    <t>@MbahDinNU Aminn Yai ...
 Lahir batin sehat
 Dompet nya yg sakit sdh q minggu gak kerja kena PPKM... hehe...
 Msh 1 minggu lagi moga bisa makan...🙏😃🙏... maaf... malah curhat.</t>
  </si>
  <si>
    <t>Aminn Yai ...Lahir batin sehatDompet nya yg sakit sdh q minggu gak kerja kena PPKM... hehe...Msh minggu lagi moga bisa makan...... maaf... malah curhat.</t>
  </si>
  <si>
    <t>@maspiyuaja Saya orang kecil menjerit, semakin diperpanjang PPKM, semakin suram periuk nasiku, tapi mungkin bagi mereka semakin panjang PPKM semakin panjang nikmat menunggu</t>
  </si>
  <si>
    <t>Saya orang kecil menjerit, semakin diperpanjang PPKM, semakin suram periuk nasiku, tapi mungkin bagi mereka semakin panjang PPKM semakin panjang nikmat menunggu</t>
  </si>
  <si>
    <t>ppkm ini jalan ditutup gitu ya trs gaboleh lewat</t>
  </si>
  <si>
    <t>@jokowi Pak Presiden... Usul saja, agar Pak LBP mendengarkan juga pendapat para ahli dan masyarakat. Ini rakyat sudah kleleran akibat PPKM. Sudah banyak masukan dan usulan dari para pemerhati dan ahli. Solusinya kok mbagi beras, jangan sampai dikorupsi lagi ya Pak..?</t>
  </si>
  <si>
    <t>Pak Presiden... Usul saja, agar Pak LBP mendengarkan juga pendapat para ahli dan masyarakat. Ini rakyat sudah kleleran akibat PPKM. Sudah banyak masukan dan usulan dari para pemerhati dan ahli. Solusinya kok mbagi beras, jangan sampai dikorupsi lagi ya Pak..?</t>
  </si>
  <si>
    <t>@p4ncrama Enak banget PPKM nya ketat, kalau aku pribadi bisa sekalian istirahat, tapi disini masih b ajaa, kurang ketat ;(
 Semangatt yaa puasanyaa ˘ ³˘♥</t>
  </si>
  <si>
    <t>Enak banget PPKM nya ketat, kalau aku pribadi bisa sekalian istirahat, tapi disini masih b ajaa, kurang ketat emangatt yaa puasanyaa</t>
  </si>
  <si>
    <t>PPKM malah menyebabkan kerumunan gini. Siapa yg goblog? https://t.co/xO1SaqVmun</t>
  </si>
  <si>
    <t>PPKM malah menyebabkan kerumunan gini. Siapa yg goblog?</t>
  </si>
  <si>
    <t>China invasi ke Indonesia disaat PPKM diberlakukan bersekala NASIONAL? 
 Sungguh sangat membagongkan....</t>
  </si>
  <si>
    <t>China invasi ke Indonesia disaat PPKM diberlakukan bersekala NASIONAL? Sungguh sangat membagongkan....</t>
  </si>
  <si>
    <t>@nndylann Ntar abis ppkm wkwk
 Ditunggu aja</t>
  </si>
  <si>
    <t>Ntar abis ppkm wkwkDitunggu aja</t>
  </si>
  <si>
    <t>Cegah Covid-19 dengan vaksinasi dan disiplin prokes
 PPKM Rakyat Sehat https://t.co/nvpIj55OjZ</t>
  </si>
  <si>
    <t>Cegah Covid-19 dengan vaksinasi dan disiplin prokesPPKM Rakyat Sehat</t>
  </si>
  <si>
    <t>@alisyarief PPKM: Pendangkalan Pemikiran Kepada Masyarakat
 PPKM: Penanganan Pandemi Karut Marut,
 PPKM: Penambah Penderitaan Kepada Masyarakat,</t>
  </si>
  <si>
    <t>PPKM: Pendangkalan Pemikiran Kepada MasyarakatPPKM: Penanganan Pandemi Karut Marut,PPKM: Penambah Penderitaan Kepada Masyarakat,</t>
  </si>
  <si>
    <t>PPKM yang pandang bulu https://t.co/1YKJ1lhW6M</t>
  </si>
  <si>
    <t>PPKM yang pandang bulu</t>
  </si>
  <si>
    <t>@SaveMoslem1 @Puspen_TNI jangan kau jadikan TNI alat kekuasaan
 Lock down Psbb ppkm apalah itu namanya
 Ada aturan dan undang-undang
 Jangan cuma menegakkan aturan 
 Ada kewajiban yg harus kalian berikan juga</t>
  </si>
  <si>
    <t>jangan kau jadikan TNI alat kekuasaanLock down Psbb ppkm apalah itu namanyaAda aturan dan undang-undangJangan cuma menegakkan aturan Ada kewajiban yg harus kalian berikan juga</t>
  </si>
  <si>
    <t>@Ronnie_Rusli @KemenkesRI PPKM berakhir tgl 20 Juli. Kalau diperpanjang saatnya ganti komandan, carilah yg lebih mampu dan mengerti masalah pandemi dan penanganannya yg ilmiah.</t>
  </si>
  <si>
    <t>PPKM berakhir tgl Juli. Kalau diperpanjang saatnya ganti komandan, carilah yg lebih mampu dan mengerti masalah pandemi dan penanganannya yg ilmiah.</t>
  </si>
  <si>
    <t>@kumparan Mana yg teriak2 pendukung lockdown? Di dalam PPKM hrs ada jg vaksinasi yg masif, hrs door to door, jd yg ga mau vaksin dipaksa</t>
  </si>
  <si>
    <t>Mana yg teriak2 pendukung lockdown? Di dalam PPKM hrs ada jg vaksinasi yg masif, hrs door to door, jd yg ga mau vaksin dipaksa</t>
  </si>
  <si>
    <t>ppkm kapan selesai 🥺</t>
  </si>
  <si>
    <t>ppkm kapan selesai</t>
  </si>
  <si>
    <t>Sisi positif ppkm,aku jadi tau jalan tikus di daerahku🤪</t>
  </si>
  <si>
    <t>Sisi positif ppkm,aku jadi tau jalan tikus di daerahku</t>
  </si>
  <si>
    <t>@salsabilhanafi Nggaaa, selama ppkm aja kayanyaa</t>
  </si>
  <si>
    <t>Nggaaa, selama ppkm aja kayanyaa</t>
  </si>
  <si>
    <t>@VIVAcoid Dari awal pandemi di Indonesia, pemerintah seperti lebih berat ke ekonomi daripada kesehatan, skrng setelah ppkm darurat kelihatan jelas juga rakyatnya lebih berat ekonomi daripada kesehatan...</t>
  </si>
  <si>
    <t>Dari awal pandemi di Indonesia, pemerintah seperti lebih berat ke ekonomi daripada kesehatan, skrng setelah ppkm darurat kelihatan jelas juga rakyatnya lebih berat ekonomi daripada kesehatan...</t>
  </si>
  <si>
    <t>kalo gaada ppkm jam segini dh siap2 berangkat magang huftt kangen banget :(((((</t>
  </si>
  <si>
    <t>kalo gaada ppkm jam segini dh siap2 berangkat magang huftt kangen banget</t>
  </si>
  <si>
    <t>Katanya ppkm untuk menekan angka covid, kita harus dirumah aja. toko2 makanan dipaksa tutup. Tapi kok liat story artis, masih bisa keluar negeri ya</t>
  </si>
  <si>
    <t>@Kanseulir Arti nya kebijakan PPKM dalurat itu membuka pintu untuk penjajah masuk ke Negara ini...</t>
  </si>
  <si>
    <t>Arti nya kebijakan PPKM dalurat itu membuka pintu untuk penjajah masuk ke Negara ini...</t>
  </si>
  <si>
    <t>rencana ppkm ditambah jadi 6 minggu, wtf man, i mean disaat keadaan kaya gini jualan aja gaboleh apalagi sampe 6 minggu, thats so fucking long dude, rezeki pedagang dari mana sat, mereka butuh bayar ini itu, kebutuhan mereka ga sedikit</t>
  </si>
  <si>
    <t>rencana ppkm ditambah jadi minggu, wtf man, i mean disaat keadaan kaya gini jualan aja gaboleh apalagi sampe minggu, thats so fucking long dude, rezeki pedagang dari mana sat, mereka butuh bayar ini itu, kebutuhan mereka ga sedikit</t>
  </si>
  <si>
    <t>PPKM ditambah lagi? 
 Dikira semua rakyat umbi umbian kali ya</t>
  </si>
  <si>
    <t>PPKM ditambah lagi? Dikira semua rakyat umbi umbian kali ya</t>
  </si>
  <si>
    <t>Yuu tetap menyerah dan jangan semangat yaa. 
 Udah hari rabu, bentar lg weekend tapi masih ppkm jadi ga bisa kemana mana yaa @ Puncak Gunung Sagara https://t.co/UZDvJQg87h</t>
  </si>
  <si>
    <t>Yuu tetap menyerah dan jangan semangat yaa. Udah hari rabu, bentar lg weekend tapi masih ppkm jadi ga bisa kemana mana yaa Puncak Gunung Sagara</t>
  </si>
  <si>
    <t>Sektor mana lagi yang bakalan ambruk bahkan gulung tikar ketika PPKM ini jalan? Kita lihat 6 minggu kedepan https://t.co/llFsM8HVGa</t>
  </si>
  <si>
    <t>Sektor mana lagi yang bakalan ambruk bahkan gulung tikar ketika PPKM ini jalan? Kita lihat minggu kedepan</t>
  </si>
  <si>
    <t>Yg betul ajalah masa ppkm mau diperpanjang 6minggu? Amboi amboi🥺 gabetah lah aku, bener2 ngga betah disini🥺</t>
  </si>
  <si>
    <t>Yg betul ajalah masa ppkm mau diperpanjang minggu? Amboi amboi gabetah lah aku, bener2 ngga betah disini</t>
  </si>
  <si>
    <t>di daerahku ppkm,jadi ga bisa
 puasanya mulai kemarin si,ini hari ke dua,sisa 4 lagi🥰 https://t.co/lYktYglwZI</t>
  </si>
  <si>
    <t>di daerahku ppkm,jadi ga bisapuasanya mulai kemarin si,ini hari ke dua,sisa lagi</t>
  </si>
  <si>
    <t>Innalillahi.. diduga pemilik warung melanggar jam operasional PPKM sampai diseret diangkat tentara.. ini pelanggaran, harusnya didenda saja.. kenapa TNI sekarang jadi begini?? #PemilikWarungDiangkutTNI Share https://t.co/UUjKL2bTwQ</t>
  </si>
  <si>
    <t>Innalillahi.. diduga pemilik warung melanggar jam operasional PPKM sampai diseret diangkat tentara.. ini pelanggaran, harusnya didenda saja.. kenapa TNI sekarang jadi begini?? Share</t>
  </si>
  <si>
    <t>@kejuedan @aik_arif bahan membaca nder,
 mulai dari namanya PSBB sampai PPKM pun saya tidak tahu apakah sudah dijalankan atau belum UU ini.
 ini pun bunyi nya "karantina wilayah" artinya bukan hanya perorangan saja, bahkan sampai hewan² ternak pun mestinya dijamin 🤷🏻‍♂️ . https://t.co/MiZryBRIoO</t>
  </si>
  <si>
    <t>bahan membaca nder,mulai dari namanya PSBB sampai PPKM pun saya tidak tahu apakah sudah dijalankan atau belum UU ini.ini pun bunyi nya "karantina wilayah" artinya bukan hanya perorangan saja, bahkan sampai hewan ternak pun mestinya dijamin .</t>
  </si>
  <si>
    <t>adanya PPKM masyarakat jenuh banget...</t>
  </si>
  <si>
    <t>PPKM mau diperpanjang ya allah jangan lah kasian yg susah makin susah 😭</t>
  </si>
  <si>
    <t>PPKM mau diperpanjang ya allah jangan lah kasian yg susah makin susah</t>
  </si>
  <si>
    <t>Ketika sabda presiden menyatakan bahwa rakyat tdk boleh kesusahan karna ppkm, tapi bukti otentik dilapangan banyak rakyat yg mengeluh kesusahan.
 pertanyaannya, seberapa kuat dan berpengaruh sabda pemimpin tsb thd bawahannya serta warga negaranya ?</t>
  </si>
  <si>
    <t>Ketika sabda presiden menyatakan bahwa rakyat tdk boleh kesusahan karna ppkm, tapi bukti otentik dilapangan banyak rakyat yg mengeluh kesusahan.pertanyaannya, seberapa kuat dan berpengaruh sabda pemimpin tsb thd bawahannya serta warga negaranya ?</t>
  </si>
  <si>
    <t>💙 Guys, aku capek banget ga bisa kerja selama ppķm ini dan ga ada penghasilan. Semangatin dan doain aku supaya dapet kerjaan baru ya. Makasih semua</t>
  </si>
  <si>
    <t>Guys, aku capek banget ga bisa kerja selama ppm ini dan ga ada penghasilan. Semangatin dan doain aku supaya dapet kerjaan baru ya. Makasih semua</t>
  </si>
  <si>
    <t>UU 6/2018 ini menarik. Dipake buat dasar penindakan/sanksi pas PPKM Darurat, tapi sebagian pasalnya nggak/belum dipake pas PPKM Darurat 😶 https://t.co/VPAT2VEwK3</t>
  </si>
  <si>
    <t>UU /2018 ini menarik. Dipake buat dasar penindakan/sanksi pas PPKM Darurat, tapi sebagian pasalnya nggak/belum dipake pas PPKM Darurat</t>
  </si>
  <si>
    <t>@ardi_tama1 @tirta_hudhi Keren ini dapur umum untuk warga, tp ada satu hal selain makan yg harus di penuhi sebagian masyarakat terdampak ppkm. Kewajiban bayar angsuran, bayar listrik, bayar pajak kendaraan dan kewajiban lain</t>
  </si>
  <si>
    <t>Keren ini dapur umum untuk warga, tp ada satu hal selain makan yg harus di penuhi sebagian masyarakat terdampak ppkm. Kewajiban bayar angsuran, bayar listrik, bayar pajak kendaraan dan kewajiban lain</t>
  </si>
  <si>
    <t>@CNNIndonesia ppkm 2,5 minggu aja buat nutup operasional udah Alhamdulillah. Kalo ditambah 6 minggu kami agak keberatan. Karena ternyata dampak buat penurunan angka kasus juga kurang efektif dan ekonomi makin sereet.</t>
  </si>
  <si>
    <t>ppkm minggu aja buat nutup operasional udah Alhamdulillah. Kalo ditambah minggu kami agak keberatan. Karena ternyata dampak buat penurunan angka kasus juga kurang efektif dan ekonomi makin sereet.</t>
  </si>
  <si>
    <t>ya allah ppkm jadi diperpanjang kah? ww mau beli laptop ya allah nunggu ppkm gue gabisa beli laptop😭</t>
  </si>
  <si>
    <t>ya allah ppkm jadi diperpanjang kah? ww mau beli laptop ya allah nunggu ppkm gue gabisa beli laptop</t>
  </si>
  <si>
    <t>Cara lihai menghindari pemberian kebutuhan pokok pada rakyatnya selama menerapkan lackdown , maka pemerintah pakai istilah baru yang tidak ada dalam UU kekarantinaan dengan nama PPKM , tapi pasal yg di gunakan tetap yg ada di UU kekarantinaan ......
 #SifatLiciknyaMasihAda</t>
  </si>
  <si>
    <t>Cara lihai menghindari pemberian kebutuhan pokok pada rakyatnya selama menerapkan lackdown , maka pemerintah pakai istilah baru yang tidak ada dalam UU kekarantinaan dengan nama PPKM , tapi pasal yg di gunakan tetap yg ada di UU kekarantinaan ......</t>
  </si>
  <si>
    <t>I mean, sekarang ppkm. Banyak yang sedang susah, tidak bisa mencari nafkah, mobilitas dibatasi dll.</t>
  </si>
  <si>
    <t>@barangrusakk @Candra_Nanta @laparr247 @toropedia Maap juga nih bang. Menurut gue terlalu besar dampaknya kalo ppkm dilanjutin. Apalagi katanya tol di jateng bakal ditutup. Yg jelas ya harga barang2 bakal up. Warga cuma mau terjamin makannya aja kok. Klo pemerintah bisa jamin itu rasanya mau ppkm setahun juga gamasalah.</t>
  </si>
  <si>
    <t>Maap juga nih bang. Menurut gue terlalu besar dampaknya kalo ppkm dilanjutin. Apalagi katanya tol di jateng bakal ditutup. Yg jelas ya harga barang2 bakal up. Warga cuma mau terjamin makannya aja kok. Klo pemerintah bisa jamin itu rasanya mau ppkm setahun juga gamasalah.</t>
  </si>
  <si>
    <t>masa org ppkm gini masuk kerja sih? mau gue laporin tuh atasan</t>
  </si>
  <si>
    <t>@cascaramcchiato Ayo saaa, gak ngopi2 sampe ppkm wes berjilid jilid 🥺🥺</t>
  </si>
  <si>
    <t>Ayo saaa, gak ngopi2 sampe ppkm wes berjilid jilid</t>
  </si>
  <si>
    <t>@CNNIndonesia Di daerah2 digaungkan ppkm tanpa upload copet, eh di media digencarin, inilah indonesiaku</t>
  </si>
  <si>
    <t>Di daerah2 digaungkan ppkm tanpa upload copet, eh di media digencarin, inilah indonesiaku</t>
  </si>
  <si>
    <t>@tirta_hudhi Kl dr pemerintah ada solusi real dengan aturan PPKM,saya ga apa apa dilanjutkan,tp yg saya rasakan ga ada.Kita ga cuma kebutuhan makan,tp ada cicilan dan bayar listrik,dan itu harus dibayar,gmn solusinya,,,</t>
  </si>
  <si>
    <t>Kl dr pemerintah ada solusi real dengan aturan PPKM,saya ga apa apa dilanjutkan,tp yg saya rasakan ga ada.Kita ga cuma kebutuhan makan,tp ada cicilan dan bayar listrik,dan itu harus dibayar,gmn solusinya,,,</t>
  </si>
  <si>
    <t>Ini serius PPKM bakal diperpanjang?</t>
  </si>
  <si>
    <t>PPKM (Program Percepatan Kemiskinan Masyarakat)👊</t>
  </si>
  <si>
    <t>PPKM (Program Percepatan Kemiskinan Masyarakat)</t>
  </si>
  <si>
    <t>Ppkm diperpanjang, balik bikin dalgona lagi ga si?😭</t>
  </si>
  <si>
    <t>Ppkm diperpanjang, balik bikin dalgona lagi ga si?</t>
  </si>
  <si>
    <t>@KompasTV Sangat "Memprihatinkan" dan dpt menjadi Bom Waktu, jk PPKM di perpanjang. Butuh solusi lain, krn pd umum nya, kurang Nya kualitas Disiplin n mental Nasionalisme. Perketat n Pertegas Pengawasan langsung ProKes di semua lingkungan.</t>
  </si>
  <si>
    <t>Sangat "Memprihatinkan" dan dpt menjadi Bom Waktu, jk PPKM di perpanjang. Butuh solusi lain, krn pd umum nya, kurang Nya kualitas Disiplin n mental Nasionalisme. Perketat n Pertegas Pengawasan langsung ProKes di semua lingkungan.</t>
  </si>
  <si>
    <t>Kataku sekalian aja lock down dah daripada ppkm diperpanjang seperti wacana tsb
 Ayo dong katanya peduli ama usaha rakyat tapi kok ppkm mau diperpanjang?
 Ya udah lock down aja,bansosnya cairin semua. Penuhi kebutuhan rakyat</t>
  </si>
  <si>
    <t>Kataku sekalian aja lock down dah daripada ppkm diperpanjang seperti wacana tsbAyo dong katanya peduli ama usaha rakyat tapi kok ppkm mau diperpanjang?Ya udah lock down aja,bansosnya cairin semua. Penuhi kebutuhan rakyat</t>
  </si>
  <si>
    <t>@aik_arif Apakah di p.jawa benar2 menerapkan ppkm? Apakah masyarakat nya pakai masker?</t>
  </si>
  <si>
    <t>Apakah di p.jawa benar2 menerapkan ppkm? Apakah masyarakat nya pakai masker?</t>
  </si>
  <si>
    <t>ini yang selalu dibahas ayah sama mama, ppkm begini dampaknya besar banget buat orang yang jualan apalagi kalo orangnya berpenghasilan cuma dari dagangannya itu https://t.co/VfOzmIElLf</t>
  </si>
  <si>
    <t>ini yang selalu dibahas ayah sama mama, ppkm begini dampaknya besar banget buat orang yang jualan apalagi kalo orangnya berpenghasilan cuma dari dagangannya itu</t>
  </si>
  <si>
    <t>PPKM Tebang Pilih.Ternyata di pulau REKLAMASI tidak ada PPKM dan didaerah² lain yg dihuni oleh Cina².Semua Resto tempat hiburan menyala lampunya s/d pagi, terus buka bahkan boleh 24 jam....!!!
 dipinggir pantai bila malming pada dengan santainya bersantai. Gak bakal denda/semprot https://t.co/hVMU0CLyZm</t>
  </si>
  <si>
    <t>PPKM Tebang Pilih.Ternyata di pulau REKLAMASI tidak ada PPKM dan didaerah lain yg dihuni oleh Cina.Semua Resto tempat hiburan menyala lampunya s/d pagi, terus buka bahkan boleh jam....!!!dipinggir pantai bila malming pada dengan santainya bersantai. Gak bakal denda/semprot</t>
  </si>
  <si>
    <t>PPKM akan berhasil apabila lembaga adat dan RT/RW di libatkan</t>
  </si>
  <si>
    <t>@opelFNZ gaskeun abis ppkm @opelFNZ @hynbn03</t>
  </si>
  <si>
    <t>gaskeun abis ppkm</t>
  </si>
  <si>
    <t>@kumparan LUHUT ini BACOTNYA MENCLA-MENCLE, dia sendiri yg bilang semua TERKENDALI tapi mau memperpanjang PPKM DARURAT....TAEK !</t>
  </si>
  <si>
    <t>LUHUT ini BACOTNYA MENCLA-MENCLE, dia sendiri yg bilang semua TERKENDALI tapi mau memperpanjang PPKM DARURAT....TAEK !</t>
  </si>
  <si>
    <t>@Sendal_39 @vettolcungkring Lagi PPKM 🤣</t>
  </si>
  <si>
    <t>@GoldMustika @Dennysiregar7 @jokowi Covid TDK PEDULI ada ato tdk ada PPKM tp Pemerintah PEDULI DGN RAKYATNYA &amp;amp; PPKM UPAYA MEMINIMALISIR AGAR MASYARAKAT TDK TERKENA COVID. Semua cara menanngulani covid pasti berdampak pd ekonomi negara &amp;amp; bngsanya. Masih terapkan PPKM aja sdh nyalahkan Pemerintah, cb lok bnr2 lokdown</t>
  </si>
  <si>
    <t>Covid TDK PEDULI ada ato tdk ada PPKM tp Pemerintah PEDULI DGN RAKYATNYA &amp;amp; PPKM UPAYA MEMINIMALISIR AGAR MASYARAKAT TDK TERKENA COVID. Semua cara menanngulani covid pasti berdampak pd ekonomi negara &amp;amp; bngsanya. Masih terapkan PPKM aja sdh nyalahkan Pemerintah, cb lok bnr2 lokdown</t>
  </si>
  <si>
    <t>PPKM
 Peraturan Pemerintah Kaya Montol https://t.co/MjLN4dRYrn</t>
  </si>
  <si>
    <t>PPKMPeraturan Pemerintah Kaya Montol</t>
  </si>
  <si>
    <t>@detikcom Klu terkendali kenapa kasus nya bertambah terus dan rencana PPKM di perpanjang.. 
 Rakyat kecil yg di bawah hanya suruh diam di rumah tanpa ada bantuan pemerintah.. 
 Tinggal tunggu mati berlahan lahan.</t>
  </si>
  <si>
    <t>Klu terkendali kenapa kasus nya bertambah terus dan rencana PPKM di perpanjang.. Rakyat kecil yg di bawah hanya suruh diam di rumah tanpa ada bantuan pemerintah.. Tinggal tunggu mati berlahan lahan.</t>
  </si>
  <si>
    <t>Kan ppkm.pelan pelan kita makin miskin https://t.co/2GV7IYe6Lg</t>
  </si>
  <si>
    <t>Kan ppkm.pelan pelan kita makin miskin</t>
  </si>
  <si>
    <t>@bertanyarl Semangat ya nder, semoga setelah ppkm jualannya laris</t>
  </si>
  <si>
    <t>Semangat ya nder, semoga setelah ppkm jualannya laris</t>
  </si>
  <si>
    <t>Denger2 mau ada rencana PPKM 6 minggu? lama2 umkm kolaps, 2 minggu PPKM aja keuangan bisnis udah kacau banget. 
 Pemerintah ini bukan kelewat bodoh, tapi emang jahat aja sih udah fix. 
 Bansos buat lockdown aja ga dikasih, tapi bansos untuk dikorupsi selalu ada, ga habis-habis 👎</t>
  </si>
  <si>
    <t>Denger2 mau ada rencana PPKM minggu? lama2 umkm kolaps, minggu PPKM aja keuangan bisnis udah kacau banget. Pemerintah ini bukan kelewat bodoh, tapi emang jahat aja sih udah fix. Bansos buat lockdown aja ga dikasih, tapi bansos untuk dikorupsi selalu ada, ga habis-habis</t>
  </si>
  <si>
    <t>@IntanAy03304222 PPKM
 Pagi pagi kok menggairahkan</t>
  </si>
  <si>
    <t>PPKMPagi pagi kok menggairahkan</t>
  </si>
  <si>
    <t>Dari banyak Artikel dan Tanggapan masyarakat yang saya lihat dan baca, Sudah banyak yang tidak setuju dengan PPKM, menginformasikan Saja Apabila nanti PPKM memang di perpanjang itu bukan Murni Keinginan dan Kemauan Rakyat.
 #smartpeople
 #therich
 #bachelordegree 
 #Diplomadegree</t>
  </si>
  <si>
    <t>Dari banyak Artikel dan Tanggapan masyarakat yang saya lihat dan baca, Sudah banyak yang tidak setuju dengan PPKM, menginformasikan Saja Apabila nanti PPKM memang di perpanjang itu bukan Murni Keinginan dan Kemauan Rakyat.</t>
  </si>
  <si>
    <t>@shitlicious Obvitnas yang ada di Jawa Bali PPKM gak?</t>
  </si>
  <si>
    <t>Obvitnas yang ada di Jawa Bali PPKM gak?</t>
  </si>
  <si>
    <t>PPKM tu berat, taruhannya hidup para nakes atau hidup masyarakat yang kekurangan 😭
 Kenapa sih udah gini masih aja ada yg korupsi, padahal seenggaknya uang miliaran bisa buat ngasih bantuan walaupun jumlahnya ga besar buat dibagi ke jutaan orang</t>
  </si>
  <si>
    <t>PPKM tu berat, taruhannya hidup para nakes atau hidup masyarakat yang kekurangan Kenapa sih udah gini masih aja ada yg korupsi, padahal seenggaknya uang miliaran bisa buat ngasih bantuan walaupun jumlahnya ga besar buat dibagi ke jutaan orang</t>
  </si>
  <si>
    <t>@GibraltarNc Efek PPKM tanpa subsidi kali 😃</t>
  </si>
  <si>
    <t>Efek PPKM tanpa subsidi kali</t>
  </si>
  <si>
    <t>Kapan PPKM ini akan berakhir? Aku ws jadi pengangguran cuy...., tiang seng ngelah pes, utang tambah banyak gara2 pandemi😅😅😅
 #PPKMDarurat 
 #bali https://t.co/0Rmq6lXRRp</t>
  </si>
  <si>
    <t>Kapan PPKM ini akan berakhir? Aku ws jadi pengangguran cuy...., tiang seng ngelah pes, utang tambah banyak gara2 pandemi</t>
  </si>
  <si>
    <t>ppkm bangsad</t>
  </si>
  <si>
    <t>@FerdinandHaean3 Melihat fakta di lapangan, koordinasi dan arahan dalam PPKM darurat ini banyak yg keliru, tindakan kasar, sewenang2, dan arogansi kerap menjadi pemicu amarah rakyat.
 Harus diperbaiki ini Pak @mohmahfudmd</t>
  </si>
  <si>
    <t>Melihat fakta di lapangan, koordinasi dan arahan dalam PPKM darurat ini banyak yg keliru, tindakan kasar, sewenang2, dan arogansi kerap menjadi pemicu amarah rakyat.Harus diperbaiki ini Pak</t>
  </si>
  <si>
    <t>@sosmedkeras Kenapa jadi nya benturin si kaya dn si miskin? Emang pemgusaha terima kalau ada ppkm,? 
 Yg slh program pemerintah.. Yg gelud rakyat 
 Syuuu</t>
  </si>
  <si>
    <t>Kenapa jadi nya benturin si kaya dn si miskin? Emang pemgusaha terima kalau ada ppkm,? Yg slh program pemerintah.. Yg gelud rakyat Syuuu</t>
  </si>
  <si>
    <t>@VICE_ID Diam di rumah gak usah kemana-mana lagi PPKM Darurat</t>
  </si>
  <si>
    <t>Diam di rumah gak usah kemana-mana lagi PPKM Darurat</t>
  </si>
  <si>
    <t>Tetap Jaga Protokol kesehatan saat PPKM darurat dan waspada terhadap kelompok yg gemar provikasi tekait Pandemi Covid 19.
 #WaspadaProvokasiSaatPandemi https://t.co/5ECaEsAj0y</t>
  </si>
  <si>
    <t>Tetap Jaga Protokol kesehatan saat PPKM darurat dan waspada terhadap kelompok yg gemar provikasi tekait Pandemi Covid .</t>
  </si>
  <si>
    <t>Pagipagi udah ada yg bikin kesel aja hfft liat sg temen nongkrong di cafe haha hihi ga penting ga pake masker padahal lg ppkm hhfft</t>
  </si>
  <si>
    <t>hi guys apa kabar kalian semua? semoga semuanya dalam keadaan baik" saja yahhh. seperti yg sudah kita lakukan saat ini kita semua lagi dalam masa PPKM Darurat Jawa Bali yang sudah dan akan berlangsung dari tgl 3-20 Juli 2021.</t>
  </si>
  <si>
    <t>hi guys apa kabar kalian semua? semoga semuanya dalam keadaan baik" saja yahhh. seperti yg sudah kita lakukan saat ini kita semua lagi dalam masa PPKM Darurat Jawa Bali yang sudah dan akan berlangsung dari tgl $NUMBER$ Juli .</t>
  </si>
  <si>
    <t>Ppkm. Pelan-pelan kita menggendut. 😪</t>
  </si>
  <si>
    <t>Ppkm. Pelan-pelan kita menggendut.</t>
  </si>
  <si>
    <t>PPKM
 "Perut Paha Kaki Melebar"</t>
  </si>
  <si>
    <t>PPKM"Perut Paha Kaki Melebar"</t>
  </si>
  <si>
    <t>@SINDOnews Pemerintah jangan melululu memikirkan PPKM "hukum denda pelarang" PIKIRIN ISI PERUT RAKYAT PEDAGAN USAHAWAN MANDIRI... sekali subsidi malah ke yg dah dapat GAJIH RUTIN... Otak jalanin..</t>
  </si>
  <si>
    <t>Pemerintah jangan melululu memikirkan PPKM "hukum denda pelarang" PIKIRIN ISI PERUT RAKYAT PEDAGAN USAHAWAN MANDIRI... sekali subsidi malah ke yg dah dapat GAJIH RUTIN... Otak jalanin..</t>
  </si>
  <si>
    <t>PPKM = pelan-pelan ku merindukanmu</t>
  </si>
  <si>
    <t>Ppkm yg kena mentalnya</t>
  </si>
  <si>
    <t>Kami bekerja WFO selama PPKM taruhannya nyawa lo chief, anda masih meragukan imun kami haa</t>
  </si>
  <si>
    <t>@oreologiyy @vienbast @AREAJULID Yaps bener. Keadilan nya gak ada. Karna dia anak dan menantu orang terpandang di indonesia jadi mau ke ujung dunia pun gak akan di tangkap meskipun lagi ppkm. Coba kalo masyarakat kek kita, keluar dikit aja di jalan lgsg di razia polisi pas lagi ppkm gini.</t>
  </si>
  <si>
    <t>Yaps bener. Keadilan nya gak ada. Karna dia anak dan menantu orang terpandang di indonesia jadi mau ke ujung dunia pun gak akan di tangkap meskipun lagi ppkm. Coba kalo masyarakat kek kita, keluar dikit aja di jalan lgsg di razia polisi pas lagi ppkm gini.</t>
  </si>
  <si>
    <t>@malakmalakmal Gara2 ppkm nyari kompor pun jadi susah, kasian si ibu, tersandera karena kebijakannya sendiri</t>
  </si>
  <si>
    <t>Gara2 ppkm nyari kompor pun jadi susah, kasian si ibu, tersandera karena kebijakannya sendiri</t>
  </si>
  <si>
    <t>Semakin menjauhi berita tentang kisruh PPKM tapi kok ada aja ya ngeliat berita kisruh penertiban para pedagang hadehhh kalo kata pak anu mah bae bae aje bro kalem santuy.....haha tai</t>
  </si>
  <si>
    <t>Awali harimu dengan kelembutan ☕
 Lagi-lagi petugas serasa preman pasar, penertiban PPKM dengan cara Brutal 😠😤
 https://t.co/XZzG4W6Eeo</t>
  </si>
  <si>
    <t>Awali harimu dengan kelembutan Lagi-lagi petugas serasa preman pasar, penertiban PPKM dengan cara Brutal</t>
  </si>
  <si>
    <t>Cerita dikit tentang PPKM di kota gw ah. Tepat hari senin kmrn, kota tmpt gw tinggal akhirnya kena PPKM, sepi banget, kejadiannya persis pas kaya awal2 pandemi, ekonomi keluarga jadi ga stabil.</t>
  </si>
  <si>
    <t>@EkaWahy53997626 Tidak juga, saya taat tapi tidak di jamin kok sama pemerintah, taat karna kesadaran, taat Karna saya sudah capek ppkm, capek lihat kenyataan pandemi covid di indonesia masih tinggi ekonomi menurun</t>
  </si>
  <si>
    <t>Tidak juga, saya taat tapi tidak di jamin kok sama pemerintah, taat karna kesadaran, taat Karna saya sudah capek ppkm, capek lihat kenyataan pandemi covid di indonesia masih tinggi ekonomi menurun</t>
  </si>
  <si>
    <t>Sebagian bilang dan menyuarakan untuk dirumah aja dan taat ppkm dan prokes, biasanya mereka ini yg masih punya tabungan, dan gaji yg gak berdampak serius. Tp kalau pedagang yg cuma bergantung dr jualanya, trus jualanya gak maksimal, gimana kisahnya ya?</t>
  </si>
  <si>
    <t>Cape cape buat aturan PPKM tapi di langgar terus ,Saran aja si ini mah mending Pom bensin nya seluruh jawa bali di tutup kelar solusi gada yang keluar rumah asli da 😆</t>
  </si>
  <si>
    <t>Cape cape buat aturan PPKM tapi di langgar terus ,Saran aja si ini mah mending Pom bensin nya seluruh jawa bali di tutup kelar solusi gada yang keluar rumah asli da</t>
  </si>
  <si>
    <t>PPKM nya Jalan,
 RAKYATnya Kelaparan ?
 #PresidenGagalWajibDiganti https://t.co/GZn6dRrHnL</t>
  </si>
  <si>
    <t>PPKM nya Jalan,RAKYATnya Kelaparan ?</t>
  </si>
  <si>
    <t>Masih PPKM darurat. Ayo 3 lgi kita bisa kok. Bisa modyarrrr https://t.co/WzMgS2azIN</t>
  </si>
  <si>
    <t>Masih PPKM darurat. Ayo lgi kita bisa kok. Bisa modyarrrr</t>
  </si>
  <si>
    <t>Ppkm membuat voucher shopeeku terbuang sia-sia☹️</t>
  </si>
  <si>
    <t>Ppkm membuat voucher shopeeku terbuang sia-sia</t>
  </si>
  <si>
    <t>Tidak beradab memang ini bapak satu, Org hamil na hantam juga, ini mi contoh kasus aparat itu keparat 👎👎👎
 Satpol PP
 PPKM: Pamong Praja Kok Mukul 
 Kablams 🤬🤬🤬 https://t.co/A4kWcg8yks</t>
  </si>
  <si>
    <t>Tidak beradab memang ini bapak satu, Org hamil na hantam juga, ini mi contoh kasus aparat itu keparat Satpol PPPPKM: Pamong Praja Kok Mukul Kablams</t>
  </si>
  <si>
    <t>Jika seluruh keluarga Indonesia dibantu pemenuhan pangan, pendidikan dan energi selama 4 minggu ke depan, niscaya penerapan disiplin PPKM darurat dan vaksinasi akan sukses mengakhiri pandemi c19. 
 Kok begitu? Ya, karena upaya ini belum pernah dilakukan.</t>
  </si>
  <si>
    <t>Jika seluruh keluarga Indonesia dibantu pemenuhan pangan, pendidikan dan energi selama minggu ke depan, niscaya penerapan disiplin PPKM darurat dan vaksinasi akan sukses mengakhiri pandemi c19. Kok begitu? Ya, karena upaya ini belum pernah dilakukan.</t>
  </si>
  <si>
    <t>Ppkm ppkm kasus tembus 50 rb.. hahaha gblk</t>
  </si>
  <si>
    <t>Ppkm ppkm kasus tembus rb.. hahaha gblk</t>
  </si>
  <si>
    <t>@mohmahfudmd Ppkm darurat kpn brkhirnya pak fud klo dperpanajng trus</t>
  </si>
  <si>
    <t>Ppkm darurat kpn brkhirnya pak fud klo dperpanajng trus</t>
  </si>
  <si>
    <t>@mohmahfudmd Evaluasi PPKM
 1. kasus covid terus meningkat
 2. Ekonomi merosot
 3. Kerusuhan masyarakat (pedagang) dn satgas dimana2
 Tolong jadi bahan pertimbangan pak @mohmahfudmd apa lagi udah ada rencana isu perpanjangan PPKM 6 minggu. #PPKMtidakefektif</t>
  </si>
  <si>
    <t>Evaluasi PPKM1. kasus covid terus meningkat2. Ekonomi merosot3. Kerusuhan masyarakat (pedagang) dn satgas dimana2Tolong jadi bahan pertimbangan pak apa lagi udah ada rencana isu perpanjangan PPKM minggu.</t>
  </si>
  <si>
    <t>PLONGO dibilang situasi PPKM dan Cases covid terkerdali oleh LORD cuman manggut manggut setuju , mengapa ? Dia tidak bisa baca Data , Hal sekecil ini plongo tak akan mampu menganalisa , terkendali atau tidak !!!! https://t.co/5wffbAbSxA</t>
  </si>
  <si>
    <t>PLONGO dibilang situasi PPKM dan Cases covid terkerdali oleh LORD cuman manggut manggut setuju , mengapa ? Dia tidak bisa baca Data , Hal sekecil ini plongo tak akan mampu menganalisa , terkendali atau tidak !!!!</t>
  </si>
  <si>
    <t>Pgn ganti hp tapi sadar klo miskin + ppkm diperpanjang alias alamat sepi cl inimah..</t>
  </si>
  <si>
    <t>gue ngga bisa naik kereta dan busway krn terkendala SRTP yg dimana itu surat cuma untuk sektor esensial dan kritikal aja. 
 akhirnya gue naik grab PP 100ribu, terus PPKM mau diperpanjang sampe agustus? mending gue ngga masuk sekalian. https://t.co/d04DJ2O6X4</t>
  </si>
  <si>
    <t>gue ngga bisa naik kereta dan busway krn terkendala SRTP yg dimana itu surat cuma untuk sektor esensial dan kritikal aja. akhirnya gue naik grab PP ribu, terus PPKM mau diperpanjang sampe agustus? mending gue ngga masuk sekalian.</t>
  </si>
  <si>
    <t>@alyngcavalera @midiahn Ppkm darurat g dikasih uang, lokdon dikasih uang cmiiw</t>
  </si>
  <si>
    <t>Ppkm darurat g dikasih uang, lokdon dikasih uang cmiiw</t>
  </si>
  <si>
    <t>@tvOneNews cawang koq di casablanca.. Tolong reporternya tadi yg laporin ppkm dari cawang diberitau lokasi yg tepat ganti aja</t>
  </si>
  <si>
    <t>cawang koq di casablanca.. Tolong reporternya tadi yg laporin ppkm dari cawang diberitau lokasi yg tepat ganti aja</t>
  </si>
  <si>
    <t>gimana jga gaji tetep ngalir, anak isteri tetep makan beda sama pedagang yg dengan alasan melanggar aturan jadi harus kena amuk, kena sita, kena denda. kesel bgt liat arogansi petugas selama ppkm.
 konteks: lrt</t>
  </si>
  <si>
    <t>gimana jga gaji tetep ngalir, anak isteri tetep makan beda sama pedagang yg dengan alasan melanggar aturan jadi harus kena amuk, kena sita, kena denda. kesel bgt liat arogansi petugas selama ppkm.konteks: lrt</t>
  </si>
  <si>
    <t>@MataNajwa Maaf sebelumnya
 Selama ini kan sllu semangat mengkampanyekan hal² yg baiknya di lakukan rakyat di saat pandemi
 Coba untuk minggu depan bikin liputan soal betapa menyengsarakannya kebijakan PPKM untuk masyarakat menengah ke bawah. Terlebih yg hidup dari mengandalkan harian
 Thanks</t>
  </si>
  <si>
    <t>Maaf sebelumnyaSelama ini kan sllu semangat mengkampanyekan hal yg baiknya di lakukan rakyat di saat pandemiCoba untuk minggu depan bikin liputan soal betapa menyengsarakannya kebijakan PPKM untuk masyarakat menengah ke bawah. Terlebih yg hidup dari mengandalkan harianThanks</t>
  </si>
  <si>
    <t>Sakit kepala liat berita kopitt kopitt,ppkm,dll 😤 https://t.co/zIwJhidLYb</t>
  </si>
  <si>
    <t>Sakit kepala liat berita kopitt kopitt,ppkm,dll</t>
  </si>
  <si>
    <t>masalahnya, toko yg jual earphone favoritku ada di dalem mall yg tutup karena PPKM anjir</t>
  </si>
  <si>
    <t>Pengen ketemu kamu tapi ppkm</t>
  </si>
  <si>
    <t>👩 : Mas Semarang PPKM ya?
  👨 : Semarang PSIS Dek</t>
  </si>
  <si>
    <t>: Mas Semarang PPKM ya? : Semarang PSIS Dek</t>
  </si>
  <si>
    <t>@fjrarfn @EkaWahy53997626 Yang bisa saya lakukan cuma mengingatkan kak biar pandemi ini cepat reda, sama saya juga sudah capek ppkm. Tapi melihat kenyataan di indonsia yang pandeminya masih sangat tinggi. jangan malah buat statment covid itu hoax menakuti2 orang memperkeruh keadaan dll</t>
  </si>
  <si>
    <t>Yang bisa saya lakukan cuma mengingatkan kak biar pandemi ini cepat reda, sama saya juga sudah capek ppkm. Tapi melihat kenyataan di indonsia yang pandeminya masih sangat tinggi. jangan malah buat statment covid itu hoax menakuti2 orang memperkeruh keadaan dll</t>
  </si>
  <si>
    <t>Maka dari itu saya sangat begitu yakin jika PPKM ini diperpanjang ntah akan terjadi apa di Indonesia ini.
 Sementara bibcang2 kopi mereka sudah jengah dengan keadaan.
 Khawatir</t>
  </si>
  <si>
    <t>Maka dari itu saya sangat begitu yakin jika PPKM ini diperpanjang ntah akan terjadi apa di Indonesia ini.Sementara bibcang2 kopi mereka sudah jengah dengan keadaan.Khawatir</t>
  </si>
  <si>
    <t>yaallah bener2 ganti nama PPKM daripada lockdown jd lepas tgn ya pmrnth? ini satpol pp kejadian ga sekali dua kali lho bertindak semaunya:( malah ibu hamil lg kasian bgt😭😭😭 https://t.co/QJow3xSwuy</t>
  </si>
  <si>
    <t>yaallah bener2 ganti nama PPKM daripada lockdown jd lepas tgn ya pmrnth? ini satpol pp kejadian ga sekali dua kali lho bertindak semaunya malah ibu hamil lg kasian bgt</t>
  </si>
  <si>
    <t>Jauh sebelum istilah PPKM Darurat dan PPKM Mikro, Wanda Maximoff sebenarnya sudah memperingati kita tentang pentingnya lockdown area seperti Westview misalnya</t>
  </si>
  <si>
    <t>@sosmed62 @VReza46 @CNNIndonesia Bansos berkurang terus, kualitas jg menurun terus. Orang byk kehilangan pekerjaan Krn PPKM berlarut tp kasus gak turun juga. Jangan sekedar "kan Uda dikasih bansos" klo ga nyampe ato disunat sama aja mah. Yg penting gmn itu membantu bukan ala kadarnya
 https://t.co/njMamvozlB</t>
  </si>
  <si>
    <t>Bansos berkurang terus, kualitas jg menurun terus. Orang byk kehilangan pekerjaan Krn PPKM berlarut tp kasus gak turun juga. Jangan sekedar "kan Uda dikasih bansos" klo ga nyampe ato disunat sama aja mah. Yg penting gmn itu membantu bukan ala kadarnya</t>
  </si>
  <si>
    <t>@NaylaAzkiaa Siap2, aman kok.. prokes rapi-vaksinasi lancar klo PPKM berjalan baik penutupan jalan Adi sucipto (Karanganyar) mulai kemaren pagi sementara nyelip dari rumah lewat gang masih bisa so ini semalam di depan Pertamina SPBU Blulukan Colomadu (Jl. Adi Sucipto) https://t.co/CFBmT3UPuZ</t>
  </si>
  <si>
    <t>Siap2, aman kok.. prokes rapi-vaksinasi lancar klo PPKM berjalan baik penutupan jalan Adi sucipto (Karanganyar) mulai kemaren pagi sementara nyelip dari rumah lewat gang masih bisa so ini semalam di depan Pertamina SPBU Blulukan Colomadu (Jl. Adi Sucipto)</t>
  </si>
  <si>
    <t>@woniwonzz selama ppkm darurat mulainya jam 9</t>
  </si>
  <si>
    <t>selama ppkm darurat mulainya jam</t>
  </si>
  <si>
    <t>ninu ninu ninu, mobil ambulan dihadang para pejabat negara prindapan yang lewat, ninu ninu ninu para petani di ladang dihajar kebingungan karena ppkm darurat.</t>
  </si>
  <si>
    <t>Kami OJek online saja jauh sekali pengahsilan dihari2 sblum ppkm ini.
 Drastis bgt orderan biasa dapat 10 skrg dpt 5...
 Menjerit? Tentu....</t>
  </si>
  <si>
    <t>Kami OJek online saja jauh sekali pengahsilan dihari2 sblum ppkm ini.Drastis bgt orderan biasa dapat skrg dpt ...Menjerit? Tentu....</t>
  </si>
  <si>
    <t>@sundayflawless Hbd pacarnya nopik, doaku ppkm kelar corona kelar biar kalian ldrnya nggak ngenes2 bgt😘</t>
  </si>
  <si>
    <t>Hbd pacarnya nopik, doaku ppkm kelar corona kelar biar kalian ldrnya nggak ngenes2 bgt</t>
  </si>
  <si>
    <t>gais, ppkm katanya mau ditambah lagi ya?:(</t>
  </si>
  <si>
    <t>gais, ppkm katanya mau ditambah lagi ya?</t>
  </si>
  <si>
    <t>@HamchiKiyon Emang benci bgt ama orang macem gini pengen enak sendiri disaat lg banyak orang membutuhkan harus tertahan karan lg PPKM</t>
  </si>
  <si>
    <t>Emang benci bgt ama orang macem gini pengen enak sendiri disaat lg banyak orang membutuhkan harus tertahan karan lg PPKM</t>
  </si>
  <si>
    <t>Ppkm sampe tgl 20 Juli aja kan?</t>
  </si>
  <si>
    <t>Ppkm sampe tgl Juli aja kan?</t>
  </si>
  <si>
    <t>Giliran udh pengen banget liburan dan tinggal berangkat PPKM nya di panjang"in :)</t>
  </si>
  <si>
    <t>Giliran udh pengen banget liburan dan tinggal berangkat PPKM nya di panjang"in</t>
  </si>
  <si>
    <t>IBAS Prihatin Rakyat Rela Dipenjara karena Tak Bisa Bayar Denda PPKM, Ibaratkan Negara Sedang Sakit
 #PPKMSengsarakanRakyat
 #PPKMSengsarakanRakyat
 https://t.co/KhMuu00fW1</t>
  </si>
  <si>
    <t>IBAS Prihatin Rakyat Rela Dipenjara karena Tak Bisa Bayar Denda PPKM, Ibaratkan Negara Sedang Sakit://</t>
  </si>
  <si>
    <t>abis ppkm jogja yuu</t>
  </si>
  <si>
    <t>Dimulai dari isu PPKM di perpanjang,anjuran vaksinasi tapi dilapangan proses vaksinasi di persulit,isu adanya 'VAKSIN GOTONG ROYONG' dimana vaksin yg katanya gratis jadi berbayar,muncul lagi rumor dibalik susahnya vaksinasi ada penimbunan vaksin agar di kemudian hari dapat dijual</t>
  </si>
  <si>
    <t>@sundaykisseu Abis ppkm bikin ini @embimz</t>
  </si>
  <si>
    <t>Abis ppkm bikin ini</t>
  </si>
  <si>
    <t>Woi.. lg PPKM cok.. malah liburan… https://t.co/9Q1yImbBqA</t>
  </si>
  <si>
    <t>Woi.. lg PPKM cok.. malah liburan</t>
  </si>
  <si>
    <t>@pijibluk jgn lupa sarapan, ppkm tetap smangatt ya!!</t>
  </si>
  <si>
    <t>jgn lupa sarapan, ppkm tetap smangatt ya!!</t>
  </si>
  <si>
    <t>@sosmedkeras @rehatduluya Gua adalah orang menengah (punya rumah lumayan besar, ada mobil dan punya beberapa motor) yang dulu serba mampu sekarang terseok2 penghasilan cuma dari bisnis f&amp;amp;b dan skrg bisnis seret karna ppkm dan penghasilan minus berbulan2. Apakah gue mengeluh?</t>
  </si>
  <si>
    <t>Gua adalah orang menengah (punya rumah lumayan besar, ada mobil dan punya beberapa motor) yang dulu serba mampu sekarang terseok2 penghasilan cuma dari bisnis f&amp;amp;b dan skrg bisnis seret karna ppkm dan penghasilan minus berbulan2. Apakah gue mengeluh?</t>
  </si>
  <si>
    <t>@kasih_ibunya Yah aku cemas sama berita ppkm diperpanjang 6 minggu 😂😂😂</t>
  </si>
  <si>
    <t>Yah aku cemas sama berita ppkm diperpanjang minggu</t>
  </si>
  <si>
    <t>@longentot666 @tirta_hudhi poin nomer 3. ditemuin di jalan yg kanan kiri ada pedagang gerobakan ya, fix itu yg dagang pake masker di dagu,kdang g pake,yg beli juga sama,ada org naek motor seliweran ber2-3 g pke masker,tukang ngamen,gerombolan ondel2.PPKM hanya ditempat yg kejangkau media si kyknya😅</t>
  </si>
  <si>
    <t>poin nomer . ditemuin di jalan yg kanan kiri ada pedagang gerobakan ya, fix itu yg dagang pake masker di dagu,kdang g pake,yg beli juga sama,ada org naek motor seliweran ber2-3 g pke masker,tukang ngamen,gerombolan ondel2.PPKM hanya ditempat yg kejangkau media si kyknya</t>
  </si>
  <si>
    <t>Beneran PPKM gak sih mas? https://t.co/EsBYGE17t6</t>
  </si>
  <si>
    <t>Beneran PPKM gak sih mas?</t>
  </si>
  <si>
    <t>ppkm banyak korban. banyak kekerasan banyak kerusakan🥺</t>
  </si>
  <si>
    <t>ppkm banyak korban. banyak kekerasan banyak kerusakan</t>
  </si>
  <si>
    <t>@axelphaooo Ppkm without pp = km, jadi aku suka km🥺 km dalam matematika adalah kilometer 🙃 jadi kamu suka jarak?</t>
  </si>
  <si>
    <t>Ppkm without pp = km, jadi aku suka km km dalam matematika adalah kilometer jadi kamu suka jarak?</t>
  </si>
  <si>
    <t>@FerdinandHaean3 PPKM terlalu lama hanya akan menyusahkan rakyat miskin yg kerjanya harian,seharusnya pemerintah indonesia meniru pemerintah hongkong,biarkan rakyat bekerja yg penting taat prokes,kalau melanggar hukumannya jangan di buat mainan</t>
  </si>
  <si>
    <t>PPKM terlalu lama hanya akan menyusahkan rakyat miskin yg kerjanya harian,seharusnya pemerintah indonesia meniru pemerintah hongkong,biarkan rakyat bekerja yg penting taat prokes,kalau melanggar hukumannya jangan di buat mainan</t>
  </si>
  <si>
    <t>selama masa PPKM Darurat ini, masyarakat sudah banyak yang mengurangi mobilitas di luar rumah juga loh!</t>
  </si>
  <si>
    <t>Perihal main game terus menerus kah? Terus gw hrus apa lagi. Kan lagi PPKM.</t>
  </si>
  <si>
    <t>PPKM TIDAK MENJAMIN BAHWA COVID-19 BISA MENURUN..!!
 JUSTRU PPKM BIKIN COVID-19 NAIK..!!
 WOI!! HATI-HATI RAKYAT KELAPARAN, GAK BAKAL BISA KALIAN BENDUNG..</t>
  </si>
  <si>
    <t>PPKM TIDAK MENJAMIN BAHWA COVID-19 BISA MENURUN..!!JUSTRU PPKM BIKIN COVID-19 NAIK..!!WOI!! HATI-HATI RAKYAT KELAPARAN, GAK BAKAL BISA KALIAN BENDUNG..</t>
  </si>
  <si>
    <t>@theonlyata di jog udh pada tutup karena masuk kategori rekreasi/hiburan sampe ppkm selesai :))</t>
  </si>
  <si>
    <t>di jog udh pada tutup karena masuk kategori rekreasi/hiburan sampe ppkm selesai</t>
  </si>
  <si>
    <t>@munfess Ga bakal dateng. Kemarin kemarin sebelum ppkm, gue juga ga dateng. Lebih penting diri gue daripada ngurusin yg lain. Klo dia batu, yaudah biarin aj. Nanti digusur nangeees</t>
  </si>
  <si>
    <t>Ga bakal dateng. Kemarin kemarin sebelum ppkm, gue juga ga dateng. Lebih penting diri gue daripada ngurusin yg lain. Klo dia batu, yaudah biarin aj. Nanti digusur nangeees</t>
  </si>
  <si>
    <t>@paa_piiyoo Jin jg ppkm wkwkwk</t>
  </si>
  <si>
    <t>Jin jg ppkm wkwkwk</t>
  </si>
  <si>
    <t>ppkm ni kayak alesan doang ya biar ga keluar dana buat ngasih sembako gtgt https://t.co/tGYDIz7hfb</t>
  </si>
  <si>
    <t>ppkm ni kayak alesan doang ya biar ga keluar dana buat ngasih sembako gtgt</t>
  </si>
  <si>
    <t>Udah ngeprint bab 2&amp;amp;3 eh ppkm. Disuruh kirim email jak. Sia2 kan kertas</t>
  </si>
  <si>
    <t>Udah ngeprint bab &amp;amp;3 eh ppkm. Disuruh kirim email jak. Sia2 kan kertas</t>
  </si>
  <si>
    <t>@adearmando1 Ppkm darurat 
 Lockdown versi negara miskin yg gk mau jamin rakyat nya , jadi akal akalan aja bong</t>
  </si>
  <si>
    <t>Ppkm darurat Lockdown versi negara miskin yg gk mau jamin rakyat nya , jadi akal akalan aja bong</t>
  </si>
  <si>
    <t>@ShamsiAli2 Biasanya kebalikannya. "Biarkan rakyat susah makan yg penting PPKM darurat lanjut terus". Itu terjemahan perkataan pak joko</t>
  </si>
  <si>
    <t>Biasanya kebalikannya. "Biarkan rakyat susah makan yg penting PPKM darurat lanjut terus". Itu terjemahan perkataan pak joko</t>
  </si>
  <si>
    <t>@Catatan_ali7 daerahku bukan termasuk bali dan jawa tapi ikut2an ppkm pasar doang tutup siangan, untung belum dapat, kebutuhan sehari2 ga cukup, anak2 kuliah bingung uangnya dari mana.</t>
  </si>
  <si>
    <t>daerahku bukan termasuk bali dan jawa tapi ikut2an ppkm pasar doang tutup siangan, untung belum dapat, kebutuhan sehari2 ga cukup, anak2 kuliah bingung uangnya dari mana.</t>
  </si>
  <si>
    <t>@Pamungkastegarr @syahnazalfa @aik_arif Begoo luu... PPKM ya PPKM aja, orang jualan buat makan keluarga saja di bubarin malah plesiran boleh...</t>
  </si>
  <si>
    <t>Begoo luu... PPKM ya PPKM aja, orang jualan buat makan keluarga saja di bubarin malah plesiran boleh...</t>
  </si>
  <si>
    <t>fuck you all yg lg ppkm gini tapi malah nongkrong ke cafe mati aja orang kek lu bgsat</t>
  </si>
  <si>
    <t>Beberapa hari terakhir kita di sibukkan dengan berita PPKM yang mau diperpanjang.
 Bagi saya, silakan saja jika ingin memperpanjang PPKM, tapi dengan satu syarat "Penuhi kebutuhan masyarakat (tanpa terkecuali)".
 @jokowi
 @KhofifahIP
 #COVID19 
 #Corona</t>
  </si>
  <si>
    <t>Beberapa hari terakhir kita di sibukkan dengan berita PPKM yang mau diperpanjang.Bagi saya, silakan saja jika ingin memperpanjang PPKM, tapi dengan satu syarat "Penuhi kebutuhan masyarakat (tanpa terkecuali)".</t>
  </si>
  <si>
    <t>Kondisi PPKM saat ini benar2 membuat berpikir ekstra</t>
  </si>
  <si>
    <t>PPKM - Pelan Pelan Kalau Makan</t>
  </si>
  <si>
    <t>PPKM tanpa arogansi bisa gag sih?</t>
  </si>
  <si>
    <t>Sebab, pada dasarnya, PPKM Darurat ini dilakukan untuk bisa menekan mobilitas masyarakat agar penyebaran virus juga bisa ditekan.</t>
  </si>
  <si>
    <t>@ustadchen Ga ada cara lain bah kecuali penanganan yang bener dan sistematis. Banyakin testing, banyakin vaksin perhari at least bisa konsisten sehari sejuta, ppkm harus maksimal dan tegas jangan kendor2, perlindungan ekstra buat nakes, jaminan kebutuhan pokok buat masy miskin.</t>
  </si>
  <si>
    <t>Ga ada cara lain bah kecuali penanganan yang bener dan sistematis. Banyakin testing, banyakin vaksin perhari at least bisa konsisten sehari sejuta, ppkm harus maksimal dan tegas jangan kendor2, perlindungan ekstra buat nakes, jaminan kebutuhan pokok buat masy miskin.</t>
  </si>
  <si>
    <t>@rameankebulan panjangin 
 asal mereka yg tempat kerjanya di tutup di beri ya pengganti tempat kerja untuk mereka nunggu PPKM selesai...</t>
  </si>
  <si>
    <t>panjangin asal mereka yg tempat kerjanya di tutup di beri ya pengganti tempat kerja untuk mereka nunggu PPKM selesai...</t>
  </si>
  <si>
    <t>PPKM: pelan-pelan kita menggila.</t>
  </si>
  <si>
    <t>Masih mengira keadaan baik baik saja??
 Kalian mungkin masih merasa enak dan Aman kondisi saat ini.
 Kalian punya Gaji..Tabungan..Bisnis dan Asset.
 Sementara kami untuk makan hari ini aja mesti seharian mencari rezeki itu. Beda dengan sebelum PPKM ini.</t>
  </si>
  <si>
    <t>Masih mengira keadaan baik baik saja??Kalian mungkin masih merasa enak dan Aman kondisi saat ini.Kalian punya Gaji..Tabungan..Bisnis dan Asset.Sementara kami untuk makan hari ini aja mesti seharian mencari rezeki itu. Beda dengan sebelum PPKM ini.</t>
  </si>
  <si>
    <t>Kemarin PSBB sekarang PPKM besok nya apalagi IPA, IPS, PPKN, MTK, haa apalagi?</t>
  </si>
  <si>
    <t>@potqtosweety Nyebelin emang mi ppkm nih</t>
  </si>
  <si>
    <t>Nyebelin emang mi ppkm nih</t>
  </si>
  <si>
    <t>Mau ppkm sampai setahun tapi pelaksanaanya cuma pake motto penyerapan, ga akan kelar ini wabah.malah bakal tambah masalah baru,pengangguran.</t>
  </si>
  <si>
    <t>@Penyair_Berdiri Di foto bahas pancasila,di judul ppkm,,,nah terus hubungan nya apaan??</t>
  </si>
  <si>
    <t>Di foto bahas pancasila,di judul ppkm,,,nah terus hubungan nya apaan??</t>
  </si>
  <si>
    <t>Kenapa google assistant akhir2 ini suruh gw wfo sih? Hey kamu ga tau ini lagi ppkm! https://t.co/gxTjGxeoA5</t>
  </si>
  <si>
    <t>Kenapa google assistant akhir2 ini suruh gw wfo sih? Hey kamu ga tau ini lagi ppkm!</t>
  </si>
  <si>
    <t>PPKM diperpanjang jadi PPKMMMMMMMMMMMMMM</t>
  </si>
  <si>
    <t>bantu viral in ah, biar viral terus dipecat, biar jangan sok2 an razia razia doang, rasain jg rasanya cari duit waktu ppkm gamasuk akal ini dijalankan posisi abis dipecat 👍 https://t.co/cJZBgBhcyo</t>
  </si>
  <si>
    <t>bantu viral in ah, biar viral terus dipecat, biar jangan sok2 an razia razia doang, rasain jg rasanya cari duit waktu ppkm gamasuk akal ini dijalankan posisi abis dipecat</t>
  </si>
  <si>
    <t>@republikaonline Tau apa kalian Pancasila, saat orang kalian PPKM cina kalian masukkan ke Indonesia</t>
  </si>
  <si>
    <t>Tau apa kalian Pancasila, saat orang kalian PPKM cina kalian masukkan ke Indonesia</t>
  </si>
  <si>
    <t>@bonngbudi Kena tilang om... PPKM tuiter jg ikut ketat 😅
 Selamat pagi dan sehat selalu ❤🌹🇮🇩</t>
  </si>
  <si>
    <t>Kena tilang om... PPKM tuiter jg ikut ketat Selamat pagi dan sehat selalu</t>
  </si>
  <si>
    <t>PPKM kurang tepat guna n tepat cara karena tingkat ngeyel masyarakat meningkat eksponensial.
 Variasi kebebalannya terlalu banyak n beraneka 🙈😂</t>
  </si>
  <si>
    <t>PPKM kurang tepat guna n tepat cara karena tingkat ngeyel masyarakat meningkat eksponensial.Variasi kebebalannya terlalu banyak n beraneka</t>
  </si>
  <si>
    <t>@LonteBali Relax y . .msh ppkm ngk bisa kemn2</t>
  </si>
  <si>
    <t>Relax y . .msh ppkm ngk bisa kemn2</t>
  </si>
  <si>
    <t>Nahan laper sampe tanggal 20 nah ini ppkm malah mau di perpanjang! Emang ngentot!!! 
 #PresidenGagalWajibDiganti</t>
  </si>
  <si>
    <t>Nahan laper sampe tanggal nah ini ppkm malah mau di perpanjang! Emang ngentot!!!</t>
  </si>
  <si>
    <t>PPKM jadi pemicu pertengkaran antar pddk. Jadi alat adu domba saat kita sdh terpecah dan terbelah.
 Satpol PP paling sering bikin ricuh dgn pedagang kecil.
 Masih kurang remuk persatuan kita, trus malah dihajar oleh bangsa sendiri. https://t.co/R9NCaWnafq</t>
  </si>
  <si>
    <t>PPKM jadi pemicu pertengkaran antar pddk. Jadi alat adu domba saat kita sdh terpecah dan terbelah.Satpol PP paling sering bikin ricuh dgn pedagang kecil.Masih kurang remuk persatuan kita, trus malah dihajar oleh bangsa sendiri.</t>
  </si>
  <si>
    <t>PPKM cuma program buang badan negara dari tanggung jawabnya..
 #PresidenGagalWajibDiganti
 #PresidenGagalWajibDiganti</t>
  </si>
  <si>
    <t>PPKM cuma program buang badan negara dari tanggung jawabnya..</t>
  </si>
  <si>
    <t>@Luxuria_Luest makanya bingung bgt wkwkw semenjak ppkm jadi gini</t>
  </si>
  <si>
    <t>makanya bingung bgt wkwkw semenjak ppkm jadi gini</t>
  </si>
  <si>
    <t>😂😂😂... Bakalan panjang PPKM ini, meskipun darurat bakalan dicabut, tapi kondisinya ga akan berubah... Dibandingkan dicap anti Islam, yaudah mending terima aja kondisi pandemi bakalan kek gini terus... https://t.co/xfRwJBzzuv</t>
  </si>
  <si>
    <t>... Bakalan panjang PPKM ini, meskipun darurat bakalan dicabut, tapi kondisinya ga akan berubah... Dibandingkan dicap anti Islam, yaudah mending terima aja kondisi pandemi bakalan kek gini terus...</t>
  </si>
  <si>
    <t>@mafanisakti Pengen juga naik lawu, tapi kabarnya banyak mistis disana...
 Serem juga tuh
 Rmh di selatan Adi Sumarmo
 PPKM disana ketat ngak?</t>
  </si>
  <si>
    <t>Pengen juga naik lawu, tapi kabarnya banyak mistis disana...Serem juga tuhRmh di selatan Adi SumarmoPPKM disana ketat ngak?</t>
  </si>
  <si>
    <t>jika kamu adalah beban keluarga maka ppkm adalah beban rakyat.</t>
  </si>
  <si>
    <t>@KemnakerRI @BPJSTKinfo @idafauziyah @ditjenphijsk Tolong BSU ditinjau ulang , yg 2020 jg belum tersalurkan semua , ini udah PPKM lg ... Banyak program realisasinya setengah setengah . Tunaikan hak kami ....</t>
  </si>
  <si>
    <t>Tolong BSU ditinjau ulang , yg jg belum tersalurkan semua , ini udah PPKM lg ... Banyak program realisasinya setengah setengah . Tunaikan hak kami ....</t>
  </si>
  <si>
    <t>@bonngbudi Mungkin sedang ada PPKM om😁</t>
  </si>
  <si>
    <t>Mungkin sedang ada PPKM om</t>
  </si>
  <si>
    <t>Punya properti di pinggir jalan protokol/ kawasan komersil/ Jalan Raya merupakan suatu idaman, keuntungan dan kebanggaan tersendiri, tapi kalau pas PPKM dan pemerintah nutup jalan2 tertentu, ya harus jadi pihak pertama yang terkena dampaknya.</t>
  </si>
  <si>
    <t>@tubirfess Kalo PPKM diperpanjang nih, semoga aja ada yg demo, soalnya pemerintah cuma ngasih kebijakan doang, ga ngasih solusi, gimana semua orang bisa WHO dan dapet uang</t>
  </si>
  <si>
    <t>Kalo PPKM diperpanjang nih, semoga aja ada yg demo, soalnya pemerintah cuma ngasih kebijakan doang, ga ngasih solusi, gimana semua orang bisa WHO dan dapet uang</t>
  </si>
  <si>
    <t>@detikcom lah kalau terkendali kenapa PPKM..??</t>
  </si>
  <si>
    <t>lah kalau terkendali kenapa PPKM..??</t>
  </si>
  <si>
    <t>bOSEN PEN JALAN JALAN BANGET YAALLAH PPKM DIPERPANJANG TUH KUMAHA YA CERITANYA</t>
  </si>
  <si>
    <t>@PrinceHanJiSung Ngwokegh~ tunggu ppkm selesai 🤣</t>
  </si>
  <si>
    <t>Ngwokegh~ tunggu ppkm selesai</t>
  </si>
  <si>
    <t>ppkm pen peluk kim mingyu</t>
  </si>
  <si>
    <t>Kok @Kemdikbud_RI udah gak pernah kirim kuota belajar lagi ya? padahal ini ppkm loh,ada yg tau kenapa?</t>
  </si>
  <si>
    <t>Kok udah gak pernah kirim kuota belajar lagi ya? padahal ini ppkm loh,ada yg tau kenapa?</t>
  </si>
  <si>
    <t>@FerdinandHaean3 Diam yg pasti...kalau peduli sama pedagang langsung kasih uang tunai ganti menutup penghasilannya selama PPKM darurat.</t>
  </si>
  <si>
    <t>Diam yg pasti...kalau peduli sama pedagang langsung kasih uang tunai ganti menutup penghasilannya selama PPKM darurat.</t>
  </si>
  <si>
    <t>@P3nj3l4j4h_id Sepertinya oknum tersebut ada niat memperburuk citra pemerintah, dengan dalih melaksanakan aturan PPKM.
 wajib diproses, sesuai hukum yang berlaku.</t>
  </si>
  <si>
    <t>Sepertinya oknum tersebut ada niat memperburuk citra pemerintah, dengan dalih melaksanakan aturan PPKM.wajib diproses, sesuai hukum yang berlaku.</t>
  </si>
  <si>
    <t>PPKM 
 Pagi - Pagi Kangen Kamu
 Kalau kamu kangen gak?😂</t>
  </si>
  <si>
    <t>PPKM Pagi - Pagi Kangen KamuKalau kamu kangen gak?</t>
  </si>
  <si>
    <t>Pusing bgt ga sengaja liat story tmn yg liburan saat ppkm gini, upload tiket pesawat dgn caption "agak ribet ya bund liburan lg ppkm untung ada org dlm", duh ya tau sih ppkm buat jawa bali aja, tapi kan......monmaap lgsg aku mute sementara aja..</t>
  </si>
  <si>
    <t>Obrolan awal ppkm bareng @tirta_hudhi 🥲🥲🥲 https://t.co/qqNYplkYBp https://t.co/wakv4G7NRz</t>
  </si>
  <si>
    <t>Obrolan awal ppkm bareng</t>
  </si>
  <si>
    <t>@sosmed62 @VReza46 @CNNIndonesia Sembako mana yg nyampe? Nyampe pun disunat. sungguh kalimat penghiburan kosong.
 Sebelum PPKM kasih sembako kurang masih "ya Uda la masih bisa kerja"
 Trus pas PPKM? Kerja ga bisa? Orang disuru pilih mati kena virus ato mati lapar.
 Soon, it will turn into chaos. Demo itu pasti.</t>
  </si>
  <si>
    <t>Sembako mana yg nyampe? Nyampe pun disunat. sungguh kalimat penghiburan kosong.Sebelum PPKM kasih sembako kurang masih "ya Uda la masih bisa kerja"Trus pas PPKM? Kerja ga bisa? Orang disuru pilih mati kena virus ato mati lapar.Soon, it will turn into chaos. Demo itu pasti.</t>
  </si>
  <si>
    <t>@ustadchen Sebenernya ya bah aku rasa psbb dan ppkm yg kemaren kemaren ntu bakalan lancar kalo pemerintah mau ngejamin kehidupan rakyatnya. Kek ngasih sembako dll. Tp yh gmn mau ngejamin, bansos pun dimakan. Dari atas ngasih 100k, sampe rakyat cm 10rb krn dipotong ditiap lapisan.</t>
  </si>
  <si>
    <t>Sebenernya ya bah aku rasa psbb dan ppkm yg kemaren kemaren ntu bakalan lancar kalo pemerintah mau ngejamin kehidupan rakyatnya. Kek ngasih sembako dll. Tp yh gmn mau ngejamin, bansos pun dimakan. Dari atas ngasih k, sampe rakyat cm rb krn dipotong ditiap lapisan.</t>
  </si>
  <si>
    <t>morning bbys!
 jangan lupa sarapan ya, jangan keluar rumah inget ppkm okay!</t>
  </si>
  <si>
    <t>morning bbys!jangan lupa sarapan ya, jangan keluar rumah inget ppkm okay!</t>
  </si>
  <si>
    <t>PPKM darurat, siapa yang diuntungkan, mencoba menyelami kedaruratan 😎</t>
  </si>
  <si>
    <t>PPKM darurat, siapa yang diuntungkan, mencoba menyelami kedaruratan</t>
  </si>
  <si>
    <t>@bankIpuuul @nicsap Nanti yaa Kalo PPKM sudah usai....
 @nicsap siy akuh iyess...</t>
  </si>
  <si>
    <t>Nanti yaa Kalo PPKM sudah usai.... siy akuh iyess...</t>
  </si>
  <si>
    <t>@SupirPete2 @Dzawinur @TretanMuslim konten lagi ni, gta v ppkm</t>
  </si>
  <si>
    <t>konten lagi ni, gta v ppkm</t>
  </si>
  <si>
    <t>Mending gausah ppkm dah. Ga guna juga, malah rekor terus covidnya 🙄 https://t.co/Z695r8wGJQ</t>
  </si>
  <si>
    <t>Mending gausah ppkm dah. Ga guna juga, malah rekor terus covidnya</t>
  </si>
  <si>
    <t>Selamat Pagi di PPKM hari ke 18 ....
 Bagaimana harimu?</t>
  </si>
  <si>
    <t>Selamat Pagi di PPKM hari ke ....Bagaimana harimu?</t>
  </si>
  <si>
    <t>Jadiiii.....tdk jadi ppkm diperpanjang..???? https://t.co/FyDKe2ocrk</t>
  </si>
  <si>
    <t>Jadiiii.....tdk jadi ppkm diperpanjang..????</t>
  </si>
  <si>
    <t>@ustadchen Pemerintah harus lebih tegas tp sekaligus berbaik hati. Tegas dlm kebijakannya, kyk PPKM ini, vaksin, dan ngasi bantuan ga salah sasaran. Tapi, nomer yg paling penting : JANGAN DIKORUPSIIN LAGI WOOYY UANG NEGARA!!</t>
  </si>
  <si>
    <t>Pemerintah harus lebih tegas tp sekaligus berbaik hati. Tegas dlm kebijakannya, kyk PPKM ini, vaksin, dan ngasi bantuan ga salah sasaran. Tapi, nomer yg paling penting : JANGAN DIKORUPSIIN LAGI WOOYY UANG NEGARA!!</t>
  </si>
  <si>
    <t>@yanglainnumpang @schfess Udah, tapi karena ppkm jadi distop lagi</t>
  </si>
  <si>
    <t>Udah, tapi karena ppkm jadi distop lagi</t>
  </si>
  <si>
    <t>@geloraco PPKM Darurat gak berlaku bagi WNA?</t>
  </si>
  <si>
    <t>PPKM Darurat gak berlaku bagi WNA?</t>
  </si>
  <si>
    <t>Kalo PPKM diperpanjang jadi 1 tahun kalian bakal ngapain?</t>
  </si>
  <si>
    <t>Kalo PPKM diperpanjang jadi tahun kalian bakal ngapain?</t>
  </si>
  <si>
    <t>Baru juga satpol pp udah gini kelakuannya, anjing emg!
 PPKM: Pamong Praja Kok Mukul~ https://t.co/lLfDbRFjsZ</t>
  </si>
  <si>
    <t>Baru juga satpol pp udah gini kelakuannya, anjing emg!PPKM: Pamong Praja Kok Mukul~</t>
  </si>
  <si>
    <t>Mencoba netral. Ada penertib ppkm berujung pemukulan dan balas pukul wanita hamil... terlihat dari video kya udh kesel duluan Tuh petugas, sepertinya para petugas harus ada Pembekalan Mental menerima keluhan masyarakat. Kudu sabar... krna bisa apa aja tuh yang keluar dri mulutnya</t>
  </si>
  <si>
    <t>Negaranya lagi susah....pejabat plesiran alasan kerja saat PPKM , puluhan Ribu pegawai kementrian WORK FROM HOTEL di bali dengan harbur hamburkan anggaran , kalian emang syaitonirojim https://t.co/ywI6VwCU8f</t>
  </si>
  <si>
    <t>Negaranya lagi susah....pejabat plesiran alasan kerja saat PPKM , puluhan Ribu pegawai kementrian WORK FROM HOTEL di bali dengan harbur hamburkan anggaran , kalian emang syaitonirojim</t>
  </si>
  <si>
    <t>Setelah lonjakan pertama kasus berhasil ditekan turun. Saat ini dengan varian baru delta yg penyebaran nya sangat amat cepat seharusnya pemberlakuan harus lebih ketat dibanding PSBB sebelumnya. Mau memperpanjang PPKM pun kalau masih banyak mobilitas org2 hasilnya kurang efektif.</t>
  </si>
  <si>
    <t># stop mafia penyakit
 # seharusnya bangga ada g-nose, 
 # dulu jualan Esemka
 # no ppkm</t>
  </si>
  <si>
    <t>stop mafia penyakit seharusnya bangga ada g-nose, dulu jualan Esemka no ppkm</t>
  </si>
  <si>
    <t>@ich_ayu Lah Anehnya di PPKM kok malah banyak yg meninggal..
 🤔🤔🤔</t>
  </si>
  <si>
    <t>Lah Anehnya di PPKM kok malah banyak yg meninggal..</t>
  </si>
  <si>
    <t>Kau tahu nak?
 Paling berat itu, di masa PPKM yang mau diperpanjang ini. Ayah mesti berjuang mencari nafkah, sembari melawan kedzoliman agar kalian tetap bisa hidup dan sekolah.</t>
  </si>
  <si>
    <t>Kau tahu nak?Paling berat itu, di masa PPKM yang mau diperpanjang ini. Ayah mesti berjuang mencari nafkah, sembari melawan kedzoliman agar kalian tetap bisa hidup dan sekolah.</t>
  </si>
  <si>
    <t>@BelvandriTuti @mohmahfudmd Ppkm darurat kewenangan pak presiden bu, diambil langkah itu untuk menyelamatkan nyawa bangsa Indonesia, lbh baik kehilangan mata pencaharian daripada kehilangan nyawa</t>
  </si>
  <si>
    <t>Ppkm darurat kewenangan pak presiden bu, diambil langkah itu untuk menyelamatkan nyawa bangsa Indonesia, lbh baik kehilangan mata pencaharian daripada kehilangan nyawa</t>
  </si>
  <si>
    <t>@Jepara_Twitt Tahunan (jl. Soekarno-hatta) -Jepara (jl. Diponegoro) gimana min?
 Selama ppkm keluar rumah pas kerja aja jadi kurang paham mana-mana jalan yang di tutup</t>
  </si>
  <si>
    <t>Tahunan (jl. Soekarno-hatta) -Jepara (jl. Diponegoro) gimana min?Selama ppkm keluar rumah pas kerja aja jadi kurang paham mana-mana jalan yang di tutup</t>
  </si>
  <si>
    <t>@medcom_id Perpanjang ppkm itu pengecut rakyat cari makan sendiri dan di kejar2 kaya penjahat suruh di rumah tp tanpa tunjangan pengecut klo berani lockdown biayayai semua keperluan rakyat dan biaya2 sekolah, listrik, perkriditan dan pajak kami siap ga keluar 
 #LOCKDOWN BIAYAYAI RAKYAT</t>
  </si>
  <si>
    <t>Perpanjang ppkm itu pengecut rakyat cari makan sendiri dan di kejar2 kaya penjahat suruh di rumah tp tanpa tunjangan pengecut klo berani lockdown biayayai semua keperluan rakyat dan biaya2 sekolah, listrik, perkriditan dan pajak kami siap ga keluar BIAYAYAI RAKYAT</t>
  </si>
  <si>
    <t>@detikcom Ppkm Boleh Cuman bagaimana dengan rakyat yang lapar dan harus bayar listrik,cicilan,bayar tagihan dll. Apa Ada bantuan yang nyata sampe kepada yang membutuhkan ? Maaf numpang nanya</t>
  </si>
  <si>
    <t>Ppkm Boleh Cuman bagaimana dengan rakyat yang lapar dan harus bayar listrik,cicilan,bayar tagihan dll. Apa Ada bantuan yang nyata sampe kepada yang membutuhkan ? Maaf numpang nanya</t>
  </si>
  <si>
    <t>@Namaku_Mei @YTejamulia Petugas PPKM Yg Over Acting Alias Berlebihan seperti ini sangat Rawan Memicu Kerusuhan di Masyarakat pedagang kecil yg saat ini lagi susah mencari nafkah,ingat mereka bukan Rampok dan Maling ya,pecat saja petugas yg Arogan</t>
  </si>
  <si>
    <t>Petugas PPKM Yg Over Acting Alias Berlebihan seperti ini sangat Rawan Memicu Kerusuhan di Masyarakat pedagang kecil yg saat ini lagi susah mencari nafkah,ingat mereka bukan Rampok dan Maling ya,pecat saja petugas yg Arogan</t>
  </si>
  <si>
    <t>Bubarin pedagang karena ppkm bukan nya dikasih tunjangan buat kehidupan sehari hari malah di denda 5 juta hahaha bintang emon juga kalah lucu</t>
  </si>
  <si>
    <t>Bubarin pedagang karena ppkm bukan nya dikasih tunjangan buat kehidupan sehari hari malah di denda juta hahaha bintang emon juga kalah lucu</t>
  </si>
  <si>
    <t>PPKM sampe kapan sih? Aku udah kangen kamu tau!</t>
  </si>
  <si>
    <t>PPKM 6 minggu semua jalan ditutup, kecuali pintu taubat.</t>
  </si>
  <si>
    <t>PPKM minggu semua jalan ditutup, kecuali pintu taubat.</t>
  </si>
  <si>
    <t>Ppkm kerja di batasin jd sift2an, ad yg masuk jam 6.50 ada yg jam 12.50 tp lucunya yg masuk jam 6.50 pulangnya tetep jam 18.10. Dr jam 12.50 smpe pulang kan sama aja smw karyawan yg brgkt 100% y? Trus gunanya sift2an tuh apa coba??</t>
  </si>
  <si>
    <t>Ppkm kerja di batasin jd sift2an, ad yg masuk jam ada yg jam tp lucunya yg masuk jam pulangnya tetep jam . Dr jam smpe pulang kan sama aja smw karyawan yg brgkt % y? Trus gunanya sift2an tuh apa coba??</t>
  </si>
  <si>
    <t>@ghostingvictim PPKM
 Plok
 Plok
 Keluar
 Masuk</t>
  </si>
  <si>
    <t>PPKMPlokPlokKeluarMasuk</t>
  </si>
  <si>
    <t>@mohmahfudmd Prihatin.... ppkm ... masih banyak jatuh korban. Bukan hanya di rnh sakit, yg isoman juga .... Hampir stiap hari ada berita duka.</t>
  </si>
  <si>
    <t>Prihatin.... ppkm ... masih banyak jatuh korban. Bukan hanya di rnh sakit, yg isoman juga .... Hampir stiap hari ada berita duka.</t>
  </si>
  <si>
    <t>Ppkm se Indonesia raya gak ada nih? https://t.co/RYyHbMLvMt</t>
  </si>
  <si>
    <t>Ppkm se Indonesia raya gak ada nih?</t>
  </si>
  <si>
    <t>@BPJSTKinfo Mana BSU yg belum tersalurkan semuanya di 2020 harus adil dan merata ! Ini udah PPKM lagi ..... Banyak program kerja realisasinya setengah setengah , bereskan satu persatu biar tidak tumpang tindih , kami juga sama punya hak , kami terdaftar di @BPJSTKinfo</t>
  </si>
  <si>
    <t>Mana BSU yg belum tersalurkan semuanya di harus adil dan merata ! Ini udah PPKM lagi ..... Banyak program kerja realisasinya setengah setengah , bereskan satu persatu biar tidak tumpang tindih , kami juga sama punya hak , kami terdaftar di</t>
  </si>
  <si>
    <t>@ustadchen Bukan PPKM tapi karantina wilayah</t>
  </si>
  <si>
    <t>Bukan PPKM tapi karantina wilayah</t>
  </si>
  <si>
    <t>@forkylucky PPKM boss</t>
  </si>
  <si>
    <t>PPKM boss</t>
  </si>
  <si>
    <t>Keruwetan hari kesekian. Oksigen dan ppkm. Gabisa reset algoritma untuk sementara karena yaaa kebutuhan kami masih disekitar situ. Jadi ya yg keluar itu itu saja. Wes rapopo aki bolone gusti</t>
  </si>
  <si>
    <t>Ppkm toko2 disuru tutup ampe lebaran,isunya bakal diperpanjang
 Yeehhh
 Blom tau aja nafsu makan gua gapernah libur</t>
  </si>
  <si>
    <t>Ppkm toko2 disuru tutup ampe lebaran,isunya bakal diperpanjangYeehhhBlom tau aja nafsu makan gua gapernah libur</t>
  </si>
  <si>
    <t>@chocomatcha_L Udah, hari ini hari pertama pelajaran tapi daring.. soalnya kena ppkm</t>
  </si>
  <si>
    <t>Udah, hari ini hari pertama pelajaran tapi daring.. soalnya kena ppkm</t>
  </si>
  <si>
    <t>ini gimana, ppkm sampe kapan?????? aku dah pusing overthinking trs lo ini....</t>
  </si>
  <si>
    <t>@Hilmi28 Udh masukin truzz TKA asing.. jadiin negara gw tambang virus... Mang bejad kalian yg masukin TKA ke china.. si opung bisnisnya makin kaya aj buheee ngga ada otaknya.. rakyat suruh PPKM nyari duit susah eh dia masukin virus lagi ke indonesia</t>
  </si>
  <si>
    <t>Udh masukin truzz TKA asing.. jadiin negara gw tambang virus... Mang bejad kalian yg masukin TKA ke china.. si opung bisnisnya makin kaya aj buheee ngga ada otaknya.. rakyat suruh PPKM nyari duit susah eh dia masukin virus lagi ke indonesia</t>
  </si>
  <si>
    <t>@collegemenfess Regulasi (...) ppkm (?) Gatau juga, maaf yaaa 😭</t>
  </si>
  <si>
    <t>Regulasi (...) ppkm (?) Gatau juga, maaf yaaa</t>
  </si>
  <si>
    <t>Uang bulanan untuk makan sebenarnya bisa irit, hanya karna PPKM akhirnya jadi boros karna pesan gofood/grabfood terus 😴</t>
  </si>
  <si>
    <t>Uang bulanan untuk makan sebenarnya bisa irit, hanya karna PPKM akhirnya jadi boros karna pesan gofood/grabfood terus</t>
  </si>
  <si>
    <t>Selintas kepikiran “apa bakal ada demo gede gt menentang ppkm dan korona tai ini”</t>
  </si>
  <si>
    <t>Selintas kepikiran apa bakal ada demo gede gt menentang ppkm dan korona tai ini</t>
  </si>
  <si>
    <t>Bangun tidur liat ke jalan raya , kirain lagi di film zombie ternyata waktu PPKM ( Puas-Puasin Ko Memerintah )</t>
  </si>
  <si>
    <t>@gitaputrid @panca66 Ini baru contoh satu orang yg susah cari duit di masa ppkm dn ada jutaan orang lainya yg kesusahan... Tp yg bikin kebijakan PPKM mana peduli dg itu...krn para pejabat dn birokrasi hidupnya ditanggung negara coba klw gaji mereka kekanggu psti ga bakal mau PPKM.</t>
  </si>
  <si>
    <t>Ini baru contoh satu orang yg susah cari duit di masa ppkm dn ada jutaan orang lainya yg kesusahan... Tp yg bikin kebijakan PPKM mana peduli dg itu...krn para pejabat dn birokrasi hidupnya ditanggung negara coba klw gaji mereka kekanggu psti ga bakal mau PPKM.</t>
  </si>
  <si>
    <t>@CNNIndonesia menurut saya utk memutus rantai penularan Covid19 dgn WFH total 2 minggu tidak boleh aktivitas diluar rumah dan semua kebutuhan sandang pangan dipenuhi lebih bagus dari pada PPKM berjilid² yg bikin lelah semua pihak.</t>
  </si>
  <si>
    <t>menurut saya utk memutus rantai penularan Covid19 dgn WFH total minggu tidak boleh aktivitas diluar rumah dan semua kebutuhan sandang pangan dipenuhi lebih bagus dari pada PPKM berjilid yg bikin lelah semua pihak.</t>
  </si>
  <si>
    <t>Selamat Pagi. PPKM day-13. Semoga berbuah hasil. Selalu jaga kesehatan 🌤</t>
  </si>
  <si>
    <t>Selamat Pagi. PPKM day-13. Semoga berbuah hasil. Selalu jaga kesehatan</t>
  </si>
  <si>
    <t>Presiden ame jajaran rezimnye antek cine komunis sih, siap" aje dah kite ppkm (pelan pelan kite mati)</t>
  </si>
  <si>
    <t>Gw masih heran kan selama PPKM tidak boleh makan di tempat dan tidak boleh berkerumun kenapa dengan pihak SATPOL PP datang beramai-ramai dan berkerumun??? Ingat pak SATPOL PP anda bergerombol jadi jangan salahkan rakyat apabila rakyat bergerombol</t>
  </si>
  <si>
    <t>CORONA...
 Conspirasi REKAYASA Dana..
 Rakyat Nggak di Jamin Hidupnya.
 Disuruh di Rumah Saja.
 Nggak Boleh KERJA.
 Di PHK.
 Diberikan ...
 PPKM...
 Pedagang Pedagang Kembali MATI.
 Pelan Pasti kami MATI.
 Dasar KODOK DUNGU.
 LO BONG.</t>
  </si>
  <si>
    <t>CORONA...Conspirasi REKAYASA Dana..Rakyat Nggak di Jamin Hidupnya.Disuruh di Rumah Saja.Nggak Boleh KERJA.Di PHK.Diberikan ...PPKM...Pedagang Pedagang Kembali MATI.Pelan Pasti kami MATI.Dasar KODOK DUNGU.LO BONG.</t>
  </si>
  <si>
    <t>@mohmahfudmd Iya Pak baru inget kalau PPKM itu pemberlakuan pembatasan kegiatan MASYARAKAT, Masyarakat yaaa bukan PEJABAT.. Arghhh geram masa remaja gw nyaksiin negara hancurrrr</t>
  </si>
  <si>
    <t>Iya Pak baru inget kalau PPKM itu pemberlakuan pembatasan kegiatan MASYARAKAT, Masyarakat yaaa bukan PEJABAT.. Arghhh geram masa remaja gw nyaksiin negara hancurrrr</t>
  </si>
  <si>
    <t>@Alvaro_Wartono @moerwadie @BossTemlen Iya, tpi kan ppkm dri tanggal 3</t>
  </si>
  <si>
    <t>Iya, tpi kan ppkm dri tanggal</t>
  </si>
  <si>
    <t>Kalo ppkm udh selesai harus bgt sunmory, ke taman safari, ke bromo, ke pantai, dan ngopi lg 😭😭</t>
  </si>
  <si>
    <t>Kalo ppkm udh selesai harus bgt sunmory, ke taman safari, ke bromo, ke pantai, dan ngopi lg</t>
  </si>
  <si>
    <t>@ayuwija08 Lagi ppkm mbak ntr kalo aku nyebar undangan yg ada datang satpol pp polisi sama hansip 😂😂</t>
  </si>
  <si>
    <t>Lagi ppkm mbak ntr kalo aku nyebar undangan yg ada datang satpol pp polisi sama hansip</t>
  </si>
  <si>
    <t>@Anonymous_2024 Takut pergerakan mahasiswa sampe segitunya memperpanjang PPKN... eh PPKM... 😅😅</t>
  </si>
  <si>
    <t>Takut pergerakan mahasiswa sampe segitunya memperpanjang PPKN... eh PPKM...</t>
  </si>
  <si>
    <t>@DedeIskamto_ @shitlicious @Eno_Bening Krn bukan karantina wilayah melainkan PPKM Darurot. Auto pasal tsb tdk berlaku 😬.</t>
  </si>
  <si>
    <t>Krn bukan karantina wilayah melainkan PPKM Darurot. Auto pasal tsb tdk berlaku .</t>
  </si>
  <si>
    <t>@P3nj3l4j4h_id nah masalahnya mereka gabisa baca aturan dengan baik,giliran rakyat yg gtu di marahi,so far banyak cara yg gak beradab di ppkm ini</t>
  </si>
  <si>
    <t>nah masalahnya mereka gabisa baca aturan dengan baik,giliran rakyat yg gtu di marahi,so far banyak cara yg gak beradab di ppkm ini</t>
  </si>
  <si>
    <t>proyek pembangunan bertrilyun bisa, bansos dikorup, biayain makan rakyat gabisa. tp pengen karantina berkedok ppkm.</t>
  </si>
  <si>
    <t>@girlgrouparea hooh agensinya lagi ppkm, maybe kuartal 4</t>
  </si>
  <si>
    <t>hooh agensinya lagi ppkm, maybe kuartal</t>
  </si>
  <si>
    <t>@Gandawan PPKM
 Pelan Pasti Kita Menginginkan</t>
  </si>
  <si>
    <t>PPKMPelan Pasti Kita Menginginkan</t>
  </si>
  <si>
    <t>PPKM, di rumah saja, jalanan ditutup, komunal space ditutup......... Mati lampu saat jam kerja. Sungguhlah https://t.co/u6W9Ei0NXi</t>
  </si>
  <si>
    <t>PPKM, di rumah saja, jalanan ditutup, komunal space ditutup......... Mati lampu saat jam kerja. Sungguhlah</t>
  </si>
  <si>
    <t>Day-13 PPKM :
 Udah kemana aja sama kasur?</t>
  </si>
  <si>
    <t>Day-13 PPKM :Udah kemana aja sama kasur?</t>
  </si>
  <si>
    <t>ppkm diperpanjang sampe 1d balikan ceunah euy</t>
  </si>
  <si>
    <t>ppkm diperpanjang sampe d balikan ceunah euy</t>
  </si>
  <si>
    <t>Mereka tahu PPKM diakhiri tgl 25 Juli, jd ada kesempatan sedikit bagi mereka utk demo gaduh merusak, mustinya mereka bisa sabar sampai 25 Juli, tapi mereka tdk berharap jg PPKM berakhir selain hanya ingin menjatuhkan Presiden.
 Sy setuju kalo berakhir kmrn bukan 25 Juli @jokowi https://t.co/L1CjYr7cKA</t>
  </si>
  <si>
    <t>Mereka tahu PPKM diakhiri tgl Juli, jd ada kesempatan sedikit bagi mereka utk demo gaduh merusak, mustinya mereka bisa sabar sampai Juli, tapi mereka tdk berharap jg PPKM berakhir selain hanya ingin menjatuhkan Presiden.Sy setuju kalo berakhir kmrn bukan Juli</t>
  </si>
  <si>
    <t>@idnkeras Rakyat kecil menangis dengan adanya ppkm</t>
  </si>
  <si>
    <t>Rakyat kecil menangis dengan adanya ppkm</t>
  </si>
  <si>
    <t>Pahitnya kopiku tak sepahit mendengar kabar ppkm diperpanjang… https://t.co/fjCCvZHfCV</t>
  </si>
  <si>
    <t>Pahitnya kopiku tak sepahit mendengar kabar ppkm diperpanjang</t>
  </si>
  <si>
    <t>@misteryble @ibeewm Kena ppkm 😂</t>
  </si>
  <si>
    <t>Kena ppkm</t>
  </si>
  <si>
    <t>@PAKSIHYEON99 Gak boleh ya buka pengajian lagi ppkm/?</t>
  </si>
  <si>
    <t>Gak boleh ya buka pengajian lagi ppkm/?</t>
  </si>
  <si>
    <t>mmg jahad bgt politisi dr oposisi indonesia bu dok,yg di otaknya cm demo2 bikin cluster baru. 
 gk mikirin nyawa nakesnya,justru JKW lah yg mikirin,buktinya memperpanjang PPKM.
 tetap semangat bu,kerja dan pasrah ikhlas kpd Tuhan https://t.co/vEvsQmZyeo</t>
  </si>
  <si>
    <t>mmg jahad bgt politisi dr oposisi indonesia bu dok,yg di otaknya cm demo2 bikin cluster baru. gk mikirin nyawa nakesnya,justru JKW lah yg mikirin,buktinya memperpanjang PPKM.tetap semangat bu,kerja dan pasrah ikhlas kpd Tuhan</t>
  </si>
  <si>
    <t>Ini temen kok nekat amat ya nikah pas ppkm gini. Kalo akad doang ya gpp, lah ini juga sama resepsinya segala mana undang2. Gue takut banget datengnya anjay</t>
  </si>
  <si>
    <t>@CNNIndonesia Saya sebagai juru parkir tetap berangkat kerja dan jaga kesehatan soalnya setoran wajib padahal ppkm https://t.co/6eFYQ0ETET</t>
  </si>
  <si>
    <t>Saya sebagai juru parkir tetap berangkat kerja dan jaga kesehatan soalnya setoran wajib padahal ppkm</t>
  </si>
  <si>
    <t>PPKM
 Pagi Pagi Ku Merindumu
 #BecauseofAllah
 #IMissYou</t>
  </si>
  <si>
    <t>PPKMPagi Pagi Ku Merindumu</t>
  </si>
  <si>
    <t>@centellaasia Sampe PPKM kelar Mol 🤣</t>
  </si>
  <si>
    <t>Sampe PPKM kelar Mol</t>
  </si>
  <si>
    <t>Apa itu PDKT yg aku tahu hanya PSBB dan PPKM..</t>
  </si>
  <si>
    <t>@DivHumas_Polri Kapan ppkm ini akan berakhir.. Kita butuh kerja butuh makan butuh bayar sewa rumah.. Saya malah takut mati karna kelaparan</t>
  </si>
  <si>
    <t>Kapan ppkm ini akan berakhir.. Kita butuh kerja butuh makan butuh bayar sewa rumah.. Saya malah takut mati karna kelaparan</t>
  </si>
  <si>
    <t>@Yoonlesssugar @fi_ars iyaaaa abis ppkm yaaaa wajib beli seblak tulang yola yola 🤤 iyaaa gitu tapi ada dagingnya tulangnya jd ya makan dagingnya aja tulangnya lepeh ya :(</t>
  </si>
  <si>
    <t>iyaaaa abis ppkm yaaaa wajib beli seblak tulang yola yola iyaaa gitu tapi ada dagingnya tulangnya jd ya makan dagingnya aja tulangnya lepeh ya</t>
  </si>
  <si>
    <t>@thoyibruddin @saidi_sudarsono wajib mundur jeduanyalah
 tapi bagaimana junjungan ppkm</t>
  </si>
  <si>
    <t>wajib mundur jeduanyalahtapi bagaimana junjungan ppkm</t>
  </si>
  <si>
    <t>@Adhipurnama_ Efek PPKM</t>
  </si>
  <si>
    <t>@BangPitung_AJW Positive thinking buat PPKM/lockdown agar setelahnya ekonomi RI meroket</t>
  </si>
  <si>
    <t>Positive thinking buat PPKM/lockdown agar setelahnya ekonomi RI meroket</t>
  </si>
  <si>
    <t>Lakukan.... Ntar gada yg mo Beteman....
 .
 WHO Desak RI Terapkan Pembatasan Ketat usai PPKM Dilonggarkan https://t.co/etl0OHRnCY</t>
  </si>
  <si>
    <t>Lakukan.... Ntar gada yg mo Beteman.....WHO Desak RI Terapkan Pembatasan Ketat usai PPKM Dilonggarkan</t>
  </si>
  <si>
    <t>@sbyfess Ppkm ngopi di teras 😂</t>
  </si>
  <si>
    <t>Ppkm ngopi di teras</t>
  </si>
  <si>
    <t>@Boediantar4 @tempodotco Kaya metro tv, mslh ppkm menggiring opini bahwa yg salah kepala daerah</t>
  </si>
  <si>
    <t>Kaya metro tv, mslh ppkm menggiring opini bahwa yg salah kepala daerah</t>
  </si>
  <si>
    <t>Cara easy untuk WNA yg tidak boleh keluar dari Indonesia ialah dengan langgar perintah PPKM. Anda akan dideportasi oleh immigration. https://t.co/9KIA2lKo6m</t>
  </si>
  <si>
    <t>Cara easy untuk WNA yg tidak boleh keluar dari Indonesia ialah dengan langgar perintah PPKM. Anda akan dideportasi oleh immigration.</t>
  </si>
  <si>
    <t>Lho, gak PPKM? https://t.co/2QGwceUwxh</t>
  </si>
  <si>
    <t>Lho, gak PPKM?</t>
  </si>
  <si>
    <t>@heenimsupporter @tubirfess Bener sih ini. Gara2 orang2 kaya gini jadinya PPKM diperpanjang mulu berjilid2 dan nyusahin orang2 yg emang butuh keluar buat kerja :(((</t>
  </si>
  <si>
    <t>Bener sih ini. Gara2 orang2 kaya gini jadinya PPKM diperpanjang mulu berjilid2 dan nyusahin orang2 yg emang butuh keluar buat kerja</t>
  </si>
  <si>
    <t>@cnbcindonesia Selamat atas prestasinya, ga sia2 ubah nama karantina/lockdown menjadi PSBB atau PPKM...👏👏👏</t>
  </si>
  <si>
    <t>Selamat atas prestasinya, ga sia2 ubah nama karantina/lockdown menjadi PSBB atau PPKM...</t>
  </si>
  <si>
    <t>Negara laen uda begini kita masih sibuk ama istilah psbb mikro makro ppkm level 1 - 4 https://t.co/1y5rpxuo0n</t>
  </si>
  <si>
    <t>Negara laen uda begini kita masih sibuk ama istilah psbb mikro makro ppkm level -</t>
  </si>
  <si>
    <t>Masyarakat Masih bisa berjualan dengan mentaati protokol kesehatan. Dan tujuan PPKM adalah untuk menekan angka positif COVID-19🦠😷. 
 #KitaPercayaJokowi https://t.co/1KIhdCIeUR</t>
  </si>
  <si>
    <t>Masyarakat Masih bisa berjualan dengan mentaati protokol kesehatan. Dan tujuan PPKM adalah untuk menekan angka positif COVID-19.</t>
  </si>
  <si>
    <t>#SalingBerbagiDimasaPandemi
 PPKM Mikro itu kputusan tepat. Krna dgn sperti ini bisa menekan dn mghambat penularan kopit. Apalagi pemerintah Jokowi menyiapkan jaring pengaman sosial berupa bansos tuk berbagai kalangan sebagai upaya tahan efek dr PPKM ini. https://t.co/GBmW42uDas</t>
  </si>
  <si>
    <t>Mikro itu kputusan tepat. Krna dgn sperti ini bisa menekan dn mghambat penularan kopit. Apalagi pemerintah Jokowi menyiapkan jaring pengaman sosial berupa bansos tuk berbagai kalangan sebagai upaya tahan efek dr PPKM ini.</t>
  </si>
  <si>
    <t>Nonton berita pagi ini, trus ngeliat di suatu daeraj warganya nyerah sama PPKM sampe ngibarin bendera putih, refleks gue nangis :" akhir akhir ini emosional bgt, kondisi udh buruk dimana2, jd gampang nangis</t>
  </si>
  <si>
    <t>ppkm day 20
 ke bank ✅
 nyetrika ✅</t>
  </si>
  <si>
    <t>ppkm day ke bank nyetrika</t>
  </si>
  <si>
    <t>masalahnya ada pd pak luhut sendiri sbb dia yg bikin corona meningkat karena dari awal pandemi, dia terus mendatangkan TKA china sampai PPKM darurat demi investasi, pdhal rakyat tdk pernah merasakan hasil dari investasi tsb. https://t.co/DshgJDhhSd</t>
  </si>
  <si>
    <t>masalahnya ada pd pak luhut sendiri sbb dia yg bikin corona meningkat karena dari awal pandemi, dia terus mendatangkan TKA china sampai PPKM darurat demi investasi, pdhal rakyat tdk pernah merasakan hasil dari investasi tsb.</t>
  </si>
  <si>
    <t>Prokes diperketat yuk biar PPKM gak dilanjut lagi, makin susah kalo sampe dilanjut lagi. Stay safe &amp;amp; healthy🙏 https://t.co/MQSfg9zedq</t>
  </si>
  <si>
    <t>Prokes diperketat yuk biar PPKM gak dilanjut lagi, makin susah kalo sampe dilanjut lagi. Stay safe &amp;amp; healthy</t>
  </si>
  <si>
    <t>PPKM level 12 jadi patung https://t.co/dkPtsSm63G</t>
  </si>
  <si>
    <t>PPKM level jadi patung</t>
  </si>
  <si>
    <t>Udah mau sebulan
 Gak kerja...
 Lahan cari rizkiny di tutup
 Lg ppkm jilid 2...
 Pengeluaran terus
 Gak ada pemasukan....</t>
  </si>
  <si>
    <t>Udah mau sebulanGak kerja...Lahan cari rizkiny di tutupLg ppkm jilid ...Pengeluaran terusGak ada pemasukan....</t>
  </si>
  <si>
    <t>kemaren malem mau beli makan cuman gegara ppkm smua toko tutup,alahasil niat buat indomie,baru aja masukin mie nya ya allah gas elpijinya abis #ceritaserem</t>
  </si>
  <si>
    <t>kemaren malem mau beli makan cuman gegara ppkm smua toko tutup,alahasil niat buat indomie,baru aja masukin mie nya ya allah gas elpijinya abis</t>
  </si>
  <si>
    <t>Ppkm gini orang yg hajatan itu fix mau memberatkan rekan sejawat dan orang sekitar, bener-bener cari keuntungan ditengah kesulitan ekonomi, alias siap2 kondangan :(</t>
  </si>
  <si>
    <t>Ppkm gini orang yg hajatan itu fix mau memberatkan rekan sejawat dan orang sekitar, bener-bener cari keuntungan ditengah kesulitan ekonomi, alias siap2 kondangan</t>
  </si>
  <si>
    <t>Udah 5 hari libur kerja.
 Bosen rasanya kerjaan tiap hari otak atik motor biar ada kesibukan.
 Gegara ppkm tai kucing lah :(</t>
  </si>
  <si>
    <t>Udah hari libur kerja.Bosen rasanya kerjaan tiap hari otak atik motor biar ada kesibukan.Gegara ppkm tai kucing lah</t>
  </si>
  <si>
    <t>@IMCMushroom Nyambi dpt 1,2 M/bln .... gogog beneran.... sementara banyak warga untuk makan aj susah... apa lagi dg kondisi ppkm hadeuh...😤</t>
  </si>
  <si>
    <t>Nyambi dpt M/bln .... gogog beneran.... sementara banyak warga untuk makan aj susah... apa lagi dg kondisi ppkm hadeuh...</t>
  </si>
  <si>
    <t>@ok___s4h skksks paling enak tuh main keluar
 tapi ppkm
 ohhasuuu</t>
  </si>
  <si>
    <t>skksks paling enak tuh main keluartapi ppkmohhasuuu</t>
  </si>
  <si>
    <t>Gapapa deh ppkm diperpanjang pokoke abis diperpanjang ndang udah ngonolo covid e. Bisa liburan lagi ga ribet surat menyurat, ketemu temen (tanpa masker). Istilahe bersakit sakit dahulu bersenang senang kemudian</t>
  </si>
  <si>
    <t>PPKM
 Pangkalan Paha Kurang Masukan https://t.co/kgZFDIGy0O</t>
  </si>
  <si>
    <t>PPKMPangkalan Paha Kurang Masukan</t>
  </si>
  <si>
    <t>PPKM Level 4 : Bekasi Ragu,Bogor Ganjil Genap @BimaAryaS @ridwankamil @BudiGSadikin @drpriono1 @ArizaPatria @jokowi https://t.co/hWYEkDhkZL</t>
  </si>
  <si>
    <t>PPKM Level : Bekasi Ragu,Bogor Ganjil Genap</t>
  </si>
  <si>
    <t>@FirstMediaCares siang min, habis seharian kemarin ada maintnance dari first media kok kecepatannya jadi menurun banget min? Mohon di cek 11635152, segera ya min lagi ppkm semua semua serba WFH via zoom https://t.co/nw064HgEM7</t>
  </si>
  <si>
    <t>siang min, habis seharian kemarin ada maintnance dari first media kok kecepatannya jadi menurun banget min? Mohon di cek , segera ya min lagi ppkm semua semua serba WFH via zoom</t>
  </si>
  <si>
    <t>ppkm = pagi pagi ku meleleh https://t.co/JnvFtj53YU</t>
  </si>
  <si>
    <t>ppkm = pagi pagi ku meleleh</t>
  </si>
  <si>
    <t>@bekasibase dirumah aja , ppkm</t>
  </si>
  <si>
    <t>dirumah aja , ppkm</t>
  </si>
  <si>
    <t>@SoeTjenMarching Temen gw juga di Cikampek belom bisa dapet Vaksin karena KTP DKI, mau ke DKI juga susah karena PPKM darurat.</t>
  </si>
  <si>
    <t>Temen gw juga di Cikampek belom bisa dapet Vaksin karena KTP DKI, mau ke DKI juga susah karena PPKM darurat.</t>
  </si>
  <si>
    <t>Jika tren kasus terus mengalami penurunan, maka 26 Juli 2021, Pemerintah akan melakukan pembukaan secara bertahap.
 Soal PPKM, Pemerintah Terus Pantau dan Dengar Suara Masyarakat
 https://t.co/vtj6NrcH2s</t>
  </si>
  <si>
    <t>Jika tren kasus terus mengalami penurunan, maka Juli , Pemerintah akan melakukan pembukaan secara bertahap.Soal PPKM, Pemerintah Terus Pantau dan Dengar Suara Masyarakat</t>
  </si>
  <si>
    <t>@chikitarav --------PPKM--------
 (PERNAH PDKT KEPADA MU)</t>
  </si>
  <si>
    <t>--------PPKM--------(PERNAH PDKT KEPADA MU)</t>
  </si>
  <si>
    <t>@akunyakul @txtdarijejew Ppkm: pengen pacarin kamu mas sehun (versi seiman) https://t.co/urqeO7i3yp</t>
  </si>
  <si>
    <t>Ppkm: pengen pacarin kamu mas sehun (versi seiman)</t>
  </si>
  <si>
    <t>Ya maklum temanmu ga datang krn ppkm, masa iya suruh terobos aja🤡</t>
  </si>
  <si>
    <t>Ya maklum temanmu ga datang krn ppkm, masa iya suruh terobos aja</t>
  </si>
  <si>
    <t>Bikin bangkrut semua restoran,banyak di phk,susah mencari rezeki semua karna PPKM ga jelas beginikah pemerintaj yang adil buat peraturan solusi gak ada #PresidenTerburukDalamSejarah</t>
  </si>
  <si>
    <t>Bikin bangkrut semua restoran,banyak di phk,susah mencari rezeki semua karna PPKM ga jelas beginikah pemerintaj yang adil buat peraturan solusi gak ada</t>
  </si>
  <si>
    <t>Jadi penasaran, knp mantan dah ga tau taun kapan tiba2 ngusik lagi? Kayaknya ppkm banyak bkin orang baper, merepotkan aja..</t>
  </si>
  <si>
    <t>Bantuan pemerintah terus mengalir terlebih saat PPKM dilaksanakan.
 Dari bansos, sembako, beras bulog, subsidi upah, BLT UMKM, diskon tarif listrik, semua ini mrpkan wujud kepedulian pemerintah thdp rakyat kecil yg terdampak pandemi.
 #KitaPercayaJokowi https://t.co/BoXQw8gUop</t>
  </si>
  <si>
    <t>Bantuan pemerintah terus mengalir terlebih saat PPKM dilaksanakan.Dari bansos, sembako, beras bulog, subsidi upah, BLT UMKM, diskon tarif listrik, semua ini mrpkan wujud kepedulian pemerintah thdp rakyat kecil yg terdampak pandemi.</t>
  </si>
  <si>
    <t>@OposisiCerdas Yang melanggar PPKM Darurat harus juga di tindak, Masyarakat tidak boleh keluar, eh ada pemimpin yang keluar malam malam ketuk ketuk pintu orang bawa wartawan, saya mau tanya melanggar PPKM ga ? Kapasitasnya sebagai pemimpin apa Masyarakat biasa?</t>
  </si>
  <si>
    <t>Yang melanggar PPKM Darurat harus juga di tindak, Masyarakat tidak boleh keluar, eh ada pemimpin yang keluar malam malam ketuk ketuk pintu orang bawa wartawan, saya mau tanya melanggar PPKM ga ? Kapasitasnya sebagai pemimpin apa Masyarakat biasa?</t>
  </si>
  <si>
    <t>@almuhtadimd Lg PPKM mencoba waras :)</t>
  </si>
  <si>
    <t>Lg PPKM mencoba waras</t>
  </si>
  <si>
    <t>Bersandar pada truk Yon Arhanud yang lagi "berjaga" PPKM level 1-4 https://t.co/G0fwJE2UhL</t>
  </si>
  <si>
    <t>Bersandar pada truk Yon Arhanud yang lagi "berjaga" PPKM level $NUMBER$</t>
  </si>
  <si>
    <t>@cimoymurahsby Selekas ppkm</t>
  </si>
  <si>
    <t>Selekas ppkm</t>
  </si>
  <si>
    <t>Assalamualaikum wr wb
 Met pagi met weekend warga TL tetap patuh PPKM dg Semangat MERAH PUTIH✊✊✊ https://t.co/pZy5F6RhBa</t>
  </si>
  <si>
    <t>Assalamualaikum wr wbMet pagi met weekend warga TL tetap patuh PPKM dg Semangat MERAH PUTIH</t>
  </si>
  <si>
    <t>@subschfess ajak ketemuan aja ga sih? habis ppkm tp tetep patuhin protokol kesehatan. ya sebagai bentuk pengenalan diri secara langsung</t>
  </si>
  <si>
    <t>ajak ketemuan aja ga sih? habis ppkm tp tetep patuhin protokol kesehatan. ya sebagai bentuk pengenalan diri secara langsung</t>
  </si>
  <si>
    <t>Masyarakat Masih bisa berjualan dengan mentaati protokol kesehatan. Dan tujuan PPKM adalah untuk menekan angka positif COVID-19🦠😷. 
 #KitaPercayaJokowi https://t.co/aCtJuv5KHr</t>
  </si>
  <si>
    <t>@st_nurjanahh @smartfrenworld gokil Max memang sangat membantu dalam internet apalagi saat PPKM ini</t>
  </si>
  <si>
    <t>gokil Max memang sangat membantu dalam internet apalagi saat PPKM ini</t>
  </si>
  <si>
    <t>@GnwnMulyadi PPKM
 Pmerintah paling kerjnya maling 🤭</t>
  </si>
  <si>
    <t>PPKMPmerintah paling kerjnya maling</t>
  </si>
  <si>
    <t>@DraftAnakUnpad engga kang/ceu, ppkm jd gk beroperasi odong, pake gojek we ke gerbang atas</t>
  </si>
  <si>
    <t>engga kang/ceu, ppkm jd gk beroperasi odong, pake gojek we ke gerbang atas</t>
  </si>
  <si>
    <t>Sebelum ppkm berhasil turun 13kg. Selama ppkm naik 5kg 🙌 😫</t>
  </si>
  <si>
    <t>Sebelum ppkm berhasil turun kg. Selama ppkm naik kg</t>
  </si>
  <si>
    <t>@alisyarief Situ ngomong enak ya? Ngaku2 mewakili suara rakyat. Koar2 minta lockdown sementara rakyat bawah setengah mati minta PPKM di cabut.</t>
  </si>
  <si>
    <t>Situ ngomong enak ya? Ngaku2 mewakili suara rakyat. Koar2 minta lockdown sementara rakyat bawah setengah mati minta PPKM di cabut.</t>
  </si>
  <si>
    <t>PPKM udah kek seblak aja ada levelnya. Ku cuman kuat makan sampe level 1 😅</t>
  </si>
  <si>
    <t>PPKM udah kek seblak aja ada levelnya. Ku cuman kuat makan sampe level</t>
  </si>
  <si>
    <t>@dmssnf #dirumahaja udh bikin stres eh ini ada ppkm bikin imun makin turun, makanya kita liburan. begitu pembelaan badut🤣🤣</t>
  </si>
  <si>
    <t>udh bikin stres eh ini ada ppkm bikin imun makin turun, makanya kita liburan. begitu pembelaan badut</t>
  </si>
  <si>
    <t>Yuk kita tingkatkan mental kita saat PPKM Darurat ini https://t.co/diwulyNEWu</t>
  </si>
  <si>
    <t>Yuk kita tingkatkan mental kita saat PPKM Darurat ini</t>
  </si>
  <si>
    <t>Uda stres ama ppkm</t>
  </si>
  <si>
    <t>kalau misal dari awal corona ke Indonesia langsung ppkm terus dikasih bansos kaya gini (paling penting cukup buat makan dan internet untuk pelajar) apakah menurut kalian berhasil? https://t.co/9STeRthezN</t>
  </si>
  <si>
    <t>kalau misal dari awal corona ke Indonesia langsung ppkm terus dikasih bansos kaya gini (paling penting cukup buat makan dan internet untuk pelajar) apakah menurut kalian berhasil?</t>
  </si>
  <si>
    <t>Udah level 10000000 nih kek PPKM https://t.co/LKluk8y19N</t>
  </si>
  <si>
    <t>Udah level nih kek PPKM</t>
  </si>
  <si>
    <t>Selamat pagi sobat ppkm, pura pura kangen mengewe</t>
  </si>
  <si>
    <t>Yang akan bertemakan tentang Mental Kuat Saat PPKM Darurat nih https://t.co/Jkf0HWHlho</t>
  </si>
  <si>
    <t>Yang akan bertemakan tentang Mental Kuat Saat PPKM Darurat nih</t>
  </si>
  <si>
    <t>@aellalee sek ppkm nad</t>
  </si>
  <si>
    <t>sek ppkm nad</t>
  </si>
  <si>
    <t>@Annafis21 PPKM
 Perhatian pemerintah kamu Mundur
 😂</t>
  </si>
  <si>
    <t>PPKMPerhatian pemerintah kamu Mundur</t>
  </si>
  <si>
    <t>eh ppkm anjir</t>
  </si>
  <si>
    <t>@Aslipriok1973 @RiuRizkiUtomo_ @cagubnyinyir2 @Bnie18 Malaysia adalah contoh pemerintahannya berdaulat dan berkuasa dg hukum. Siapa pun yg melanggar aturan pasti diproses hukum. Jangankan teriak ke pemerintah, sholat Ied aja ditangkap. Itulah hukum.
 Di +62 angg @DivHumas_Polri yg jaga mesjid wkt PPKM dikerubuti warga, lgs CIUT...</t>
  </si>
  <si>
    <t>Malaysia adalah contoh pemerintahannya berdaulat dan berkuasa dg hukum. Siapa pun yg melanggar aturan pasti diproses hukum. Jangankan teriak ke pemerintah, sholat Ied aja ditangkap. Itulah hukum.Di +62 angg yg jaga mesjid wkt PPKM dikerubuti warga, lgs CIUT...</t>
  </si>
  <si>
    <t>@TretanMuslim @KemenkesRI Bukan pelaku perjalanan, karena PPKM saya mau pulang ke Bali yang notabene kalau makan aman 😭 ngurusnya ribet pake surat domisili, nyari vaksin susahnya naudzubilah ! https://t.co/gm24I68cPk</t>
  </si>
  <si>
    <t>Bukan pelaku perjalanan, karena PPKM saya mau pulang ke Bali yang notabene kalau makan aman ngurusnya ribet pake surat domisili, nyari vaksin susahnya naudzubilah !</t>
  </si>
  <si>
    <t>PPKM = Pelan Pelan Kamu Menghilang</t>
  </si>
  <si>
    <t>Ppkm udahan si, aku semaleman nangis grgr sercing film Iss Pyar Ko Kya Naam Doon. Sekalinya nemu di Disney+ domisili prindapan😭</t>
  </si>
  <si>
    <t>Ppkm udahan si, aku semaleman nangis grgr sercing film Iss Pyar Ko Kya Naam Doon. Sekalinya nemu di Disney+ domisili prindapan</t>
  </si>
  <si>
    <t>@elioatwindow Lg ppkm gabisa k bandung 😔</t>
  </si>
  <si>
    <t>Lg ppkm gabisa k bandung</t>
  </si>
  <si>
    <t>@alisyarief @jokowi DPR dan MPR dan MK seharusnya secepatnya memberhentikan seorang presiden yang jelas jelas gak mampu menjalankan UUD 45, saat ini terlalu banyak WNI yang menderita karena penerapan PPKM, Rakyat susah banget</t>
  </si>
  <si>
    <t>DPR dan MPR dan MK seharusnya secepatnya memberhentikan seorang presiden yang jelas jelas gak mampu menjalankan UUD , saat ini terlalu banyak WNI yang menderita karena penerapan PPKM, Rakyat susah banget</t>
  </si>
  <si>
    <t>abis ppkm staycation yu</t>
  </si>
  <si>
    <t>@susipudjiastuti Qmu ga tau susah nya jadi rakyat di masa ppkm</t>
  </si>
  <si>
    <t>Qmu ga tau susah nya jadi rakyat di masa ppkm</t>
  </si>
  <si>
    <t>ppkm kapan beres aku pengen konseling offline :(</t>
  </si>
  <si>
    <t>ppkm kapan beres aku pengen konseling offline</t>
  </si>
  <si>
    <t>@swaadikappp Ppkm bang, nanti kalo longgar gue nginep kosan lo</t>
  </si>
  <si>
    <t>Ppkm bang, nanti kalo longgar gue nginep kosan lo</t>
  </si>
  <si>
    <t>gak sih mungkin klo ppkm gw ga main bumble dan dia jg ga</t>
  </si>
  <si>
    <t>@Dennysiregar7 Ya resiko slalu memperpanjang aturan PPKM atas nama Corona.
 Kami kami sja pendukung Jkw gerah dgn aturan aturan tersebut</t>
  </si>
  <si>
    <t>Ya resiko slalu memperpanjang aturan PPKM atas nama Corona.Kami kami sja pendukung Jkw gerah dgn aturan aturan tersebut</t>
  </si>
  <si>
    <t>@__inibukanaku__ Online beib japri.
 Mana ada lg ppkm toko mz buka😹</t>
  </si>
  <si>
    <t>Online beib japri.Mana ada lg ppkm toko mz buka</t>
  </si>
  <si>
    <t>bayangin klo ini ga ppkm dan gw di jkt GRRRRRGGGHHHHHHH gw psti jalan ama dia</t>
  </si>
  <si>
    <t>Memang aneh sejak ada PSBB kemudian PPKM jumlah korban positif terus bertambah heh heh heh...
 Permainan siapa?
 https://t.co/nT3DmsJvHx
 #IndonesiaDaruratPerang 
 #IndonesiaDaruratPerang</t>
  </si>
  <si>
    <t>Memang aneh sejak ada PSBB kemudian PPKM jumlah korban positif terus bertambah heh heh heh...Permainan siapa?</t>
  </si>
  <si>
    <t>PPKM Tapi Pintu Perbatasan Tetap Buka &amp;amp; Tanpa Jaminan Kebutuhan, Akankah efektif? | Simak selengkapnya di video ini
 https://t.co/n6BzyyBc9s</t>
  </si>
  <si>
    <t>PPKM Tapi Pintu Perbatasan Tetap Buka &amp;amp; Tanpa Jaminan Kebutuhan, Akankah efektif? | Simak selengkapnya di video ini</t>
  </si>
  <si>
    <t>@drpriono1 Kalo maaf nya begitu lebih jelas, drpd bilang ppkm blm maksimal - silat lidah.</t>
  </si>
  <si>
    <t>Kalo maaf nya begitu lebih jelas, drpd bilang ppkm blm maksimal - silat lidah.</t>
  </si>
  <si>
    <t>@artinyalelah iya anjir tapi ppkm gini masih aja banyak yang keluar ngeselin bgt padahal ppkm juga biar cepet selesai covidnya</t>
  </si>
  <si>
    <t>iya anjir tapi ppkm gini masih aja banyak yang keluar ngeselin bgt padahal ppkm juga biar cepet selesai covidnya</t>
  </si>
  <si>
    <t>ppkm lvel 4 cabenya kurang😁</t>
  </si>
  <si>
    <t>ppkm lvel cabenya kurang</t>
  </si>
  <si>
    <t>Tabungan udah ludes, PPKM diperpanjang :(</t>
  </si>
  <si>
    <t>Tabungan udah ludes, PPKM diperpanjang</t>
  </si>
  <si>
    <t>merisau aku ppkm nda udah udah</t>
  </si>
  <si>
    <t>@HzInut ppkm bg🗿</t>
  </si>
  <si>
    <t>ppkm bg</t>
  </si>
  <si>
    <t>Gara-gara ppkm gue ga bisa pulang🔫</t>
  </si>
  <si>
    <t>Gara-gara ppkm gue ga bisa pulang</t>
  </si>
  <si>
    <t>25 juli dah ga ppkm lgi kan ya? Atoo ada perpanjangan lgi?</t>
  </si>
  <si>
    <t>juli dah ga ppkm lgi kan ya? Atoo ada perpanjangan lgi?</t>
  </si>
  <si>
    <t>bener sih ppkm gabikin keluar uang buat nongkrong tapi uangnya pada habis buat co shopee😭😭✋🏻 rip my wallet🧎🏻‍♀️🧎🏻‍♀️ https://t.co/D2Z8b0alRR</t>
  </si>
  <si>
    <t>bener sih ppkm gabikin keluar uang buat nongkrong tapi uangnya pada habis buat co shopee rip my wallet</t>
  </si>
  <si>
    <t>@maraskv IHH IYA BANGETT, AKU UDAH PREPARE BUAT LOMBA, LATIHAN SIANG MALEMM EH TERNYATA GAJADI GARA2 PPKM ASJZKALAPZNZGG💔💔</t>
  </si>
  <si>
    <t>IHH IYA BANGETT, AKU UDAH PREPARE BUAT LOMBA, LATIHAN SIANG MALEMM EH TERNYATA GAJADI GARA2 PPKM ASJZKALAPZNZGG</t>
  </si>
  <si>
    <t>@NotFound_1945 @OposisiCerdas @PutriK3ncana Perusahaan saya bekerja, akhirnya dilakukan pemotongan gaji terhadap pegawai kontrak, karena tidak tahan efek PPKM, mungkin banyak sekali perusahaan lain melakukan hal yg sama, belum lagi yg diputus Kontrak karena perusahaan kolaps/bangkrut😔</t>
  </si>
  <si>
    <t>Perusahaan saya bekerja, akhirnya dilakukan pemotongan gaji terhadap pegawai kontrak, karena tidak tahan efek PPKM, mungkin banyak sekali perusahaan lain melakukan hal yg sama, belum lagi yg diputus Kontrak karena perusahaan kolaps/bangkrut</t>
  </si>
  <si>
    <t>hate PPKM jadi susah mau beli sepatu😡</t>
  </si>
  <si>
    <t>hate PPKM jadi susah mau beli sepatu</t>
  </si>
  <si>
    <t>Dimulai dari #Penyekatan h-1 ppkm aku udah dapat surat Tugas dari kantor, karena aku kerja di Kab.Gianyar sedangkan rumahku di Badung. Otomatis tiap berangkat kerja aku selalu lewat Denpasar (Gatsu) ke Gianyar. Kebetulan ada penyekatan di simpang Kebo Iwa Utara x Selatan.</t>
  </si>
  <si>
    <t>Dimulai dari h-1 ppkm aku udah dapat surat Tugas dari kantor, karena aku kerja di Kab.Gianyar sedangkan rumahku di Badung. Otomatis tiap berangkat kerja aku selalu lewat Denpasar (Gatsu) ke Gianyar. Kebetulan ada penyekatan di simpang Kebo Iwa Utara x Selatan.</t>
  </si>
  <si>
    <t>Yok -rek berteman sama aku. Rep aja yah 😊 habis ppkm gas rinjani https://t.co/yDOpTR3dpP</t>
  </si>
  <si>
    <t>Yok -rek berteman sama aku. Rep aja yah habis ppkm gas rinjani</t>
  </si>
  <si>
    <t>@pinnepiinn SAMAAAAA, TAPI AKU GA ESKUL ESKUL GARA GARA PPKM, PENGEN IKUT LOMBAAAA 😔😔😔😔</t>
  </si>
  <si>
    <t>SAMAAAAA, TAPI AKU GA ESKUL ESKUL GARA GARA PPKM, PENGEN IKUT LOMBAAAA</t>
  </si>
  <si>
    <t>@_imamprasetyo @nenglalagembul @kasakkusuk14 @BoratCorleone APBD wanabud, dana korup cendana cikeas utk ngasih mkn buzzerp lapar tkg hoax kyk lo
 Si goblog pendusta model wanabud dn sigendutprihatin dipuja-puji sekolam keruh. JKT jadi episentrum covid dn hoax
 Sekrg PPKM tanpa memberi bantuan, rakyat jualan ditangkap ma wanabuud. Guoblog</t>
  </si>
  <si>
    <t>APBD wanabud, dana korup cendana cikeas utk ngasih mkn buzzerp lapar tkg hoax kyk loSi goblog pendusta model wanabud dn sigendutprihatin dipuja-puji sekolam keruh. JKT jadi episentrum covid dn hoaxSekrg PPKM tanpa memberi bantuan, rakyat jualan ditangkap ma wanabuud. Guoblog</t>
  </si>
  <si>
    <t>@detikcom Ada info perpanjangan ppkm setelah tanggal 25?</t>
  </si>
  <si>
    <t>Ada info perpanjangan ppkm setelah tanggal ?</t>
  </si>
  <si>
    <t>pen service laptop tp masi ppkm hadehh</t>
  </si>
  <si>
    <t>Salon yang masih buka pas ppkm gini dimana yaa? Pengen potong rambut:( [bgr]</t>
  </si>
  <si>
    <t>Salon yang masih buka pas ppkm gini dimana yaa? Pengen potong rambut [bgr]</t>
  </si>
  <si>
    <t>Koptu Eko budi bersama anggota Polsek Jumantono melaksanakan pemantauan kegiatan warga selama PPKM darurat. https://t.co/FHBpxDkWDq</t>
  </si>
  <si>
    <t>Koptu Eko budi bersama anggota Polsek Jumantono melaksanakan pemantauan kegiatan warga selama PPKM darurat.</t>
  </si>
  <si>
    <t>@sisthaaaaa @hrdbacot Mbak.. di situ ppkm udah level brp?</t>
  </si>
  <si>
    <t>Mbak.. di situ ppkm udah level brp?</t>
  </si>
  <si>
    <t>@noyPDL @gwdira @bulansutenaa nah, semoga PPKM tidak berubah nama 😭</t>
  </si>
  <si>
    <t>nah, semoga PPKM tidak berubah nama</t>
  </si>
  <si>
    <t>@gxgacc Ppkm ga si brou</t>
  </si>
  <si>
    <t>Ppkm ga si brou</t>
  </si>
  <si>
    <t>-rek kalo dari arah menanggal ke kenjeran lewat stesia jalan2nya ditutup ngga ya?disuruh jemput sodara tp takut ppkm huhu no salty ya tmen2 hehe</t>
  </si>
  <si>
    <t>besok ppkm kan udah selesai, kalian ada planning ga?</t>
  </si>
  <si>
    <t>@teddykusumaw Ngikuti pemerintah.. PPKM level 4 😂😂😂</t>
  </si>
  <si>
    <t>Ngikuti pemerintah.. PPKM level</t>
  </si>
  <si>
    <t>Ppkm diperpanjang gaaa?</t>
  </si>
  <si>
    <t>Survey kecil2an, PPKM atau apalah namanya akan :</t>
  </si>
  <si>
    <t>ppkm tuh sampe tanggal berapa ya? asli gue gabut dirumah</t>
  </si>
  <si>
    <t>Setelah melihat kasus harian copid di dalam kota, bukan mendoakan, tapi aku mencium bau² ppkm next level ini 😂</t>
  </si>
  <si>
    <t>Setelah melihat kasus harian copid di dalam kota, bukan mendoakan, tapi aku mencium bau ppkm next level ini</t>
  </si>
  <si>
    <t>Data covid harian di denpasar turun walaupun kasus kumulatif bali naik
 Yuk bisa yuk,jangan dulu dikasi yang mudik mudik itu ke bali,tetap jaga diri,pakai maskernya dengan benar
 Bosen ppkm terus</t>
  </si>
  <si>
    <t>Data covid harian di denpasar turun walaupun kasus kumulatif bali naikYuk bisa yuk,jangan dulu dikasi yang mudik mudik itu ke bali,tetap jaga diri,pakai maskernya dengan benarBosen ppkm terus</t>
  </si>
  <si>
    <t>klo nunggu kasusnya turun dibawah 10rb per hari ya bisa sampe september ini ppkm nya</t>
  </si>
  <si>
    <t>klo nunggu kasusnya turun dibawah rb per hari ya bisa sampe september ini ppkm nya</t>
  </si>
  <si>
    <t>@hfxia5 sama sih, aku jg sekarang ga eskul eskul gata gara ppkm ini, kaya ga ada eskul, padahal pgn bgt ikut lomba😔😔</t>
  </si>
  <si>
    <t>sama sih, aku jg sekarang ga eskul eskul gata gara ppkm ini, kaya ga ada eskul, padahal pgn bgt ikut lomba</t>
  </si>
  <si>
    <t>Info dong area sentul masih ppkm tidak ya...tks</t>
  </si>
  <si>
    <t>pak @jokowi aku tanya dong boleh
 jawab ya, itu mekar dan pnpm besutan siapa pak? bapak ya?
 kok termyata kejam y, sudah tau ppkm jualaan susah masih, setoran tep bayar, bantuan mekar aja kg dpet, sini aku pemgen tau letak hati nurani bapak, rakyat susah pak 😭</t>
  </si>
  <si>
    <t>pak aku tanya dong bolehjawab ya, itu mekar dan pnpm besutan siapa pak? bapak ya?kok termyata kejam y, sudah tau ppkm jualaan susah masih, setoran tep bayar, bantuan mekar aja kg dpet, sini aku pemgen tau letak hati nurani bapak, rakyat susah pak</t>
  </si>
  <si>
    <t>Dukung PPKM Level 4 Di Perpanjang
 Semesta Mendukung Jokowi https://t.co/YpsT1elZIE</t>
  </si>
  <si>
    <t>Dukung PPKM Level Di PerpanjangSemesta Mendukung Jokowi</t>
  </si>
  <si>
    <t>Masih menunggu ppkm selesai https://t.co/gNA6Mm6Ra5</t>
  </si>
  <si>
    <t>Masih menunggu ppkm selesai</t>
  </si>
  <si>
    <t>Sedih bgt kalo sampe nanti Peringatan Hari Kemerdekaan ga ada perayaan apa-apa karena pandemi dan ppkm :(</t>
  </si>
  <si>
    <t>Sedih bgt kalo sampe nanti Peringatan Hari Kemerdekaan ga ada perayaan apa-apa karena pandemi dan ppkm</t>
  </si>
  <si>
    <t>ni ppkm udahn ap lnjut</t>
  </si>
  <si>
    <t>Dukung PPKM Level 4 Di Perpanjang
 Semesta Mendukung Jokowi https://t.co/6q2gQ5I1s6</t>
  </si>
  <si>
    <t>@subschfess Enggak kayaknya
 Didaerahku ada 1000 kasus aktif:)
 Terus ppkm bagiku gak seketat 'itu'</t>
  </si>
  <si>
    <t>Enggak kayaknyaDidaerahku ada kasus aktifTerus ppkm bagiku gak seketat 'itu'</t>
  </si>
  <si>
    <t>Lagi lagi Pejabat bikin acara/pesta disaat Pandemi dan PPKM level 4 kek begini.
 Jangan salahkan ada orang2 yg anti vaksin atau gak percaya Covid. Harusnya yg diatas kasih contoh yg baik.
 Atau kita yg dibawah kek gini yg harus kasih contoh yg baik ke Pejabat diatas sana?</t>
  </si>
  <si>
    <t>Lagi lagi Pejabat bikin acara/pesta disaat Pandemi dan PPKM level kek begini.Jangan salahkan ada orang2 yg anti vaksin atau gak percaya Covid. Harusnya yg diatas kasih contoh yg baik.Atau kita yg dibawah kek gini yg harus kasih contoh yg baik ke Pejabat diatas sana?</t>
  </si>
  <si>
    <t>@2lolbgt Ppkm gak ppkm juga tetep cuddle gak sih</t>
  </si>
  <si>
    <t>Ppkm gak ppkm juga tetep cuddle gak sih</t>
  </si>
  <si>
    <t>Yg aneh lg, di daerah ku ada 2 jalur ke arah yg sama, yg satu lewat bawah yg satu lewat jembatan layang, jalur jembatan ini ditutup dgn alasan ppkm dan otomatis semua lewat bawah, bikin macet. Tlg lah itu buat yg ngide tutup jalan PLS DA AING GE MOAL NONGKRONG DI LUHUR JEMBATAN https://t.co/P9fDY5b9KP</t>
  </si>
  <si>
    <t>Yg aneh lg, di daerah ku ada jalur ke arah yg sama, yg satu lewat bawah yg satu lewat jembatan layang, jalur jembatan ini ditutup dgn alasan ppkm dan otomatis semua lewat bawah, bikin macet. Tlg lah itu buat yg ngide tutup jalan PLS DA AING GE MOAL NONGKRONG DI LUHUR JEMBATAN</t>
  </si>
  <si>
    <t>Hari terakhir PPKM. Perpanjang lagi aja tinggal motor yg belum gw dijual tanggung nihhh</t>
  </si>
  <si>
    <t>sekarang kalau bilang "kangen" dijawabnya "ppkm, virtual dulu".</t>
  </si>
  <si>
    <t>@_yourminexxx dirumah aj lg ppkm</t>
  </si>
  <si>
    <t>dirumah aj lg ppkm</t>
  </si>
  <si>
    <t>Ohiya pas ppkm harusnya dia isoman krn keluarga serumah positif tp kan emang wong rame warung... Malah ke pasar, nitip jualan nya ke temennya...</t>
  </si>
  <si>
    <t>@Serventsins @ibudosenkw Belum mbak itu hoax
 Kalo dari laman website kesetrariatan negara pemerintah belum mengambil keputusan perpanjangan PPKM</t>
  </si>
  <si>
    <t>Belum mbak itu hoaxKalo dari laman website kesetrariatan negara pemerintah belum mengambil keputusan perpanjangan PPKM</t>
  </si>
  <si>
    <t>@NyaiiBubu Awal pendemic dulu kau minta lockdwon sekarang PPKM ribut minta ampun dasar anjing dalam kandang gonggon aja gede..</t>
  </si>
  <si>
    <t>Awal pendemic dulu kau minta lockdwon sekarang PPKM ribut minta ampun dasar anjing dalam kandang gonggon aja gede..</t>
  </si>
  <si>
    <t>@armenmend liat aj ntr slesai ppkm, pasti nyata itu aksi ada..</t>
  </si>
  <si>
    <t>liat aj ntr slesai ppkm, pasti nyata itu aksi ada..</t>
  </si>
  <si>
    <t>@yourbee22 buka ga si ppkm gini?</t>
  </si>
  <si>
    <t>buka ga si ppkm gini?</t>
  </si>
  <si>
    <t>@akutuhcewek Seh ppkm hmm</t>
  </si>
  <si>
    <t>Seh ppkm hmm</t>
  </si>
  <si>
    <t>Selamat pagi,selamat hari minggu,hari terakhir PPKM semoga ga di perpanjang lagi spy bs mengembara lagi mencari rejeki https://t.co/Pby73wFjsu</t>
  </si>
  <si>
    <t>Selamat pagi,selamat hari minggu,hari terakhir PPKM semoga ga di perpanjang lagi spy bs mengembara lagi mencari rejeki</t>
  </si>
  <si>
    <t>PPKM = Pelan Pelan Ku Meninggoy melihat orang mesra terosss
 Masih pagi mau hirup udara seger aja pake ada yg lewat jogging berduaan.</t>
  </si>
  <si>
    <t>PPKM = Pelan Pelan Ku Meninggoy melihat orang mesra terosssMasih pagi mau hirup udara seger aja pake ada yg lewat jogging berduaan.</t>
  </si>
  <si>
    <t>@bertanyarl PPKM is useless, at least in my place. Gue tinggal di desa yang mayoritas isinya orang-orang tua. Mereka masih suka keluar-keluar rumah entah buat kumpul bareng, hajatan atau belanja. Kalau di daerah kotanya masih ramai karena banyak yang kerja atau main.</t>
  </si>
  <si>
    <t>PPKM is useless, at least in my place. Gue tinggal di desa yang mayoritas isinya orang-orang tua. Mereka masih suka keluar-keluar rumah entah buat kumpul bareng, hajatan atau belanja. Kalau di daerah kotanya masih ramai karena banyak yang kerja atau main.</t>
  </si>
  <si>
    <t>@sudjiwotedjo "PPKM Reborn level karet 2 (pedes poll)"</t>
  </si>
  <si>
    <t>"PPKM Reborn level karet (pedes poll)"</t>
  </si>
  <si>
    <t>@TeddyGusnaidi Lah emang faktanya demikian toh waktu jaman psbb ampek ppkm ada aja TKA masuk.. Rakyatnya di suruh anteng di rumah. Lalu "tamu asing" di undang masuk</t>
  </si>
  <si>
    <t>Lah emang faktanya demikian toh waktu jaman psbb ampek ppkm ada aja TKA masuk.. Rakyatnya di suruh anteng di rumah. Lalu "tamu asing" di undang masuk</t>
  </si>
  <si>
    <t>PPKM tydac membuahkan hasil sama sekali https://t.co/hMb7MQm0d2</t>
  </si>
  <si>
    <t>PPKM tydac membuahkan hasil sama sekali</t>
  </si>
  <si>
    <t>@DraftUINJKT di rumah aja nder kan ppkm wkwkwk</t>
  </si>
  <si>
    <t>di rumah aja nder kan ppkm wkwkwk</t>
  </si>
  <si>
    <t>@anakbaliwots Nnti deh klo udh ga ppkm soalnya gw Maennya di komputer temen gw</t>
  </si>
  <si>
    <t>Nnti deh klo udh ga ppkm soalnya gw Maennya di komputer temen gw</t>
  </si>
  <si>
    <t>@raja_bukan @susipudjiastuti @HMuhendra Lha mau karantina wilayah!? .... Orang PPKM aja sudah demo besar-besaran .... Yang penting itu taat prokes untuk mencegah penularan 👌</t>
  </si>
  <si>
    <t>Lha mau karantina wilayah!? .... Orang PPKM aja sudah demo besar-besaran .... Yang penting itu taat prokes untuk mencegah penularan</t>
  </si>
  <si>
    <t>Kuncinya di daerah, kepala daerah, camat, lurah, rw, rt harus satu arah dg pusat kalau dibawah santai2 prokes gak diawasi ppkm msh lossss ya percuma saja https://t.co/OHuCllvNgj</t>
  </si>
  <si>
    <t>Kuncinya di daerah, kepala daerah, camat, lurah, rw, rt harus satu arah dg pusat kalau dibawah santai2 prokes gak diawasi ppkm msh lossss ya percuma saja</t>
  </si>
  <si>
    <t>@ubsansfess Gabisa nongkrong ppkm guiseee :)</t>
  </si>
  <si>
    <t>Gabisa nongkrong ppkm guiseee</t>
  </si>
  <si>
    <t>gais ppkm diperpanjang lagi ga???</t>
  </si>
  <si>
    <t>Bagi sebagian orang, PPKM itu mengganggu aktifitas, bagi sebagian lainnya, PPKM itu cara untuk istirahat sejenak dari rutinitas aktifitas.</t>
  </si>
  <si>
    <t>@Sadbahdm awkoawko, insyaAllah bang abis ppkm h3h3</t>
  </si>
  <si>
    <t>awkoawko, insyaAllah bang abis ppkm h3h3</t>
  </si>
  <si>
    <t>Jujurly. Hari ini tanggal 25 terakhir PPKM kan? Besok udah longgar lagi.</t>
  </si>
  <si>
    <t>Jujurly. Hari ini tanggal terakhir PPKM kan? Besok udah longgar lagi.</t>
  </si>
  <si>
    <t>@DibalikSenjaa_ gapapa udh kan ppkm</t>
  </si>
  <si>
    <t>gapapa udh kan ppkm</t>
  </si>
  <si>
    <t>Aku lihat2 , Ppkm jadi rajin didapur.
 Bikin sesuatu. 
 Kali ini, bikin Es Gabus Rasa Mangga
 😍 https://t.co/mQWZLVu2Zz</t>
  </si>
  <si>
    <t>Aku lihat2 , Ppkm jadi rajin didapur.Bikin sesuatu. Kali ini, bikin Es Gabus Rasa Mangga</t>
  </si>
  <si>
    <t>Ppkm udh slesai ya?</t>
  </si>
  <si>
    <t>Progres penyaluran bantuan desa prosentase 44,17% yang tertinggi Kota Batu, untuk desa yang tersalur bantuan ada 7.720 desa dan 3 desa yang belum, Alokasi dana desa untuk PPKM Mikro untuk penanganan covid-19</t>
  </si>
  <si>
    <t>Progres penyaluran bantuan desa prosentase % yang tertinggi Kota Batu, untuk desa yang tersalur bantuan ada desa dan desa yang belum, Alokasi dana desa untuk PPKM Mikro untuk penanganan covid-19</t>
  </si>
  <si>
    <t>PPKM lanjoot https://t.co/bWMA8jzRx7</t>
  </si>
  <si>
    <t>PPKM lanjoot</t>
  </si>
  <si>
    <t>@ainunnajib Saatnya PPKM disudahi</t>
  </si>
  <si>
    <t>Saatnya PPKM disudahi</t>
  </si>
  <si>
    <t>ngeeksekusiin JOBDESC SIMPLE2 ke RAKYAT ala BUK RISMA ginih kudunya sik bisa nge-INSPIRASIIN MENTERI2 laen agar EKSYEN SERUPA di masa PPKM. penting agar RAKYAT BAHAGIA https://t.co/L2xK8gLaFg</t>
  </si>
  <si>
    <t>ngeeksekusiin JOBDESC SIMPLE2 ke RAKYAT ala BUK RISMA ginih kudunya sik bisa nge-INSPIRASIIN MENTERI2 laen agar EKSYEN SERUPA di masa PPKM. penting agar RAKYAT BAHAGIA</t>
  </si>
  <si>
    <t>@veghaaginanda kan ppkm</t>
  </si>
  <si>
    <t>kan ppkm</t>
  </si>
  <si>
    <t>Ppkm jd diperpanjang g sih</t>
  </si>
  <si>
    <t>Ppkm berakhir kalian mau kemana?</t>
  </si>
  <si>
    <t>@RachlanNashidik @FckCoffee48 Gempa ? Ganti Presiden
 Banjir ? Ganti Presiden
 Badai Seroja ? Ganti Presiden
 Gunung Meletus ? Ganti Presiden
 Kena Macet ? Ganti Presiden
 Kena Corona ? Ganti Presiden
 Kena PPKM ? Ganti Presiden
 Puki mai betul para bangsat itu !!!</t>
  </si>
  <si>
    <t>Gempa ? Ganti PresidenBanjir ? Ganti PresidenBadai Seroja ? Ganti PresidenGunung Meletus ? Ganti PresidenKena Macet ? Ganti PresidenKena Corona ? Ganti PresidenKena PPKM ? Ganti PresidenPuki mai betul para bangsat itu !!!</t>
  </si>
  <si>
    <t>apakah aturan PPKM juga mengharuskan Gereja tutup pada hari minggu ?! tolong jawab pak @jokowi kami di Sorong - Papua Barat</t>
  </si>
  <si>
    <t>apakah aturan PPKM juga mengharuskan Gereja tutup pada hari minggu ?! tolong jawab pak kami di Sorong - Papua Barat</t>
  </si>
  <si>
    <t>Disini ada yg ngotot minta lockdown &amp;amp; menolak PPKM. Di negara demokrasi berbeda pendapat bhkn protes itu biasa, yg tdk biasa itu memaksakan kehendak, seakan opininya paling benar. Pengambil kebijakan hrs memilih yg plg rasional dan sesuai keadaan. https://t.co/moxz2ArJBj</t>
  </si>
  <si>
    <t>Disini ada yg ngotot minta lockdown &amp;amp; menolak PPKM. Di negara demokrasi berbeda pendapat bhkn protes itu biasa, yg tdk biasa itu memaksakan kehendak, seakan opininya paling benar. Pengambil kebijakan hrs memilih yg plg rasional dan sesuai keadaan.</t>
  </si>
  <si>
    <t>@FKadrun 🤣🤣🤣 kalimat trakir pedes banget bro. brasa level 10 kek PPKM .
 ini ppkm apa mo pesen seblak</t>
  </si>
  <si>
    <t>kalimat trakir pedes banget bro. brasa level kek PPKM .ini ppkm apa mo pesen seblak</t>
  </si>
  <si>
    <t>Alasannya apa sih PCR diwajibin dipesawat doang? Sedangkan yang lain cuman antigen. Taiklah PPKM ini! https://t.co/9tRraKVILO</t>
  </si>
  <si>
    <t>Alasannya apa sih PCR diwajibin dipesawat doang? Sedangkan yang lain cuman antigen. Taiklah PPKM ini!</t>
  </si>
  <si>
    <t>@Soniaaakkk Ppkm level hati 😭</t>
  </si>
  <si>
    <t>Ppkm level hati</t>
  </si>
  <si>
    <t>jends di pwt ppkm lanjut apa ngga?</t>
  </si>
  <si>
    <t>@alisyarief PPKM Level., terserah apa dilanjutkan klo memang diperlukan. Tp ingat kewajiban negara utk memberi bantuan utk rakyat kecil..</t>
  </si>
  <si>
    <t>PPKM Level., terserah apa dilanjutkan klo memang diperlukan. Tp ingat kewajiban negara utk memberi bantuan utk rakyat kecil..</t>
  </si>
  <si>
    <t>aku suka ppkm tanpa m</t>
  </si>
  <si>
    <t>@anaiviem ppkm sis</t>
  </si>
  <si>
    <t>ppkm sis</t>
  </si>
  <si>
    <t>@detikcom Terpaksa nipu karena tidak bisa bekerja &amp;amp; tidak punya beras dimassa PPKM Darurat ini, apa memang kebiasaannya nipu Rakyat kayak Pejabat di Pemda Tuban atas Program Bansos yg disidak Mensos Risma ya ...?</t>
  </si>
  <si>
    <t>Terpaksa nipu karena tidak bisa bekerja &amp;amp; tidak punya beras dimassa PPKM Darurat ini, apa memang kebiasaannya nipu Rakyat kayak Pejabat di Pemda Tuban atas Program Bansos yg disidak Mensos Risma ya ...?</t>
  </si>
  <si>
    <t>makassar ppkm level 4,saya level 2 saja kepedisan mi</t>
  </si>
  <si>
    <t>makassar ppkm level ,saya level saja kepedisan mi</t>
  </si>
  <si>
    <t>ppkm gini kalo wifi rusak gimana cok</t>
  </si>
  <si>
    <t>@iaridlo Mikirnya atau PPKMnya yg dipanjangin?
 Eh, kalau PPKM itu dinaikin atau diturunin levelnya, kok ya?</t>
  </si>
  <si>
    <t>Mikirnya atau PPKMnya yg dipanjangin?Eh, kalau PPKM itu dinaikin atau diturunin levelnya, kok ya?</t>
  </si>
  <si>
    <t>@bertanyarl gini gengs buat yg ga ngikutin,
 PPKM JAWA-BALI itu bkal di longgarkan bertahap per tgl 26 Juli bsk JIKA ada tren penurunan kasus covid. dilonggarkan pun skrng ada level nya, 
 Lvl. 1-2 PPKM Mikro
 Lvl. 3-4 PPKM Darurat
 penentuan lvl based on kasus covid per 100K pnduduk in a week</t>
  </si>
  <si>
    <t>gini gengs buat yg ga ngikutin,PPKM JAWA-BALI itu bkal di longgarkan bertahap per tgl Juli bsk JIKA ada tren penurunan kasus covid. dilonggarkan pun skrng ada level nya, Lvl. $NUMBER$ PPKM MikroLvl. $NUMBER$ PPKM Daruratpenentuan lvl based on kasus covid per K pnduduk in a week</t>
  </si>
  <si>
    <t>@minyakgorengku Ppkm shan 🤭😅</t>
  </si>
  <si>
    <t>Ppkm shan</t>
  </si>
  <si>
    <t>@febridiansyah Nahh... Dah tahu kan pada kosong..
 Syukur rakyat dapat gratisan dapat vitaminnya. 
 Atau jangan jangan Vitaminya juga ikut PPKM? 
 Semoga tidak jadi bisnisan baru untuk dimonopoli. Seperti berita berita gejala yang katanya ada yang peDeKate ke perusahaan..</t>
  </si>
  <si>
    <t>Nahh... Dah tahu kan pada kosong..Syukur rakyat dapat gratisan dapat vitaminnya. Atau jangan jangan Vitaminya juga ikut PPKM? Semoga tidak jadi bisnisan baru untuk dimonopoli. Seperti berita berita gejala yang katanya ada yang peDeKate ke perusahaan..</t>
  </si>
  <si>
    <t>PPKM ini tujuannya untuk mencegah perkerumunan, seharusnya para pedagang diberikan arahan jgan sampai yg belanja berkerumun,kalau banyak yg belanja tunggu dl jgn masuk antrian,bukan dibatasi tutup warungnya,masyarakat butuh biyaya hidup. https://t.co/4cJaxxekCT</t>
  </si>
  <si>
    <t>PPKM ini tujuannya untuk mencegah perkerumunan, seharusnya para pedagang diberikan arahan jgan sampai yg belanja berkerumun,kalau banyak yg belanja tunggu dl jgn masuk antrian,bukan dibatasi tutup warungnya,masyarakat butuh biyaya hidup.</t>
  </si>
  <si>
    <t>Ppkm diperpanjang lagi ??</t>
  </si>
  <si>
    <t>Kayanya 1st thing yg akan aku lakukan setelah PPKM darurat selesai adalah kulineran :")
 bay diet hahahaha</t>
  </si>
  <si>
    <t>Kayanya st thing yg akan aku lakukan setelah PPKM darurat selesai adalah kulineran :")bay diet hahahaha</t>
  </si>
  <si>
    <t>Besok masih PPKM engga ya ? Mau ke jakarta, benerin laptop.</t>
  </si>
  <si>
    <t>udah ppkm lagi aja :) dahlah musuh banget covid ni :(</t>
  </si>
  <si>
    <t>udah ppkm lagi aja dahlah musuh banget covid ni</t>
  </si>
  <si>
    <t>@geloraco Rakyat cina maksudnya? Saat PPKM sampe mirip boncabe tetep lenggang kangkung masuk RI lewat bandara?</t>
  </si>
  <si>
    <t>Rakyat cina maksudnya? Saat PPKM sampe mirip boncabe tetep lenggang kangkung masuk RI lewat bandara?</t>
  </si>
  <si>
    <t>PPKM di sini, diperpanjang sampe 8 Agustus. HADUUUUW 🥵🥵</t>
  </si>
  <si>
    <t>PPKM di sini, diperpanjang sampe Agustus. HADUUUUW</t>
  </si>
  <si>
    <t>selama ppkm apalagi raya kemarin ga kontrol bangett di bb, sampe mau liat timbangan ogah ogahan ihhh</t>
  </si>
  <si>
    <t>PPKM ini ???? https://t.co/xGS2pb9r7W</t>
  </si>
  <si>
    <t>PPKM ini ????</t>
  </si>
  <si>
    <t>@idextratime Lagi ppkm begini yg halal mah apa aja dikerjain</t>
  </si>
  <si>
    <t>Lagi ppkm begini yg halal mah apa aja dikerjain</t>
  </si>
  <si>
    <t>kepikiran skripsi dan berkas berkasnya yg terhalang ppkm, bikin gabisa tidur sama chat admin shopee buat nanya kain😔 nerbener gabisa bnyk pikiran gue nih, pen jajan mulu pdhl miskin</t>
  </si>
  <si>
    <t>kepikiran skripsi dan berkas berkasnya yg terhalang ppkm, bikin gabisa tidur sama chat admin shopee buat nanya kain nerbener gabisa bnyk pikiran gue nih, pen jajan mulu pdhl miskin</t>
  </si>
  <si>
    <t>@pikiran_rakyat @YouTube Biawaknya mau menyampaikan aspirasi masyarakat,terkait dampak PPKM.</t>
  </si>
  <si>
    <t>Biawaknya mau menyampaikan aspirasi masyarakat,terkait dampak PPKM.</t>
  </si>
  <si>
    <t>sudahi bandel mu, liat mamak mu ngejerit gara gara ppkm</t>
  </si>
  <si>
    <t>@zia24_ Next kl sdh g ada ppkm..</t>
  </si>
  <si>
    <t>Next kl sdh g ada ppkm..</t>
  </si>
  <si>
    <t>@KRMTRoySuryo2 Ini logika nya gimana?
 Presiden bukan menenangkan rakyat nya dengan ketersedian obat, malah mengumumkan bahwa obat sulit didapat, sudah susah, obat sulit,,,,!!!
 Dimana fungsi negara kl begitu 
 #PPKM 
 #PELAN_PELAN_KITA_MAMPUS</t>
  </si>
  <si>
    <t>Ini logika nya gimana?Presiden bukan menenangkan rakyat nya dengan ketersedian obat, malah mengumumkan bahwa obat sulit didapat, sudah susah, obat sulit,,,,!!!Dimana fungsi negara kl begitu</t>
  </si>
  <si>
    <t>Kondisi saat ini lagi bener2 butuh dolar, ppkm oh ppkm</t>
  </si>
  <si>
    <t>Besok mulai PPKM 😷</t>
  </si>
  <si>
    <t>Besok mulai PPKM</t>
  </si>
  <si>
    <t>Bisa2nya masa ppkm gini di jalan raya kedengeran engine supercar 🙂</t>
  </si>
  <si>
    <t>Bisa2nya masa ppkm gini di jalan raya kedengeran engine supercar</t>
  </si>
  <si>
    <t>Menangis ngecek saldo rekening 😭 
 plis lah ppkm udahan dong, udah gabisa bertahan hidup lebih lama lagi https://t.co/xf9fTAX9y9</t>
  </si>
  <si>
    <t>Menangis ngecek saldo rekening plis lah ppkm udahan dong, udah gabisa bertahan hidup lebih lama lagi</t>
  </si>
  <si>
    <t>Hari ini PPKM darurat Level 4 berakir , keputusan apa yang akan diambil 1. PPKM level 3 atau 2. PPKM di serahkan pada masing masing daerah , PLOGO tak Akan mampu buat keputusan !!!</t>
  </si>
  <si>
    <t>Hari ini PPKM darurat Level berakir , keputusan apa yang akan diambil . PPKM level atau . PPKM di serahkan pada masing masing daerah , PLOGO tak Akan mampu buat keputusan !!!</t>
  </si>
  <si>
    <t>sekarang hari terakhir ppkm ga si?</t>
  </si>
  <si>
    <t>@papawh00 Ppkm membuat orang males malesan</t>
  </si>
  <si>
    <t>Ppkm membuat orang males malesan</t>
  </si>
  <si>
    <t>@RDadang3 @swannhere @susipudjiastuti Ni orang bisa mikir gk sih??? Tau gk sih kenapa ppkm bukan lockdown. Tau gak sih kalau ppkm ini rasa lockdown?
 Mungkin dia bingung karena pak @jokowi kebanyakan istilah. Ntah untuk menyelamatkan rakyatnya atau pejabatnya.</t>
  </si>
  <si>
    <t>Ni orang bisa mikir gk sih??? Tau gk sih kenapa ppkm bukan lockdown. Tau gak sih kalau ppkm ini rasa lockdown?Mungkin dia bingung karena pak kebanyakan istilah. Ntah untuk menyelamatkan rakyatnya atau pejabatnya.</t>
  </si>
  <si>
    <t>@bertanyarl sudah kuduga, semenjak pemerintah bilang mau siapin bansos &amp;amp; subsidi gaji, langsung kepikir : "pasti bakal lama nih ppkm"</t>
  </si>
  <si>
    <t>sudah kuduga, semenjak pemerintah bilang mau siapin bansos &amp;amp; subsidi gaji, langsung kepikir : "pasti bakal lama nih ppkm"</t>
  </si>
  <si>
    <t>@Sa_Ramadhan1 @jokowi 3. Aturan mulai PSBB sd PPKM darurat, Kartu Prakerja tdk termasuk sektor esensial/kritikal. Berarti tdk penting tdk mendesak mk politik anggaran seharusnya sejalan. Silahkan dianggarkan setelah pandemi. Saya tdk hanya membahas KP tapi saya bahas kebijakan darurat pandemi</t>
  </si>
  <si>
    <t>. Aturan mulai PSBB sd PPKM darurat, Kartu Prakerja tdk termasuk sektor esensial/kritikal. Berarti tdk penting tdk mendesak mk politik anggaran seharusnya sejalan. Silahkan dianggarkan setelah pandemi. Saya tdk hanya membahas KP tapi saya bahas kebijakan darurat pandemi</t>
  </si>
  <si>
    <t>@Rezaasetya @RFaisalPahlevi1 @fanta_junaidi @HusinShihab Persepsi apa?
 Lu mau ngajakin pedagang sektor non esensial, untuk melanggar aturan ppkm untuk buka usaha?</t>
  </si>
  <si>
    <t>Persepsi apa?Lu mau ngajakin pedagang sektor non esensial, untuk melanggar aturan ppkm untuk buka usaha?</t>
  </si>
  <si>
    <t>Assalamualaikum,
 Pagi sobat...
 Meski PPKM jangan lupa olah raga ya...
 Semoga video ini bisa menghibur &amp;amp; menambah imun kalian yg lagi isoman. 
 👉 @Wakgong7 
 👉 @zomet13 
 👉 @JuL3Rhm3 
 👉 @Febree17_ 
 Insyaa Allah... Allah yg pulihkan kesehatanmu kawan
 Wassalam https://t.co/J24tZeVH6a</t>
  </si>
  <si>
    <t>Assalamualaikum,Pagi sobat...Meski PPKM jangan lupa olah raga ya...Semoga video ini bisa menghibur &amp;amp; menambah imun kalian yg lagi isoman. Insyaa Allah... Allah yg pulihkan kesehatanmu kawanWassalam</t>
  </si>
  <si>
    <t>@FKadrun Diberlakukan PPKM Kaum cebong kelaparan😂😂
 #JokowiMundurRakyatSelamat https://t.co/2mPQWWAaSe</t>
  </si>
  <si>
    <t>Diberlakukan PPKM Kaum cebong kelaparan</t>
  </si>
  <si>
    <t>@99_heryanto @hansssolo Jika PPKM Level 4 Dilanjut, Aprindo Cemaskan Ritel Tutup Terus Bertambah https://t.co/uV9mqk7WyI #TempoMetro</t>
  </si>
  <si>
    <t>Jika PPKM Level Dilanjut, Aprindo Cemaskan Ritel Tutup Terus Bertambah</t>
  </si>
  <si>
    <t>@FOODFESS2 Ppkm selesai tp covidnya ada? Rumah-kantor aja</t>
  </si>
  <si>
    <t>Ppkm selesai tp covidnya ada? Rumah-kantor aja</t>
  </si>
  <si>
    <t>Keputusan Pemerintah Melanjutkan PPKM Sampai 25 Juli 2021 Sudah Tepat Guna Mencegah Pandemi Covid-19 di Indonesia https://t.co/tNZboidgIQ</t>
  </si>
  <si>
    <t>Keputusan Pemerintah Melanjutkan PPKM Sampai Juli Sudah Tepat Guna Mencegah Pandemi Covid-19 di Indonesia</t>
  </si>
  <si>
    <t>PPKM UDAH SELESAI , ADA YANG NGAJAK SERIUSAN GA NI ?</t>
  </si>
  <si>
    <t>@Rezaasetya @AgungP44073681 @RFaisalPahlevi1 @fanta_junaidi @HusinShihab Point lu itu apa sebenernya?
 Lu mau ngajakin pedagang sektor non esensial, untuk melanggar aturan ppkm untuk buka usaha?
 Mikir.</t>
  </si>
  <si>
    <t>Point lu itu apa sebenernya?Lu mau ngajakin pedagang sektor non esensial, untuk melanggar aturan ppkm untuk buka usaha?Mikir.</t>
  </si>
  <si>
    <t>ppkm diperpanjang lg ga ya</t>
  </si>
  <si>
    <t>Gausah pergi pergi kalo gapenting, kan lagi ppkm ya</t>
  </si>
  <si>
    <t>[askrl] masalah apa yg ada didaerah klian akibat c0v1d19 dan ppkm?</t>
  </si>
  <si>
    <t>@AZHARFRS Apa mungkin sampai penduduk indonesia 70% selesai di vaxxx, klo tidak dia akan terus gencarkan ppkm level 4, 5 dst 
 Jika sudah banyak yg tumbang dia bisa melanjutkan kekuasaannya dgn tenang</t>
  </si>
  <si>
    <t>Apa mungkin sampai penduduk indonesia % selesai di vaxxx, klo tidak dia akan terus gencarkan ppkm level , dst Jika sudah banyak yg tumbang dia bisa melanjutkan kekuasaannya dgn tenang</t>
  </si>
  <si>
    <t>PPKM tlg jgn diperpanjang dulu 3hri, ntar klo gw dah balek jkrta baru perpanjang lagi 🤧</t>
  </si>
  <si>
    <t>PPKM tlg jgn diperpanjang dulu hri, ntar klo gw dah balek jkrta baru perpanjang lagi</t>
  </si>
  <si>
    <t>@zeirosyada @Lucky7Bonus Aamiinn.. bawa santai aja hahah.. ikut GA ini ngisi waktu, sambil baca baca.. sdh bosen bgt PPKM ini</t>
  </si>
  <si>
    <t>Aamiinn.. bawa santai aja hahah.. ikut GA ini ngisi waktu, sambil baca baca.. sdh bosen bgt PPKM ini</t>
  </si>
  <si>
    <t>Klo mau ppkm sgera berahir,bantulah pemerintah...!!lha apa pemerintah udah bantu rakyat nya?itu aja dulu..ntar nanya lagi
 Serius?! Ada Kekuatan Besar yang Mau Gulingkan Jokowi, Katanya Orang Itu Adalah...... https://t.co/CG2L6kZBqM</t>
  </si>
  <si>
    <t>Klo mau ppkm sgera berahir,bantulah pemerintah...!!lha apa pemerintah udah bantu rakyat nya?itu aja dulu..ntar nanya lagiSerius?! Ada Kekuatan Besar yang Mau Gulingkan Jokowi, Katanya Orang Itu Adalah......</t>
  </si>
  <si>
    <t>Story ig gua lgi bnyk yg posting ke uwu an bareng doi nyaa, entah yg flshbck jaman SMA, yg selfie, yg ultah. Yaa ppkm membuat orang pada gabut .</t>
  </si>
  <si>
    <t>Mo nanya dong ppkm gini bus ato ngga mobil travel beroprasi gasi syg?</t>
  </si>
  <si>
    <t>PPKM diperpanjang sampe agustus dengan perubahan nama Level 3, Level 4. yaampun. kenapa sih pemerintah bikin aturan nanggung tapi pemerintah juga gamau nanggung rakyatnya.</t>
  </si>
  <si>
    <t>PPKM diperpanjang sampe agustus dengan perubahan nama Level , Level . yaampun. kenapa sih pemerintah bikin aturan nanggung tapi pemerintah juga gamau nanggung rakyatnya.</t>
  </si>
  <si>
    <t>@erroristf @winkxol tau ni kaga sabaran aje masi ppkm</t>
  </si>
  <si>
    <t>tau ni kaga sabaran aje masi ppkm</t>
  </si>
  <si>
    <t>Kapan PPKM darurat ini akan berakhir 😭</t>
  </si>
  <si>
    <t>Kapan PPKM darurat ini akan berakhir</t>
  </si>
  <si>
    <t>Warga Yogyakarta marahin pendemo PPKM....
 Keren nih bapak... Mahasiswa sekarang memang banyak yg tolol pak..... https://t.co/p0dZtS7SXT</t>
  </si>
  <si>
    <t>Warga Yogyakarta marahin pendemo PPKM....Keren nih bapak... Mahasiswa sekarang memang banyak yg tolol pak.....</t>
  </si>
  <si>
    <t>@SYandrilee Kemaren nyari kerja udah susah, sekarang yg udah kerja malah kena PHK, mana yg jualanpun yg mungkin juga punya karyawan yg Di mana anak² mereka menantikan gaji harian buat Beli beras Dengan alasan PPKM dilarang.</t>
  </si>
  <si>
    <t>Kemaren nyari kerja udah susah, sekarang yg udah kerja malah kena PHK, mana yg jualanpun yg mungkin juga punya karyawan yg Di mana anak mereka menantikan gaji harian buat Beli beras Dengan alasan PPKM dilarang.</t>
  </si>
  <si>
    <t>@__sanspeople ppkm lv brapa didaerah lu pak</t>
  </si>
  <si>
    <t>ppkm lv brapa didaerah lu pak</t>
  </si>
  <si>
    <t>Judul : PPKM LEVEL 4
 Harus banyak bersabar dan menyadari rasanya bersyukur,
 ketika banyak yang mengeluh kesusahan, tapi banyak yang gk bersyukur dan sadar udah dikasih kemudahan banyak banget sebelum pandemi ini ada huftttt .....</t>
  </si>
  <si>
    <t>Judul : PPKM LEVEL Harus banyak bersabar dan menyadari rasanya bersyukur,ketika banyak yang mengeluh kesusahan, tapi banyak yang gk bersyukur dan sadar udah dikasih kemudahan banyak banget sebelum pandemi ini ada huftttt .....</t>
  </si>
  <si>
    <t>Jog kabar ppkm terbaru dong, udah ada info?</t>
  </si>
  <si>
    <t>@bertanyarl sumpah ppkm doang diperpanjang, gaada hasilnya, podo wae. jadi ini apa yang berubah sih</t>
  </si>
  <si>
    <t>sumpah ppkm doang diperpanjang, gaada hasilnya, podo wae. jadi ini apa yang berubah sih</t>
  </si>
  <si>
    <t>@KompasTV @mohmahfudmd Kan uda jelas dari awal gk mau lockdwon karna negara gk punya uang yg cukup mlh muter2 bikin istilah ini itu. Setelah PPKM 1234 bikin istilah apa lgi.. solusinya seperti yg pak @msaid_didu kembali ke UU karantina</t>
  </si>
  <si>
    <t>Kan uda jelas dari awal gk mau lockdwon karna negara gk punya uang yg cukup mlh muter2 bikin istilah ini itu. Setelah PPKM bikin istilah apa lgi.. solusinya seperti yg pak kembali ke UU karantina</t>
  </si>
  <si>
    <t>Aduh kasian banget yg diluar kota diperpanjang dong ppkm nyaa :(</t>
  </si>
  <si>
    <t>Aduh kasian banget yg diluar kota diperpanjang dong ppkm nyaa</t>
  </si>
  <si>
    <t>@syukainsecure gk boleh kta ibu nya lgi ppkm</t>
  </si>
  <si>
    <t>gk boleh kta ibu nya lgi ppkm</t>
  </si>
  <si>
    <t>@Pass_BBW Sabar dl, aa
 Ini msh PPKM. 
 Ntar disidak satgas Covid lg 😁</t>
  </si>
  <si>
    <t>Sabar dl, aaIni msh PPKM. Ntar disidak satgas Covid lg</t>
  </si>
  <si>
    <t>@yudabekti bisa2nya mimpi kena razia ppkm</t>
  </si>
  <si>
    <t>bisa2nya mimpi kena razia ppkm</t>
  </si>
  <si>
    <t>@iqbalalfiansyh itu ppkm apa ayam geprek</t>
  </si>
  <si>
    <t>itu ppkm apa ayam geprek</t>
  </si>
  <si>
    <t>@Ayara_5 Bukan beb, ga ada game judulnya ppkm, itu ibarat aja. Ppkm itu kaya game yg harus naik level didasarkan tingkat kesabaran mnghadapi stres wkwk 😅</t>
  </si>
  <si>
    <t>Bukan beb, ga ada game judulnya ppkm, itu ibarat aja. Ppkm itu kaya game yg harus naik level didasarkan tingkat kesabaran mnghadapi stres wkwk</t>
  </si>
  <si>
    <t>@radenrauf PPKM diperpanjang sampai akunya @jek___ dapet centang biru</t>
  </si>
  <si>
    <t>PPKM diperpanjang sampai akunya dapet centang biru</t>
  </si>
  <si>
    <t>Pagi!!!
 Btw gue dengr2 PPKM di perpanjangan yak? Ampe 2agustus😐</t>
  </si>
  <si>
    <t>Pagi!!!Btw gue dengr2 PPKM di perpanjangan yak? Ampe agustus</t>
  </si>
  <si>
    <t>@lliexosh disini kan kemaren sempet ofline sebentar eh abis tu ppkm, auto kembali online😭</t>
  </si>
  <si>
    <t>disini kan kemaren sempet ofline sebentar eh abis tu ppkm, auto kembali online</t>
  </si>
  <si>
    <t>@jokowi Pak yg terhormat, saya lapar, gk tahu lgi mau byr kos dgn apa? Masa iya saya harus pesugihan buat bertahan hidup mana masih muda lgi. Pak ppkm bikin libur kerja jd gk ada pemasukan. Pak saya ini rakyatmu yg lgi kelaparan dan bingung sama uang kos. Gw udah kyk pengemis online 😭</t>
  </si>
  <si>
    <t>Pak yg terhormat, saya lapar, gk tahu lgi mau byr kos dgn apa? Masa iya saya harus pesugihan buat bertahan hidup mana masih muda lgi. Pak ppkm bikin libur kerja jd gk ada pemasukan. Pak saya ini rakyatmu yg lgi kelaparan dan bingung sama uang kos. Gw udah kyk pengemis online</t>
  </si>
  <si>
    <t>Saya pribadi sangat setuju PPKM darurat diberlakukan hingga 2024.
 Tdk usah pakai level-level segala.
 Sekalian ingin mengetahui air mata darah para pura-pura bahagia kaum cebipang</t>
  </si>
  <si>
    <t>Saya pribadi sangat setuju PPKM darurat diberlakukan hingga .Tdk usah pakai level-level segala.Sekalian ingin mengetahui air mata darah para pura-pura bahagia kaum cebipang</t>
  </si>
  <si>
    <t>@PRFMnews Min jadi bandung ppkm level 3 / 4? Dan mall boleh buka ga?</t>
  </si>
  <si>
    <t>Min jadi bandung ppkm level / ? Dan mall boleh buka ga?</t>
  </si>
  <si>
    <t>@jokowi PPKM di perpanjang ,sementara Tagihan2 BANK ,koperasi ,dll tidak di PPKM juga ?? Yg PNS enak masih jaya di kala PPKM karena masih dapat GAJI bulanan ,kalau yg wiraswasta sertipikat di gadaikan buat modal usaha ,sekarang berdarah darah buat bertahan dan buat angsuran</t>
  </si>
  <si>
    <t>PPKM di perpanjang ,sementara Tagihan2 BANK ,koperasi ,dll tidak di PPKM juga ?? Yg PNS enak masih jaya di kala PPKM karena masih dapat GAJI bulanan ,kalau yg wiraswasta sertipikat di gadaikan buat modal usaha ,sekarang berdarah darah buat bertahan dan buat angsuran</t>
  </si>
  <si>
    <t>Aku selama ppkm tuh beneran ngedekem dirumah, pergi cuma kerumah simbah yang cuma situ aja deket banget. 
 Bukan cuma stress gak punya uang karna gak kerja, ditambah stress karna bosen banget dirumah....
 Buka Instagram.... Liat beberapa temenku nongkrong di cafe, rasanya alsjjshdj https://t.co/ZI26P0KlTI</t>
  </si>
  <si>
    <t>Aku selama ppkm tuh beneran ngedekem dirumah, pergi cuma kerumah simbah yang cuma situ aja deket banget. Bukan cuma stress gak punya uang karna gak kerja, ditambah stress karna bosen banget dirumah....Buka Instagram.... Liat beberapa temenku nongkrong di cafe, rasanya alsjjshdj</t>
  </si>
  <si>
    <t>@alexasaffira Ppkm Udah Kaya Bon Cabe Ada level-level Nya</t>
  </si>
  <si>
    <t>Ppkm Udah Kaya Bon Cabe Ada level-level Nya</t>
  </si>
  <si>
    <t>Tetap semangat walaupn PPKM di perpanjang! Mencari nafkah harus tetap berjalan!</t>
  </si>
  <si>
    <t>@schfess ppkm aja diperpanjang nder😔</t>
  </si>
  <si>
    <t>ppkm aja diperpanjang nder</t>
  </si>
  <si>
    <t>Mengawali pagi dengan ngezoom bareng pacar karena masih ga bisa ketemu grgrg ppkm diperpanjang 💔 met pagi moots ✨ https://t.co/ATb6jPCMxC</t>
  </si>
  <si>
    <t>Mengawali pagi dengan ngezoom bareng pacar karena masih ga bisa ketemu grgrg ppkm diperpanjang met pagi moots</t>
  </si>
  <si>
    <t>@radenrauf PPKM di perpanjang sampai :
 Kamu sayang aku :')</t>
  </si>
  <si>
    <t>PPKM di perpanjang sampai :Kamu sayang aku :')</t>
  </si>
  <si>
    <t>@marlina_idha uji coba PPKM Darurat gagal, dicoba lg dgn PPKM 4 gagal juga, coba diperpanjang lagi masih dgn nama PPKM 4 pada level sama, klo gagal lagi dicoba ganti nama ya. 😖😞</t>
  </si>
  <si>
    <t>uji coba PPKM Darurat gagal, dicoba lg dgn PPKM gagal juga, coba diperpanjang lagi masih dgn nama PPKM pada level sama, klo gagal lagi dicoba ganti nama ya.</t>
  </si>
  <si>
    <t>PPKM Lv. 4 karetnya 2, semangat para pencari nafkah. 🙏 https://t.co/SmSSpWSZhk</t>
  </si>
  <si>
    <t>PPKM Lv. karetnya , semangat para pencari nafkah.</t>
  </si>
  <si>
    <t>@menfesssyg lg ppkm syg</t>
  </si>
  <si>
    <t>lg ppkm syg</t>
  </si>
  <si>
    <t>@schfess lebih ke, bukakan hati org2 yg keluar ga pake masker, bikin acara yg ngebuat kerumunan banyak org, yg masih ga percaya covid, yang gamau vaksin karna konspirasi2 apalah, sama org yg masi nongkrong pdhl lg ppkm</t>
  </si>
  <si>
    <t>lebih ke, bukakan hati org2 yg keluar ga pake masker, bikin acara yg ngebuat kerumunan banyak org, yg masih ga percaya covid, yang gamau vaksin karna konspirasi2 apalah, sama org yg masi nongkrong pdhl lg ppkm</t>
  </si>
  <si>
    <t>ppkm diperpanjang mulu dah, kapan sekolah offlinenya ini 😿</t>
  </si>
  <si>
    <t>ppkm diperpanjang mulu dah, kapan sekolah offlinenya ini</t>
  </si>
  <si>
    <t>Kan, namanya berubah lagi jadi ppkm lv.4 
 Kalah helm lv.3 di pubg mah</t>
  </si>
  <si>
    <t>Kan, namanya berubah lagi jadi ppkm lv.4 Kalah helm lv.3 di pubg mah</t>
  </si>
  <si>
    <t>aku ga peduli ppkm diperpanjang, aku cuma peduli sama kAmU sAyANg xixi</t>
  </si>
  <si>
    <t>lagian ppkm gini siapa coba yang mau nginep di penginapan?? magang tai anjing.</t>
  </si>
  <si>
    <t>PPKm perpnjg lagi aj kapan abisny nih pak presiden😩😩</t>
  </si>
  <si>
    <t>PPKm perpnjg lagi aj kapan abisny nih pak presiden</t>
  </si>
  <si>
    <t>ppkm di perpanjang usia di perpedek</t>
  </si>
  <si>
    <t>ppkm diperpanjang sampai kapan?</t>
  </si>
  <si>
    <t>Pemerintahan @jokowi belum mampu ngasih SEMBAKO buat makan rakyat selama karantina, untuk sementara cuma bisa ngasih WAKTU buat makan. 
 😬 Dassar Pelit luh ! 
 PPKM Level 4 Diperpanjang, Makan di Tempat Maksimal 20 Menit</t>
  </si>
  <si>
    <t>Pemerintahan belum mampu ngasih SEMBAKO buat makan rakyat selama karantina, untuk sementara cuma bisa ngasih WAKTU buat makan. Dassar Pelit luh ! PPKM Level Diperpanjang, Makan di Tempat Maksimal Menit</t>
  </si>
  <si>
    <t>Ppkm diperpanjang, kaum laki² makin lemah dalam saku celana https://t.co/voHDj2nQ26</t>
  </si>
  <si>
    <t>Ppkm diperpanjang, kaum laki makin lemah dalam saku celana</t>
  </si>
  <si>
    <t>@lui1w3 Hah ? Ada game judulnya ppkm?</t>
  </si>
  <si>
    <t>Hah ? Ada game judulnya ppkm?</t>
  </si>
  <si>
    <t>ppkm level 91679484649 hingga pintu taubat ditutup https://t.co/tXISSQyi7f</t>
  </si>
  <si>
    <t>ppkm level hingga pintu taubat ditutup</t>
  </si>
  <si>
    <t>ya Allah ppkm lagi sampe 5 agt :)) yuk bisa yuk :)</t>
  </si>
  <si>
    <t>ya Allah ppkm lagi sampe agt yuk bisa yuk</t>
  </si>
  <si>
    <t>ppkm sampe tanggal berapa sih :(</t>
  </si>
  <si>
    <t>ppkm sampe tanggal berapa sih</t>
  </si>
  <si>
    <t>PPKM level 4 diperpanjang sampai 2 agustus, udah kayak boncabe pake level segala 👀</t>
  </si>
  <si>
    <t>PPKM level diperpanjang sampai agustus, udah kayak boncabe pake level segala</t>
  </si>
  <si>
    <t>@Userkentang23 @beransah @lovetalkforkun @AREAJULID Di lahat ga ppkm kak</t>
  </si>
  <si>
    <t>Di lahat ga ppkm kak</t>
  </si>
  <si>
    <t>Walaupun aku suka mengeluh, tapi aku tetep benci orang-orang mengeluh yg masih punya gaji dan ga terlalu kena dampak tapi banyak protes ppkm. 
 Kayak, wow. Hidupmu menderita banget nih? Oh ya?</t>
  </si>
  <si>
    <t>Walaupun aku suka mengeluh, tapi aku tetep benci orang-orang mengeluh yg masih punya gaji dan ga terlalu kena dampak tapi banyak protes ppkm. Kayak, wow. Hidupmu menderita banget nih? Oh ya?</t>
  </si>
  <si>
    <t>PPKM perpanjang Terus Sampe kiamat</t>
  </si>
  <si>
    <t>PPKM : Pelan-Pelan Kita Miskin
 "Lah kalau yg udh miskin gmna tuh?"
 Pelan-Pelan Kita Mati
 "Semua akan kembali pada-Nya"
 Dahlah 😭</t>
  </si>
  <si>
    <t>PPKM : Pelan-Pelan Kita Miskin"Lah kalau yg udh miskin gmna tuh?"Pelan-Pelan Kita Mati"Semua akan kembali pada-Nya"Dahlah</t>
  </si>
  <si>
    <t>@itsjustdwi Mohon maaf, selama PPKM level 4, Transjakarta hanya melayani pelanggan pekerja sektor esensial dan kritikal. Terima kasih ^ZL</t>
  </si>
  <si>
    <t>Mohon maaf, selama PPKM level , Transjakarta hanya melayani pelanggan pekerja sektor esensial dan kritikal. Terima kasih ^ZL</t>
  </si>
  <si>
    <t>@tinysayu Oalah lg ppkm jg trnyata :(</t>
  </si>
  <si>
    <t>Oalah lg ppkm jg trnyata</t>
  </si>
  <si>
    <t>gue yakin ppkm bru sls nungguin 1d balik lol</t>
  </si>
  <si>
    <t>gue yakin ppkm bru sls nungguin d balik lol</t>
  </si>
  <si>
    <t>PPKM PPKM, semalem Pasar Malem masih buka aje!</t>
  </si>
  <si>
    <t>Daerahku ppkm ketat nder, jadi kangen https://t.co/Qu2GcL1lKT</t>
  </si>
  <si>
    <t>Daerahku ppkm ketat nder, jadi kangen</t>
  </si>
  <si>
    <t>masih ppkm ga sih? suka sebel liat tmn tmn rl yg enteng banget keluar cuma buat bakar bakar?? aku diajak tapi aku nolak terus, tahan aja kenapa sih kayak kalau tinggl dirumah bakal gila aja.....</t>
  </si>
  <si>
    <t>ppkm level2 an dah bingung mending kita beli geprek level 4</t>
  </si>
  <si>
    <t>ppkm level2 an dah bingung mending kita beli geprek level</t>
  </si>
  <si>
    <t>ini ppkm diperpanjang gmn gw mau survei ke asrama anjir 🙃</t>
  </si>
  <si>
    <t>ini ppkm diperpanjang gmn gw mau survei ke asrama anjir</t>
  </si>
  <si>
    <t>@rafly_firdausy "PPKM gabut ni gabisa pacaran kmana2"
 "Yodah nikah aja lah yuk"
 "Gass"
 .
 .
 Mungkin kurang lebih begitu..</t>
  </si>
  <si>
    <t>"PPKM gabut ni gabisa pacaran kmana2""Yodah nikah aja lah yuk""Gass"..Mungkin kurang lebih begitu..</t>
  </si>
  <si>
    <t>Hmmm PPKM diperpanjang di rumah mau ngapain lagi ya biar seru?</t>
  </si>
  <si>
    <t>Senin masih PPKM check~</t>
  </si>
  <si>
    <t>Ppkm diperpanjang sampai aot final session tayang</t>
  </si>
  <si>
    <t>ppkm diperpanjang sampai bigbang cb🙂</t>
  </si>
  <si>
    <t>ppkm diperpanjang sampai bigbang cb</t>
  </si>
  <si>
    <t>@Itujauhh ppkm level 4 dah pedes</t>
  </si>
  <si>
    <t>ppkm level dah pedes</t>
  </si>
  <si>
    <t>PPKM diperpanjang sampai tgl 2 Agustus. Progress Covid sudah terlihat ada tren penurunan. Semoga dg perpanjangan ini Trennya makin turun. Tp bansos hrs cpt di krim ke Rakyat.</t>
  </si>
  <si>
    <t>PPKM diperpanjang sampai tgl Agustus. Progress Covid sudah terlihat ada tren penurunan. Semoga dg perpanjangan ini Trennya makin turun. Tp bansos hrs cpt di krim ke Rakyat.</t>
  </si>
  <si>
    <t>Ini ppkm diperpanjang lagi.....? /nangis</t>
  </si>
  <si>
    <t>@TkangJalanJajan Tetap belum bisa jalan-jalan kak, sebagian wisata tutup masa PPKM</t>
  </si>
  <si>
    <t>Tetap belum bisa jalan-jalan kak, sebagian wisata tutup masa PPKM</t>
  </si>
  <si>
    <t>PPKM di perpanjang lagi ,habis ini FINALtian 🔥</t>
  </si>
  <si>
    <t>PPKM di perpanjang lagi ,habis ini FINALtian</t>
  </si>
  <si>
    <t>@ke666abutan Penyekatan dimana-mana😭😭😭 semenjak ppkm aku cuma di rumah ajaaa😭😭</t>
  </si>
  <si>
    <t>Penyekatan dimana-mana semenjak ppkm aku cuma di rumah ajaaa</t>
  </si>
  <si>
    <t>Minggu ini dibuka dengan obrolan Senin pagi yg agak berat... Huft.
 Panjang umur para pekerja keras! Doaku buat kalian semua yg harus terdampak PPKM sampe ga bisa menghidupkan dapur rumah di tiap harinya.
 Maaf kalo selama ini ada salah kataku menanggapi kondisi kalian.</t>
  </si>
  <si>
    <t>Minggu ini dibuka dengan obrolan Senin pagi yg agak berat... Huft.Panjang umur para pekerja keras! Doaku buat kalian semua yg harus terdampak PPKM sampe ga bisa menghidupkan dapur rumah di tiap harinya.Maaf kalo selama ini ada salah kataku menanggapi kondisi kalian.</t>
  </si>
  <si>
    <t>Ppkm serasa seblak Ada levelnya</t>
  </si>
  <si>
    <t>Ppkm rudet</t>
  </si>
  <si>
    <t>Ppkm level godboss lawannya yajuj majud kali ya</t>
  </si>
  <si>
    <t>PPKM DARURAT LANJUT.. 
 APA YANG MASYARAT DAPATKAN .. KASIHAN RAKYAT... https://t.co/56JVVzX3C3</t>
  </si>
  <si>
    <t>PPKM DARURAT LANJUT.. APA YANG MASYARAT DAPATKAN .. KASIHAN RAKYAT...</t>
  </si>
  <si>
    <t>PPKM naik level...
 Pelan pelan kita mati...! https://t.co/31QTuXHyPI</t>
  </si>
  <si>
    <t>PPKM naik level...Pelan pelan kita mati...!</t>
  </si>
  <si>
    <t>Orang Sydney gamau lokdown
 mereka mintanya PPKM lv. 4
 😂😂😂 https://t.co/4xoiBs8UW4</t>
  </si>
  <si>
    <t>Orang Sydney gamau lokdownmereka mintanya PPKM lv.</t>
  </si>
  <si>
    <t>Hah PPKM kok boleh sekolah offline? https://t.co/Nt5V5GqQil</t>
  </si>
  <si>
    <t>Hah PPKM kok boleh sekolah offline?</t>
  </si>
  <si>
    <t>@adibrafif Hikmah ppkm iki✌</t>
  </si>
  <si>
    <t>Hikmah ppkm iki</t>
  </si>
  <si>
    <t>cape2 ppkm eh kasusnya malah makin naik</t>
  </si>
  <si>
    <t>@Pentulkorek0 Ppkm kaya' boncabe ada level²nya
 Tambah naik levelnya tambah pedes kehidupan ini</t>
  </si>
  <si>
    <t>Ppkm kaya' boncabe ada levelnyaTambah naik levelnya tambah pedes kehidupan ini</t>
  </si>
  <si>
    <t>PPKM level 4 di perpanjang hingga 2 Agustus... Sampai kapan gini terus... Udah bosen berantem sama pacar karena gak pernah main ke tempat itu...</t>
  </si>
  <si>
    <t>PPKM level di perpanjang hingga Agustus... Sampai kapan gini terus... Udah bosen berantem sama pacar karena gak pernah main ke tempat itu...</t>
  </si>
  <si>
    <t>PPKM diperpanjang (lagi) tandanya bang @TretanMuslim harus lebih giat lagi melancarkan razia dan penertiban bang.</t>
  </si>
  <si>
    <t>PPKM diperpanjang (lagi) tandanya bang harus lebih giat lagi melancarkan razia dan penertiban bang.</t>
  </si>
  <si>
    <t>@chozorao Yokkk, ppkm</t>
  </si>
  <si>
    <t>Yokkk, ppkm</t>
  </si>
  <si>
    <t>Lawak bgt asli, kasus covid udah mulai menurun tp PPKM dilonggarin 😊 gak belajar2 dr PSBB 💔</t>
  </si>
  <si>
    <t>Lawak bgt asli, kasus covid udah mulai menurun tp PPKM dilonggarin gak belajar2 dr PSBB</t>
  </si>
  <si>
    <t>Selama PPKM level pedas ini, ga ngerasain bansos²an 🤣🤣</t>
  </si>
  <si>
    <t>Selama PPKM level pedas ini, ga ngerasain bansosan</t>
  </si>
  <si>
    <t>Mereka yang diam tak perduli tentang PPKM,kebanyakan bukan patuh akan peraturan,tapi mereka yang tidak merasakan dampaknya</t>
  </si>
  <si>
    <t>Yaampun ppkm diperpanjang 😩</t>
  </si>
  <si>
    <t>Yaampun ppkm diperpanjang</t>
  </si>
  <si>
    <t>lagi semangat banget mau ke sekolah, padahal ppkm 😂</t>
  </si>
  <si>
    <t>lagi semangat banget mau ke sekolah, padahal ppkm</t>
  </si>
  <si>
    <t>@akudoimuceunah Jdi ppkm trus</t>
  </si>
  <si>
    <t>Jdi ppkm trus</t>
  </si>
  <si>
    <t>@Stevaniehuangg PPKM ala ayam Geprek 😀😀😀</t>
  </si>
  <si>
    <t>PPKM ala ayam Geprek</t>
  </si>
  <si>
    <t>Trus aku kapan liburan kalau ppkm trus 🤓</t>
  </si>
  <si>
    <t>Trus aku kapan liburan kalau ppkm trus</t>
  </si>
  <si>
    <t>@eka_syurya @SKLoverz Lho selama ppkm ini SK ga beroperasi tah?</t>
  </si>
  <si>
    <t>Lho selama ppkm ini SK ga beroperasi tah?</t>
  </si>
  <si>
    <t>Guise sebenernya kita ke luar kota boleh gk sih? Gud mau pindahan kos eh ppkm perpanjang trus... Bukannya ngasih duit</t>
  </si>
  <si>
    <t>@RenaHoston178 @ChusnulCh__ Yahh, ini jg berita hoax disebar. itu kan tukang parkir di makassar yg lemes krn kelaparan. yg pro dan kontra sama ppkm sama aja gobloknya</t>
  </si>
  <si>
    <t>Yahh, ini jg berita hoax disebar. itu kan tukang parkir di makassar yg lemes krn kelaparan. yg pro dan kontra sama ppkm sama aja gobloknya</t>
  </si>
  <si>
    <t>Gua mau rayain ultah temen w aja dr 10 juli kga jd jd azuuu krna ppkm manjang mlu, mkirin org rumah jg lg naik naiknya ni arghhh https://t.co/hDiRxq2qd1</t>
  </si>
  <si>
    <t>Gua mau rayain ultah temen w aja dr juli kga jd jd azuuu krna ppkm manjang mlu, mkirin org rumah jg lg naik naiknya ni arghhh</t>
  </si>
  <si>
    <t>Ppkm level 4
 Nganggur level 4 siap ndan</t>
  </si>
  <si>
    <t>Ppkm level Nganggur level siap ndan</t>
  </si>
  <si>
    <t>good morning fren! tetep semangat walaupun ppkm terus berlanjut dan selalu jaga kesehatan yaa&amp;lt;3 https://t.co/sPpp8YetQ6</t>
  </si>
  <si>
    <t>good morning fren! tetep semangat walaupun ppkm terus berlanjut dan selalu jaga kesehatan yaa&amp;lt;3</t>
  </si>
  <si>
    <t>Ppkm darurat level 4. Memang dah masuk mode survival ini mah. Hadehh</t>
  </si>
  <si>
    <t>Ppkm darurat level . Memang dah masuk mode survival ini mah. Hadehh</t>
  </si>
  <si>
    <t>ppkm level 4 ini baru keluar ulti</t>
  </si>
  <si>
    <t>ppkm level ini baru keluar ulti</t>
  </si>
  <si>
    <t>tai emg ppkm</t>
  </si>
  <si>
    <t>Yang lain pada ngundur acara pas ppkm eh ini sii juyy tolol malah ngadain acara birthday.</t>
  </si>
  <si>
    <t>@lintang_ayoe @ainunnajib @ariel_heryanto @na_dirs Justru itulah yang dibutuhkan pemerintah an. Inilah yang dicari oleh Masyarakat Indonesia yang stay dirumah aja, rebahan sambil stay lihat Twitter sampai PPKM Selesai.</t>
  </si>
  <si>
    <t>Justru itulah yang dibutuhkan pemerintah an. Inilah yang dicari oleh Masyarakat Indonesia yang stay dirumah aja, rebahan sambil stay lihat Twitter sampai PPKM Selesai.</t>
  </si>
  <si>
    <t>Sekarepmu, Pak. Sekalian aja sampai PPKM level 10 atau bikin lagi singkatan baru biar bisa terhindar dari UU Karantina. https://t.co/zf1qCdajcm</t>
  </si>
  <si>
    <t>Sekarepmu, Pak. Sekalian aja sampai PPKM level atau bikin lagi singkatan baru biar bisa terhindar dari UU Karantina.</t>
  </si>
  <si>
    <t>@lui1w3 @may__bohay Kirain soal panjang memanjang ppkm 😂😂</t>
  </si>
  <si>
    <t>Kirain soal panjang memanjang ppkm</t>
  </si>
  <si>
    <t>Gue klo belanja online kirimnya ke kantor. Klo skincare sih aman lgsg taro tempatnya, klo barang gede dan dipake di rumah biasanya gue bawa dikit2 barangnya. Tapi karena kantor tutup ppkm, gue sebelum checkout selalu ngomong ke nyokap. Mam, aku ada beli xxx ya nanti buat ini itu. https://t.co/cQDfdvIQ4v</t>
  </si>
  <si>
    <t>Gue klo belanja online kirimnya ke kantor. Klo skincare sih aman lgsg taro tempatnya, klo barang gede dan dipake di rumah biasanya gue bawa dikit2 barangnya. Tapi karena kantor tutup ppkm, gue sebelum checkout selalu ngomong ke nyokap. Mam, aku ada beli xxx ya nanti buat ini itu.</t>
  </si>
  <si>
    <t>@jokowi Pak mau ppkm sampe 2024 silahkan aja ya 😇
 Semangat. Tapi pak pikir dong kasian rakyat kecil pak pada kesusahan. Pak saya mohon bubarkan kerumunan tapi bukan yang dagang pak jadi yang beli,Terus ku mohon pak saya mau sekolah tatap muka lagi pak.Kalo sakit' itu urusan yang di atas</t>
  </si>
  <si>
    <t>Pak mau ppkm sampe silahkan aja ya Semangat. Tapi pak pikir dong kasian rakyat kecil pak pada kesusahan. Pak saya mohon bubarkan kerumunan tapi bukan yang dagang pak jadi yang beli,Terus ku mohon pak saya mau sekolah tatap muka lagi pak.Kalo sakit' itu urusan yang di atas</t>
  </si>
  <si>
    <t>@lui1w3 Ppkm udh kaya bon cabe ada levelnya 😂 bisa dine in tp max 20menit waktu nya bisa2 org keselek pas makan saking buru2 nya😂</t>
  </si>
  <si>
    <t>Ppkm udh kaya bon cabe ada levelnya bisa dine in tp max menit waktu nya bisa2 org keselek pas makan saking buru2 nya</t>
  </si>
  <si>
    <t>@Ventt13 @CNNIndonesia @jokowi @republikaonline @RadioElshinta Tapi selama PPKM DARURAT kemarin warung makan di area saya normal seperti biasa , orang makan di tempat,
 Warkop Kuningan jg buka 24 jam</t>
  </si>
  <si>
    <t>Tapi selama PPKM DARURAT kemarin warung makan di area saya normal seperti biasa , orang makan di tempat,Warkop Kuningan jg buka jam</t>
  </si>
  <si>
    <t>ppkm diperpanjang terus sampe kamu jadi milikku tapi mengsulit</t>
  </si>
  <si>
    <t>Kita sudah terlatih makan dibatasi waktu, hanya 15 menit saat masih sekolah.
 PPKM berlanjut, makan dibatasi 20 menit ya tetap bersyukur. Mungkin yang susah buat perokok, setelah makan harus pindah cari tempat 😄</t>
  </si>
  <si>
    <t>Kita sudah terlatih makan dibatasi waktu, hanya menit saat masih sekolah.PPKM berlanjut, makan dibatasi menit ya tetap bersyukur. Mungkin yang susah buat perokok, setelah makan harus pindah cari tempat</t>
  </si>
  <si>
    <t>@PDI_Perjuangan @ariabima99 Baca tulisan tentang PPKM, ingat PSBB. Kalau dengar kata PSB, ingat Bansos yang dikorpsi.</t>
  </si>
  <si>
    <t>Baca tulisan tentang PPKM, ingat PSBB. Kalau dengar kata PSB, ingat Bansos yang dikorpsi.</t>
  </si>
  <si>
    <t>Terimakasih Atas Pengertian Dan Dukungan Terhadap Pelaksanaan PPKM. https://t.co/aRPIkMkB6n</t>
  </si>
  <si>
    <t>Terimakasih Atas Pengertian Dan Dukungan Terhadap Pelaksanaan PPKM.</t>
  </si>
  <si>
    <t>Ppkm diperpajang sampe subathon @ibot_13 kelar</t>
  </si>
  <si>
    <t>Ppkm diperpajang sampe subathon kelar</t>
  </si>
  <si>
    <t>itu artis apasih yg ngadain birthday party pas ppkm?</t>
  </si>
  <si>
    <t>PPKM diperpanjang sampai aul ketemu jodohnya</t>
  </si>
  <si>
    <t>Penebalan ppkm darurat lvl 4 longgar</t>
  </si>
  <si>
    <t>Penebalan ppkm darurat lvl longgar</t>
  </si>
  <si>
    <t>PPKM
 Peraturan Pemerintah Korbannya Masyarakat
 jhaaaaa bener juge</t>
  </si>
  <si>
    <t>PPKMPeraturan Pemerintah Korbannya Masyarakatjhaaaaa bener juge</t>
  </si>
  <si>
    <t>PPKM di perpanjang sampai 2 agustus bah ,buat apa aja bah.</t>
  </si>
  <si>
    <t>PPKM di perpanjang sampai agustus bah ,buat apa aja bah.</t>
  </si>
  <si>
    <t>Perpanjang dikit dikit,biar masyarakat punya pemikiran sebentar lagi ppkm selesai.
 #SebenarnyaJokowiSudahHabis</t>
  </si>
  <si>
    <t>Perpanjang dikit dikit,biar masyarakat punya pemikiran sebentar lagi ppkm selesai.</t>
  </si>
  <si>
    <t>Ppkm di perpanjang sampaii?</t>
  </si>
  <si>
    <t>@Marvfess gw bilang juga apa, gaakan semudah itu ppkm psti di extend2 wkwk</t>
  </si>
  <si>
    <t>gw bilang juga apa, gaakan semudah itu ppkm psti di extend2 wkwk</t>
  </si>
  <si>
    <t>Dampak dari PPKM darurat yg pertama saja ratusan ribu buruh ter PHk massal, pelaku usaha menengah bawah sulit mencari uang krn ada pembatasan dlm berusaha. Ini di PPKM di perpanjang lagi?? Kehancuran semakin nyata jika pemerintah tidak menanggung biaya hidup rakyat nya https://t.co/U2VwZfwraJ</t>
  </si>
  <si>
    <t>Dampak dari PPKM darurat yg pertama saja ratusan ribu buruh ter PHk massal, pelaku usaha menengah bawah sulit mencari uang krn ada pembatasan dlm berusaha. Ini di PPKM di perpanjang lagi?? Kehancuran semakin nyata jika pemerintah tidak menanggung biaya hidup rakyat nya</t>
  </si>
  <si>
    <t>Rencana ppkm kemenkeu 6 minggu, tapi yang dijalanin dicicil seminggu seminggu dulu biar irit bansos yakan 😂</t>
  </si>
  <si>
    <t>Rencana ppkm kemenkeu minggu, tapi yang dijalanin dicicil seminggu seminggu dulu biar irit bansos yakan</t>
  </si>
  <si>
    <t>@khalisssnr Semoga secepatnya, biar cepet usai ppkm nya</t>
  </si>
  <si>
    <t>Semoga secepatnya, biar cepet usai ppkm nya</t>
  </si>
  <si>
    <t>@jokowi Udah vakum selama selama pemberlakuan ppkm https://t.co/XPtHafX7Wj</t>
  </si>
  <si>
    <t>Udah vakum selama selama pemberlakuan ppkm</t>
  </si>
  <si>
    <t>@ganjarpranowo Mau sampe kapan PPKM diperpanjang? sampe tuwekkk 🎼🎼🎹🎤</t>
  </si>
  <si>
    <t>Mau sampe kapan PPKM diperpanjang? sampe tuwekkk</t>
  </si>
  <si>
    <t>@PT_Transjakarta Kan PPKM sudah berakhir sampai tgl 25</t>
  </si>
  <si>
    <t>Kan PPKM sudah berakhir sampai tgl</t>
  </si>
  <si>
    <t>@YouNeeddd Carikan ma marsu, lg PPKM 🤣🤣🤣</t>
  </si>
  <si>
    <t>Carikan ma marsu, lg PPKM</t>
  </si>
  <si>
    <t>Katanya PPKM level 4 udah keluar guys gimana rasa nya ya di indomart udah ada blum ya:v
 ~</t>
  </si>
  <si>
    <t>Katanya PPKM level udah keluar guys gimana rasa nya ya di indomart udah ada blum ya:v~</t>
  </si>
  <si>
    <t>20 Juli , 25 Juli ,2 Agustus atau jgn² smpe 17 Agustus
 Cicil udh kaya krediit motor njiiiiRrrr
 PPKM
 psbb
 Level 4</t>
  </si>
  <si>
    <t>Juli , Juli ,2 Agustus atau jgn smpe AgustusCicil udh kaya krediit motor njiiiiRrrrPPKMpsbbLevel</t>
  </si>
  <si>
    <t>PPKM adh stage brp nih?? bentar lg lawan raja</t>
  </si>
  <si>
    <t>@geloraco PPKM Level 4 itu statusnya dibawah PPKM Darurat, karena sudah ada pelonggaran ?</t>
  </si>
  <si>
    <t>PPKM Level itu statusnya dibawah PPKM Darurat, karena sudah ada pelonggaran ?</t>
  </si>
  <si>
    <t>Ppkm terus:( padahal bulan depan tgl 1 gue dipanggil kerja. Tapi penyektan gini gimana gue mau balik nyebrang pulau😭 sumpah galau banget</t>
  </si>
  <si>
    <t>Ppkm terus padahal bulan depan tgl gue dipanggil kerja. Tapi penyektan gini gimana gue mau balik nyebrang pulau sumpah galau banget</t>
  </si>
  <si>
    <t>brisik ganti nama ppkm mulu</t>
  </si>
  <si>
    <t>Lucu juga kalo PPKM cuma 2 mg... Tapi tiap minggu di Perpanjang ampe ada Pengumuman Selesai
 .
 Supaya Menang Banyak, gosah Subsisi Rakyat....</t>
  </si>
  <si>
    <t>Lucu juga kalo PPKM cuma mg... Tapi tiap minggu di Perpanjang ampe ada Pengumuman Selesai.Supaya Menang Banyak, gosah Subsisi Rakyat....</t>
  </si>
  <si>
    <t>Gak di WA, di IG, dimana mana banyak yg kecewa PPKM diperpanjang.
 Efeknya berasa banget bagi sektor Usaha baik kecil maupun besar. Gila !</t>
  </si>
  <si>
    <t>Gak di WA, di IG, dimana mana banyak yg kecewa PPKM diperpanjang.Efeknya berasa banget bagi sektor Usaha baik kecil maupun besar. Gila !</t>
  </si>
  <si>
    <t>@akudoimuceunah Ppkm pedes gila</t>
  </si>
  <si>
    <t>Ppkm pedes gila</t>
  </si>
  <si>
    <t>PPKM level 4, wahhh udah bisa ulti tuhh
 #SebenarnyaJokowiSudahHabis</t>
  </si>
  <si>
    <t>PPKM level , wahhh udah bisa ulti tuhh</t>
  </si>
  <si>
    <t>PPKM: Perkenalan, Pertemuan, Khitbah, Menikah</t>
  </si>
  <si>
    <t>@na_dirs PPKM model begini buat Anak warnet gak akan masalah,...🤣</t>
  </si>
  <si>
    <t>PPKM model begini buat Anak warnet gak akan masalah,...</t>
  </si>
  <si>
    <t>Ppkm diperpanjang hingga kau jadi milikku houoo ouoooo</t>
  </si>
  <si>
    <t>Selamat pagi .. bangun pagi dan mencoba memahami PPKM level 4 dan share buat yg blm mengerti kelongatan ato pengetatan juga penyesuaian2 .. baiklah Masih Kerja dari Rumah dan duduk anteng depan TV bonus scrol2 menu gofood.</t>
  </si>
  <si>
    <t>Selamat pagi .. bangun pagi dan mencoba memahami PPKM level dan share buat yg blm mengerti kelongatan ato pengetatan juga penyesuaian2 .. baiklah Masih Kerja dari Rumah dan duduk anteng depan TV bonus scrol2 menu gofood.</t>
  </si>
  <si>
    <t>Kondisi yg berat buat anak" yg biasa keluar dibolehin trs, tiba" susah dapet ijin dari ortu karena ppkm</t>
  </si>
  <si>
    <t>Lama-lama masyarakat chaos. Pemerintah taunya cuman ppkm level boncabe, tp bantuan minim.</t>
  </si>
  <si>
    <t>ppkm diperpanjang smpe jeya hyunjae mnkh</t>
  </si>
  <si>
    <t>Ppkm terus ae ukt ku gak dibayarno</t>
  </si>
  <si>
    <t>@ar43899 PPKM
 Percaya Pasti Kristus Menolong</t>
  </si>
  <si>
    <t>PPKMPercaya Pasti Kristus Menolong</t>
  </si>
  <si>
    <t>@wafiwafiii kelar ppkm pengen jalan-jalan</t>
  </si>
  <si>
    <t>kelar ppkm pengen jalan-jalan</t>
  </si>
  <si>
    <t>@schfess kayaknya bakalan ada lagi sih nder liat aja soalnya ppkm diperpanjang</t>
  </si>
  <si>
    <t>kayaknya bakalan ada lagi sih nder liat aja soalnya ppkm diperpanjang</t>
  </si>
  <si>
    <t>Menimbang dan Memutuskan bahwa PPKM diperpanjang.
 Ya namanya doang yg diperpanjang,
 Asalnya PPKM Darurat menjadi PPKM Darurat Level 1,2,3 dan 4.😀😀😀
 Tindakan dilapangan bgmn?
  Akan terlihat dalam catatan angka kematian dan kasus harian.</t>
  </si>
  <si>
    <t>Menimbang dan Memutuskan bahwa PPKM diperpanjang.Ya namanya doang yg diperpanjang,Asalnya PPKM Darurat menjadi PPKM Darurat Level dan .Tindakan dilapangan bgmn? Akan terlihat dalam catatan angka kematian dan kasus harian.</t>
  </si>
  <si>
    <t>@sandal_bakiak Lumayan smp PPKM level 17 rakaat.🤭</t>
  </si>
  <si>
    <t>Lumayan smp PPKM level rakaat.</t>
  </si>
  <si>
    <t>https://t.co/2rkk3gOTsL
 Saat mengumumkan perpanjangan PPKM, Presiden Jokowi menyebut varian Delta sangat menular. Apa yang membuatnya begitu mudah menyebar hingga kini masih misterius.</t>
  </si>
  <si>
    <t>mengumumkan perpanjangan PPKM, Presiden Jokowi menyebut varian Delta sangat menular. Apa yang membuatnya begitu mudah menyebar hingga kini masih misterius.</t>
  </si>
  <si>
    <t>@kayinnnk @naisyuuu @Pasifis_Kampus @peabngt @hmnfish @antarkotaa @ddbayiii @xavierraaa @Pimenfot Kata kamu mau tapi nunggu selesai ppkm</t>
  </si>
  <si>
    <t>Kata kamu mau tapi nunggu selesai ppkm</t>
  </si>
  <si>
    <t>@cnbcindonesia PPKM level 4 diperpanjang, tapi aturan mainnya diubah ,dilonggarkan.
 lalu apa fungsinya level.
 harusnya kan ada aturan main di setiap level.
 ini salah satu bukti kalau kebijakannya asbun.</t>
  </si>
  <si>
    <t>PPKM level diperpanjang, tapi aturan mainnya diubah ,dilonggarkan.lalu apa fungsinya level.harusnya kan ada aturan main di setiap level.ini salah satu bukti kalau kebijakannya asbun.</t>
  </si>
  <si>
    <t>Selamat Senin, selamat hari pertama PPKM 🌼</t>
  </si>
  <si>
    <t>Selamat Senin, selamat hari pertama PPKM</t>
  </si>
  <si>
    <t>PPKM.... persis sinetron IKATAN CINTA....kejar tayang 😂😂😂😂😂</t>
  </si>
  <si>
    <t>PPKM.... persis sinetron IKATAN CINTA....kejar tayang</t>
  </si>
  <si>
    <t>BLT / Bansos program PPKM dialihkan saja untuk PKL saja yang selama ini untuk subsidi gaji #sekedarusul 
 https://t.co/w9Zx80PGCx</t>
  </si>
  <si>
    <t>BLT / Bansos program PPKM dialihkan saja untuk PKL saja yang selama ini untuk subsidi gaji</t>
  </si>
  <si>
    <t>tabe jadi mulai diberlakukan PPKM level 4 di Makassar? Apa saja peraturan PPKM nya?</t>
  </si>
  <si>
    <t>tabe jadi mulai diberlakukan PPKM level di Makassar? Apa saja peraturan PPKM nya?</t>
  </si>
  <si>
    <t>Ppkm diperpanjang sampek patung garudo alun alun ngendog</t>
  </si>
  <si>
    <t>@Riyansupyans Ya allah ppkm di perpanjang udh kangen ini</t>
  </si>
  <si>
    <t>Ya allah ppkm di perpanjang udh kangen ini</t>
  </si>
  <si>
    <t>@IvoneHall @subindiahneelam Pagi mbak @IvoneHall ..disana jg diperpanjang y kaya PPKM disini mbak. Sehat slalu aja y bersama keluarga</t>
  </si>
  <si>
    <t>Pagi mbak ..disana jg diperpanjang y kaya PPKM disini mbak. Sehat slalu aja y bersama keluarga</t>
  </si>
  <si>
    <t>PPKM aja diperpanjang, masa chat kamu sama dia ngga diperpanjang.</t>
  </si>
  <si>
    <t>#StopKopitisasi
 #StopPPKM
 #Olympics 
 Stop dan tolak PPKM serta cabut status pandemi kopit ki @jokowi ki @ganjarpranowo @DPR_RI @dprdjatengprov @Kiyai_MarufAmin!! https://t.co/vmUekaLBVl https://t.co/g425WPqxRf</t>
  </si>
  <si>
    <t>Stop dan tolak PPKM serta cabut status pandemi kopit ki ki !!</t>
  </si>
  <si>
    <t>Sebelum ppkm diperpanjang dan sangat panjang, hari ini mau potong rambut pendek</t>
  </si>
  <si>
    <t>@alisyarief PPKM harus diperpanjang..byk kadrun yg keras kepala..sehingga pandemi ini tidak berakhir.</t>
  </si>
  <si>
    <t>PPKM harus diperpanjang..byk kadrun yg keras kepala..sehingga pandemi ini tidak berakhir.</t>
  </si>
  <si>
    <t>Disaat ppkm diperpanjang
 Eh ada yang bikin pesta ultah di hotel, di Bekasi pula 👀</t>
  </si>
  <si>
    <t>Disaat ppkm diperpanjangEh ada yang bikin pesta ultah di hotel, di Bekasi pula</t>
  </si>
  <si>
    <t>melawai buka ga sih ppkm gini , pantesan bbrp hari pusing mulu kirain mau mens ternyata nambah mins 🥲</t>
  </si>
  <si>
    <t>melawai buka ga sih ppkm gini , pantesan bbrp hari pusing mulu kirain mau mens ternyata nambah mins</t>
  </si>
  <si>
    <t>@AREAJULID aku benci covid aku benci ppkm, sampai kapan ppkm selesai si aku capek urusanku ketunda2 mulu bgst</t>
  </si>
  <si>
    <t>aku benci covid aku benci ppkm, sampai kapan ppkm selesai si aku capek urusanku ketunda2 mulu bgst</t>
  </si>
  <si>
    <t>PPKM,,
 Pelan Pelan Kau Menjauh,,,
 Sering banget ngalami kaya gini kalau jalani hubungan,,,dengan cara cuek dan banyk alasan. jadi sudah terbiasa kalau sudah terjadi kaya gini,,, kaga mau ambil pusing.
 Soalnya cintanya kaga tulus dan serius.</t>
  </si>
  <si>
    <t>PPKM,,Pelan Pelan Kau Menjauh,,,Sering banget ngalami kaya gini kalau jalani hubungan,,,dengan cara cuek dan banyk alasan. jadi sudah terbiasa kalau sudah terjadi kaya gini,,, kaga mau ambil pusing.Soalnya cintanya kaga tulus dan serius.</t>
  </si>
  <si>
    <t>Ppkm diperpanjang nih?</t>
  </si>
  <si>
    <t>@taatprokes Agendakan segera setelah ppkm usai 
 Catat tanggal &amp;amp; jamnya</t>
  </si>
  <si>
    <t>Agendakan segera setelah ppkm usai Catat tanggal &amp;amp; jamnya</t>
  </si>
  <si>
    <t>Plis woi ppkm udahan dong sehari aja, GUA MAU PULANG😭😭</t>
  </si>
  <si>
    <t>Plis woi ppkm udahan dong sehari aja, GUA MAU PULANG</t>
  </si>
  <si>
    <t>"Tetapi dalam semuanya itu kita lebih dari pada orang-orang yg menang, oleh Dia yg telah mengasihi kita"
 Mari kita sukseskan penerapan PPKM dlm keseharian kita, tetap Prokes dan tetap semangat 💪 🙏
 Slmt pagi 🤝 https://t.co/kszUqkjuFe</t>
  </si>
  <si>
    <t>"Tetapi dalam semuanya itu kita lebih dari pada orang-orang yg menang, oleh Dia yg telah mengasihi kita"Mari kita sukseskan penerapan PPKM dlm keseharian kita, tetap Prokes dan tetap semangat Slmt pagi</t>
  </si>
  <si>
    <t>PPKM diperpanjang setiap minggunya.. mirip arisan sembako lebaran 😋😋😋</t>
  </si>
  <si>
    <t>PPKM diperpanjang setiap minggunya.. mirip arisan sembako lebaran</t>
  </si>
  <si>
    <t>ppkm sampe marklee ultah🤔</t>
  </si>
  <si>
    <t>ppkm sampe marklee ultah</t>
  </si>
  <si>
    <t>@Ariesaas_ Ppkm nya berlevel level teh wkwk</t>
  </si>
  <si>
    <t>Ppkm nya berlevel level teh wkwk</t>
  </si>
  <si>
    <t>Aku ketemu 2 orang hebat kemarin. 1) driver ojol 2) mang Yana, produsen ladu yg sementara beralih profesi jadi pengamen ukulele. Mereka ber2 saya tanya tentang PPKM jawabannya, "Alhamdulillah, dijalani disyukuri." ga merinding gimana gue, https://t.co/koQ2lCvtZG</t>
  </si>
  <si>
    <t>Aku ketemu orang hebat kemarin. ) driver ojol ) mang Yana, produsen ladu yg sementara beralih profesi jadi pengamen ukulele. Mereka ber2 saya tanya tentang PPKM jawabannya, "Alhamdulillah, dijalani disyukuri." ga merinding gimana gue,</t>
  </si>
  <si>
    <t>Kamu jadi korban PPKM ya? Aku juga 💔</t>
  </si>
  <si>
    <t>Kamu jadi korban PPKM ya? Aku juga</t>
  </si>
  <si>
    <t>PPKM akan terus diperpanjang sampe kamu mencintaiku,selamat pagi.... https://t.co/awHmmSdgkL</t>
  </si>
  <si>
    <t>PPKM akan terus diperpanjang sampe kamu mencintaiku,selamat pagi....</t>
  </si>
  <si>
    <t>@ProfesorZubairi @msaid_didu Kebijakan itu bener kalo dilihat dr kacamata anda doc coba lihat dr kacamata rakyat pd umumnya. Saya pikir hampir 3 minggu diberlakukan PPKM hasilnya ngak signifikan. Anda sebagai satgas mestinya cari formula yg lebih ampuh menghadapi pandemi @geloraco @FaisalBasri @detikcom</t>
  </si>
  <si>
    <t>Kebijakan itu bener kalo dilihat dr kacamata anda doc coba lihat dr kacamata rakyat pd umumnya. Saya pikir hampir minggu diberlakukan PPKM hasilnya ngak signifikan. Anda sebagai satgas mestinya cari formula yg lebih ampuh menghadapi pandemi</t>
  </si>
  <si>
    <t>PPKM hari berapa level?
 ~avika: "Ratusan"</t>
  </si>
  <si>
    <t>PPKM hari berapa level?~avika: "Ratusan"</t>
  </si>
  <si>
    <t>Punten tumpang tanya. Lg PPKM bs ke Bogor lewat Toll gak ya?</t>
  </si>
  <si>
    <t>Ppkm diperpanjang</t>
  </si>
  <si>
    <t>@aigyuya Iya na, selama ppkm jelek banget jam tidurnya. Biasanya abis azan subuh baru bisa merem :(</t>
  </si>
  <si>
    <t>Iya na, selama ppkm jelek banget jam tidurnya. Biasanya abis azan subuh baru bisa merem</t>
  </si>
  <si>
    <t>Jakarta PPKM level 4
 Lama lama udah kayak keripik mak icih , sampe level 10</t>
  </si>
  <si>
    <t>Jakarta PPKM level Lama lama udah kayak keripik mak icih , sampe level</t>
  </si>
  <si>
    <t>Ppkm cuma ganti nama doang aelaa uda kuduga</t>
  </si>
  <si>
    <t>mengawali sepekan lagi ppkm dengan lagu beat cepat https://t.co/0HmxygwcBs</t>
  </si>
  <si>
    <t>mengawali sepekan lagi ppkm dengan lagu beat cepat</t>
  </si>
  <si>
    <t>@Irwan2yah Semakin mengkuatirkan Kaltim.. sekarang 8 kab/kota masuk PPKM level 4..
 Sedihnya ada wali kota menjadikan isu pandemi utk pencitraan...</t>
  </si>
  <si>
    <t>Semakin mengkuatirkan Kaltim.. sekarang kab/kota masuk PPKM level ..Sedihnya ada wali kota menjadikan isu pandemi utk pencitraan...</t>
  </si>
  <si>
    <t>PPKM diperpanjang sampe idul qurban tahun ngarep, karepmu pak</t>
  </si>
  <si>
    <t>Kemarin beritanya gembar-gembor heboh Makassar per 26 Juli - 8 Agustus PPKM Level 4. Ehhh tp nyatanya hingga tengah malam tadi sampai sekarang pagi ini nda ada Surat Resminya. Wkwkwk
 Ini yang bikin saya hopeless sama Pemerintah sekarang.
 TERSERAH DEH.</t>
  </si>
  <si>
    <t>Kemarin beritanya gembar-gembor heboh Makassar per Juli - Agustus PPKM Level . Ehhh tp nyatanya hingga tengah malam tadi sampai sekarang pagi ini nda ada Surat Resminya. WkwkwkIni yang bikin saya hopeless sama Pemerintah sekarang.TERSERAH DEH.</t>
  </si>
  <si>
    <t>@potatoooguurl Sok gpp itu oge, pedesnya level 4 ya biar mirip kaya ppkm</t>
  </si>
  <si>
    <t>Sok gpp itu oge, pedesnya level ya biar mirip kaya ppkm</t>
  </si>
  <si>
    <t>Ppkm buat gila bgt ahhhhh</t>
  </si>
  <si>
    <t>@Aryprasetyo85 @ridwankamil @jokowi @satgascovid19id @Polda_Jabar @GarutHumas @diskesjabar @BPBDJabar dah lah ga usah PPKM sgala...di lapangan juga petugas ga ngerti tujuannya apa kok...masih byk pembiaran</t>
  </si>
  <si>
    <t>dah lah ga usah PPKM sgala...di lapangan juga petugas ga ngerti tujuannya apa kok...masih byk pembiaran</t>
  </si>
  <si>
    <t>PPKM diperpanjang terus sampai kau jadi milikku https://t.co/6lXb7kr34h</t>
  </si>
  <si>
    <t>PPKM diperpanjang terus sampai kau jadi milikku</t>
  </si>
  <si>
    <t>@radenrauf Sudah sadar.. tpi masih PPKM tuh :')</t>
  </si>
  <si>
    <t>Sudah sadar.. tpi masih PPKM tuh :')</t>
  </si>
  <si>
    <t>PPKM dperpanjang makin semrawut aja ekonomi, kayaknya klo pemerintah ngumumin corona dah ga ada semua yg sakit sembuh...kondisi ekonomi bangkit, dan aktifitas normal.. klo soal maut kan dah ada catatannya.. ia apa ia.?</t>
  </si>
  <si>
    <t>@fadlizon Kalau ada demo masa PPKM ini..
 lgsg dihajar saja..nyusahin aja itu.</t>
  </si>
  <si>
    <t>Kalau ada demo masa PPKM ini..lgsg dihajar saja..nyusahin aja itu.</t>
  </si>
  <si>
    <t>@tsukemem Soalnya skrg masih blm dpt nama baru pengganti ppkm darurat</t>
  </si>
  <si>
    <t>Soalnya skrg masih blm dpt nama baru pengganti ppkm darurat</t>
  </si>
  <si>
    <t>@ChandIdris Judul ftv nya Cintaku kandas karna ppkm</t>
  </si>
  <si>
    <t>Judul ftv nya Cintaku kandas karna ppkm</t>
  </si>
  <si>
    <t>@NUgarislucu Bakal selamanya PPKM donk klo bgtu</t>
  </si>
  <si>
    <t>Bakal selamanya PPKM donk klo bgtu</t>
  </si>
  <si>
    <t>@schfess Hadoohh ppkm gini aja masi ada yg nongkrong</t>
  </si>
  <si>
    <t>Hadoohh ppkm gini aja masi ada yg nongkrong</t>
  </si>
  <si>
    <t>@AREAJULID ppkm tu berdefinisi penyekatan jalan biar muter2, toko emas tutup, dan mall cuman boleh masuk 1 orang perkeluarga :)
 yg susah tuh kaya mini market tutup awal itu, kdg kelupaan wktu sedikit udh bablas angine hiks</t>
  </si>
  <si>
    <t>ppkm tu berdefinisi penyekatan jalan biar muter2, toko emas tutup, dan mall cuman boleh masuk orang perkeluarga yg susah tuh kaya mini market tutup awal itu, kdg kelupaan wktu sedikit udh bablas angine hiks</t>
  </si>
  <si>
    <t>Kantor aku mah mau ppkn, ppkm darurat, ppkm level 4, ppkm apalagi lah bodoamat ttp wfo 100%</t>
  </si>
  <si>
    <t>Kantor aku mah mau ppkn, ppkm darurat, ppkm level , ppkm apalagi lah bodoamat ttp wfo %</t>
  </si>
  <si>
    <t>Udah jomblo. PPKM lagi, 
 Gimana mau laku :(</t>
  </si>
  <si>
    <t>Udah jomblo. PPKM lagi, Gimana mau laku</t>
  </si>
  <si>
    <t>PPKM level 4, udah bisa ulti nih harusnya?</t>
  </si>
  <si>
    <t>PPKM level , udah bisa ulti nih harusnya?</t>
  </si>
  <si>
    <t>PPKM diperpanjang bikin orang yg kerja di industri creative makin stres</t>
  </si>
  <si>
    <t>@hamidmaulanaa_ Nah ini juga solusi, ppkm ketat, bansos minim, ya mestinya pajak 0</t>
  </si>
  <si>
    <t>Nah ini juga solusi, ppkm ketat, bansos minim, ya mestinya pajak</t>
  </si>
  <si>
    <t>@susipudjiastuti Beda 10 menit 'durasi waktu makan di warung' selama PPKM Level 4 yang disampaikan oleh:
 1. Pak Menko Marinves
 2. Pak Luhut
 Jadi kalau kucing pilih yang 20 menit ya Ibu Susi?😀 https://t.co/LffvGGYoao</t>
  </si>
  <si>
    <t>Beda menit 'durasi waktu makan di warung' selama PPKM Level yang disampaikan oleh:1. Pak Menko Marinves2. Pak LuhutJadi kalau kucing pilih yang menit ya Ibu Susi?</t>
  </si>
  <si>
    <t>Bersyukur, Pemerintah sigap dan tanggap untuk memperpanjang PPKM darurat. Terbukti, telah terjadi tren penurunan angka penambahan kasus tertular Covid 19.Bersabar dan tetap teguh Prokes agar, a Indonesia kembali sehat. 
 #SukseskanPPKMLevel4 https://t.co/6aw8QpK23V</t>
  </si>
  <si>
    <t>Bersyukur, Pemerintah sigap dan tanggap untuk memperpanjang PPKM darurat. Terbukti, telah terjadi tren penurunan angka penambahan kasus tertular Covid .Bersabar dan tetap teguh Prokes agar, a Indonesia kembali sehat.</t>
  </si>
  <si>
    <t>@jejee_pjs Hshshsh sekolahmu gak ppkm?</t>
  </si>
  <si>
    <t>Hshshsh sekolahmu gak ppkm?</t>
  </si>
  <si>
    <t>@kyo0ongom Kalo ppkm ga ada level 4 season 2 ya 😂</t>
  </si>
  <si>
    <t>Kalo ppkm ga ada level season ya</t>
  </si>
  <si>
    <t>Idi mendukung keputusan pemerintah, dengan memperpanjang ppkm di harapkan akan menekan penyebaran covit, dengan segra kita kembali normal seperti dulu
 #SukseskanPPKMLevel4 https://t.co/gJ1s95Q39z</t>
  </si>
  <si>
    <t>Idi mendukung keputusan pemerintah, dengan memperpanjang ppkm di harapkan akan menekan penyebaran covit, dengan segra kita kembali normal seperti dulu</t>
  </si>
  <si>
    <t>PPKM: Pagi-pagi Kami Memasak... #level4</t>
  </si>
  <si>
    <t>PPKM: Pagi-pagi Kami Memasak...</t>
  </si>
  <si>
    <t>@fadlizon 
 @msaid_didu 
 @MardaniAliSera 
 @hnurwahid 
 Mana suara kalian.. Kita di serang nih.. Pas PPKM pulak.. 
 Jangan munafik lah... Giliran tenaga ahli dari China yg datang.. Anda rame... 🤣🤣🤣 https://t.co/HzLS0ZL7yK</t>
  </si>
  <si>
    <t>Mana suara kalian.. Kita di serang nih.. Pas PPKM pulak.. Jangan munafik lah... Giliran tenaga ahli dari China yg datang.. Anda rame...</t>
  </si>
  <si>
    <t>@KemenkesRI Hai @KemenkesRI 
 Mohon pencerahan. Saya telah menjalani vaksin dosis 1 (Sinovac) di salah satu puskesmas di Jakarta, saat ini saya berada di daerah dan blm bisa kembali ke Jakarta (PPKM). Sementara 27 Juli ini jatuh tempo vaksin dosis ke-2. Apakah bisa ke puskes setempat ?</t>
  </si>
  <si>
    <t>Hai Mohon pencerahan. Saya telah menjalani vaksin dosis (Sinovac) di salah satu puskesmas di Jakarta, saat ini saya berada di daerah dan blm bisa kembali ke Jakarta (PPKM). Sementara Juli ini jatuh tempo vaksin dosis ke-2. Apakah bisa ke puskes setempat ?</t>
  </si>
  <si>
    <t>gasuka ppkm diperpanjang, chatan kita aja yg diperpanjang bisa ga??</t>
  </si>
  <si>
    <t>Sudahkah anda VAKSIN hari ini ?
 #ayovaksin jangan sampai menyesal dikemudian hari.
 .
 Tetap Prokes 3M &amp;amp; 5M, ikuti aturan PPKM yg berlaku. Semoga pandemi cepat berlalu. Aamiin 
 #BeraniPeduli 
 #GerakanBerbagiUntukWarga https://t.co/CQEz0Jnmgc</t>
  </si>
  <si>
    <t>Sudahkah anda VAKSIN hari ini ? jangan sampai menyesal dikemudian hari..Tetap Prokes M &amp;amp; M, ikuti aturan PPKM yg berlaku. Semoga pandemi cepat berlalu. Aamiin</t>
  </si>
  <si>
    <t>Sejak PPKM dan WFH pengeluaran utk konsumsi ikut melandai tapi untuk tanggihan listrik naik. Ini kali ya subsidi silang skala mikro. 🙄</t>
  </si>
  <si>
    <t>Sejak PPKM dan WFH pengeluaran utk konsumsi ikut melandai tapi untuk tanggihan listrik naik. Ini kali ya subsidi silang skala mikro.</t>
  </si>
  <si>
    <t>@0412PRECIOUS Hha kaya kepaksa mandi, btw kalo keluar ikutin aturan ppkm ya😃👍🏻</t>
  </si>
  <si>
    <t>Hha kaya kepaksa mandi, btw kalo keluar ikutin aturan ppkm ya</t>
  </si>
  <si>
    <t>@biiograph masa iya? ikutan ppkm ya?</t>
  </si>
  <si>
    <t>masa iya? ikutan ppkm ya?</t>
  </si>
  <si>
    <t>@tempodotco PPKM level 4 dimengerti publik sbg bahan candaan, udah kayak level pedas ayam geprek. Tampak kali alerginya pemerintah sama istilah Lockdowon</t>
  </si>
  <si>
    <t>PPKM level dimengerti publik sbg bahan candaan, udah kayak level pedas ayam geprek. Tampak kali alerginya pemerintah sama istilah Lockdowon</t>
  </si>
  <si>
    <t>Orang susah-susah idup di masa PPKM, eh ada yang ulang taun.</t>
  </si>
  <si>
    <t>Rindu kasur di Medan, tapi belum bisa pulang. Terkurung oleh PPKM. Aku juga ga bisa vaksin, ada riwayat kanker. Gimana dong..?</t>
  </si>
  <si>
    <t>Selama ppkm paket data aku sisa banyak banget sampai tanggal habisnya. Biasanya sebulan sampe beli 2-3x gara2 di luar terus. 😂😂</t>
  </si>
  <si>
    <t>Selama ppkm paket data aku sisa banyak banget sampai tanggal habisnya. Biasanya sebulan sampe beli $NUMBER$x gara2 di luar terus.</t>
  </si>
  <si>
    <t>Bukan wfh tapi wfo, gegara ppkm dikantor cuma 30-50% org aja jadi sepi bgt, dan boleh tidur di lantai 4 (tempat acara/meeting besarnya kantor) jam 12 gue tidur disitu, kebangun jam 2 atasan panik nyariin gue dikira gue kabur padahal lagi tidur di sofa empuk😭 https://t.co/VKPugqqXU1</t>
  </si>
  <si>
    <t>Bukan wfh tapi wfo, gegara ppkm dikantor cuma $NUMBER$% org aja jadi sepi bgt, dan boleh tidur di lantai (tempat acara/meeting besarnya kantor) jam gue tidur disitu, kebangun jam atasan panik nyariin gue dikira gue kabur padahal lagi tidur di sofa empuk</t>
  </si>
  <si>
    <t>Mendukung PPKM level 4 https://t.co/7eeWfveR05</t>
  </si>
  <si>
    <t>Mendukung PPKM level</t>
  </si>
  <si>
    <t>@bertanyarl Oke kita terima klarifikasi nya tapi tetep harus ditindak lanjuti pedagang yang lagi jualan pas ppkm aja di denda masa ini gaaa</t>
  </si>
  <si>
    <t>Oke kita terima klarifikasi nya tapi tetep harus ditindak lanjuti pedagang yang lagi jualan pas ppkm aja di denda masa ini gaaa</t>
  </si>
  <si>
    <t>kgn sblum ppkm https://t.co/RRnSUB3lPw</t>
  </si>
  <si>
    <t>kgn sblum ppkm</t>
  </si>
  <si>
    <t>Ppkm perpanjang… panjang sampe mentok rahim</t>
  </si>
  <si>
    <t>Ppkm perpanjang panjang sampe mentok rahim</t>
  </si>
  <si>
    <t>Mendukung PPKM level 4 https://t.co/9yMJSHTnlT</t>
  </si>
  <si>
    <t>@KompasTravel Waah masih ppkm</t>
  </si>
  <si>
    <t>Waah masih ppkm</t>
  </si>
  <si>
    <t>@Armandakholili Namun, sehubungan dgn diperpanjangnya PPKM, layanan tatap muka di beberapa KPP ditiadakan sementara. Silakan konfirmasi KPP dahulu mengenai ketersediaan layanan tatap muka selama PPKM ya, Kak. Informasi Kontak KPP: https://t.co/DM8gnYqFUc . (4/4) Tks*Risa</t>
  </si>
  <si>
    <t>Namun, sehubungan dgn diperpanjangnya PPKM, layanan tatap muka di beberapa KPP ditiadakan sementara. Silakan konfirmasi KPP dahulu mengenai ketersediaan layanan tatap muka selama PPKM ya, Kak. Informasi Kontak KPP: . (4/4) Tks*Risa</t>
  </si>
  <si>
    <t>Ppkm ini ngebuat rumah rame, shubuh tv nya disetel ngaji, pagi dangdut, sore indie or lagu yg english, malem Korea 🥲👍 berwarna2 sekali gegara beda2 selera</t>
  </si>
  <si>
    <t>Ppkm ini ngebuat rumah rame, shubuh tv nya disetel ngaji, pagi dangdut, sore indie or lagu yg english, malem Korea berwarna2 sekali gegara beda2 selera</t>
  </si>
  <si>
    <t>kucing gue mau kawin bgt sih lagi ppkm ntar aja lo</t>
  </si>
  <si>
    <t>@rpxxx_1 gini amat ppkm https://t.co/Kbky1Fna7I</t>
  </si>
  <si>
    <t>gini amat ppkm</t>
  </si>
  <si>
    <t>@bayuajisasmith hbis ppkm otw bikinnnn</t>
  </si>
  <si>
    <t>hbis ppkm otw bikinnnn</t>
  </si>
  <si>
    <t>Aku libur 3 hari karena ppkm. 2hari dibayar 50% sehari libur gantiin sabtu nanti masuk.</t>
  </si>
  <si>
    <t>Aku libur hari karena ppkm. hari dibayar % sehari libur gantiin sabtu nanti masuk.</t>
  </si>
  <si>
    <t>PPKM Pelan Pelan Kita MengHadeeeh https://t.co/5jm6UzJEzu</t>
  </si>
  <si>
    <t>PPKM Pelan Pelan Kita MengHadeeeh</t>
  </si>
  <si>
    <t>Selamat Pagi 
 PPKM masih berlaku ayuk semangat bertahan</t>
  </si>
  <si>
    <t>Selamat Pagi PPKM masih berlaku ayuk semangat bertahan</t>
  </si>
  <si>
    <t>@mancall_look77 PPKM, program tipu²</t>
  </si>
  <si>
    <t>PPKM, program tipu</t>
  </si>
  <si>
    <t>Selamat pagi sahabat ppkm</t>
  </si>
  <si>
    <t>@blankoncoklat @hansssolo @saidiqbalkspi Memangnya iuran buruh udah mulai menipis ya cuk? 😁 Sampai berani bela2in nyawa para demonstran...lagi PPKM wooii...👊👊👎</t>
  </si>
  <si>
    <t>Memangnya iuran buruh udah mulai menipis ya cuk? Sampai berani bela2in nyawa para demonstran...lagi PPKM wooii...</t>
  </si>
  <si>
    <t>@kompascom Terima kasih pemerintah , dari jaman psbb sampai ppkm level 4, nol besar....</t>
  </si>
  <si>
    <t>Terima kasih pemerintah , dari jaman psbb sampai ppkm level , nol besar....</t>
  </si>
  <si>
    <t>@Dennysiregar7 Hahaha..militerisasi cara makan...
 Berarti selain PPKM yang dilonggarkan kerongkongan juga...
 Jadi tinggal di ruangin tuh makanan, masuk.....f</t>
  </si>
  <si>
    <t>Hahaha..militerisasi cara makan...Berarti selain PPKM yang dilonggarkan kerongkongan juga...Jadi tinggal di ruangin tuh makanan, masuk.....f</t>
  </si>
  <si>
    <t>Disdik Jatim berencana membuka sekolah SMA/SMK/SLB secara terbatas apabila PPKM Darurat dicabut oleh pemerintah</t>
  </si>
  <si>
    <t>ji.. lu ngapain pake gituan? 
 iseng aja kak, kenapa?
 kaka poto yaaa.. terus kaka post di twitter, siapa tau laku dek..
 kaaakkk !!! lu gila apa gimana??? 
 " di sewakan adek, buat nambah uang jajan soalnya lagi ppkm "
 - 5 menit kemudian -
 [ Dm twitter kaka ] https://t.co/90cfEu2I1n</t>
  </si>
  <si>
    <t>ji.. lu ngapain pake gituan? iseng aja kak, kenapa?kaka poto yaaa.. terus kaka post di twitter, siapa tau laku dek..kaaakkk !!! lu gila apa gimana??? " di sewakan adek, buat nambah uang jajan soalnya lagi ppkm "- menit kemudian -[ Dm twitter kaka ]</t>
  </si>
  <si>
    <t>@PenjelajahUkhty @Zyreg2 @GustiPanduPanti @jhons_manurung @fadlidj @KRMTRoySuryo2 Bedanya cuma tanggung jawab pemerintah terhadap masyarakat mas, kalo lockdown rujukannya uu karantina kesehatan, pemerintah wajib memenuhi kebutuhan pokok masyarakat, kalo PPKM ya beda istilah aja buat lepasin diri dari kewajiban itu.</t>
  </si>
  <si>
    <t>Bedanya cuma tanggung jawab pemerintah terhadap masyarakat mas, kalo lockdown rujukannya uu karantina kesehatan, pemerintah wajib memenuhi kebutuhan pokok masyarakat, kalo PPKM ya beda istilah aja buat lepasin diri dari kewajiban itu.</t>
  </si>
  <si>
    <t>Naaah! PPKM kali ini, pengusaha kecil bisa berlega. Simak threadnya. 💃🏽 https://t.co/acl0t2unKD</t>
  </si>
  <si>
    <t>Naaah! PPKM kali ini, pengusaha kecil bisa berlega. Simak threadnya.</t>
  </si>
  <si>
    <t>Ppkm sudah level 4
 Udah bisa ambil skill ulti</t>
  </si>
  <si>
    <t>Ppkm sudah level Udah bisa ambil skill ulti</t>
  </si>
  <si>
    <t>@bertanyarl gak tau ah. di masa covid-ppkm org yg derajat nya dibawah, harus denda dn g boleh kerja. dan ini? cuma b'day party. B'DAY PARTY RAME²AN HEY! ga mau tau, harus ditindak lanjuti satpol PP dsb. jgn mentang² seleb dong, mainnya klarifikasi video, gak ada denda? saya tida terima plsss</t>
  </si>
  <si>
    <t>gak tau ah. di masa covid-ppkm org yg derajat nya dibawah, harus denda dn g boleh kerja. dan ini? cuma b'day party. B'DAY PARTY RAMEAN HEY! ga mau tau, harus ditindak lanjuti satpol PP dsb. jgn mentang seleb dong, mainnya klarifikasi video, gak ada denda? saya tida terima plsss</t>
  </si>
  <si>
    <t>Selamat pagi para pejuang PPKM.</t>
  </si>
  <si>
    <t>PPKM asline ki Pak Presiden Kapan Mundur Hehe</t>
  </si>
  <si>
    <t>Setelah ppkm jadi anak gym, kembali ke laptop setelah vakum setahun lamanya 😅 mudah mudahan karena daftar untuk setahun jadi rajin karena sayang uangnya 😅 https://t.co/DjTczqvljs</t>
  </si>
  <si>
    <t>Setelah ppkm jadi anak gym, kembali ke laptop setelah vakum setahun lamanya mudah mudahan karena daftar untuk setahun jadi rajin karena sayang uangnya</t>
  </si>
  <si>
    <t>Pagi admin.. Mau nanya pembuatan SKCK di polres metro bekasi selama PPKM level 4 tetap buka gak? @urbancikarang</t>
  </si>
  <si>
    <t>Pagi admin.. Mau nanya pembuatan SKCK di polres metro bekasi selama PPKM level tetap buka gak?</t>
  </si>
  <si>
    <t>@TomCruzz555 Mirip2 ma kmrin , vonis jaksa di sunat oleh hakim krn ank2 nya msih kecil, nti jg bakal da lg y, lg demam&amp;amp; sakit gigi, istri lg hamil, merawat ortu lg isoman, saudara kena stroke, tulang punggung kluarga, ank2 rewel , lgi nganggur/ kena phk, dampak ppkm - dll !!!</t>
  </si>
  <si>
    <t>Mirip2 ma kmrin , vonis jaksa di sunat oleh hakim krn ank2 nya msih kecil, nti jg bakal da lg y, lg demam&amp;amp; sakit gigi, istri lg hamil, merawat ortu lg isoman, saudara kena stroke, tulang punggung kluarga, ank2 rewel , lgi nganggur/ kena phk, dampak ppkm - dll !!!</t>
  </si>
  <si>
    <t>@alisyarief @Nurchan93995658 PPKM: Pak Presiden Kapan Menyerah</t>
  </si>
  <si>
    <t>PPKM: Pak Presiden Kapan Menyerah</t>
  </si>
  <si>
    <t>@IndiHoam ppkm bos</t>
  </si>
  <si>
    <t>ppkm bos</t>
  </si>
  <si>
    <t>PPKM : pagi pagi merindu mu</t>
  </si>
  <si>
    <t>Deg-degan euy makan aja sambil diawasin TNI, serasa jadi tahanan
 PPKM Level 4, Makan di Warung Diawasi TNI https://t.co/JgmNRBwwDL</t>
  </si>
  <si>
    <t>Deg-degan euy makan aja sambil diawasin TNI, serasa jadi tahananPPKM Level , Makan di Warung Diawasi TNI</t>
  </si>
  <si>
    <t>@yyyyaaangg Rtrtrtrtrt dah, justru semakin batu dan kekeuh nongkrong makin lama penurunan nya sama ppkm nya</t>
  </si>
  <si>
    <t>Rtrtrtrtrt dah, justru semakin batu dan kekeuh nongkrong makin lama penurunan nya sama ppkm nya</t>
  </si>
  <si>
    <t>@urFutureLover_ Tutup, kan masih PPKM</t>
  </si>
  <si>
    <t>Tutup, kan masih PPKM</t>
  </si>
  <si>
    <t>@tjapoenglaut Ketilang ppkm pak</t>
  </si>
  <si>
    <t>Ketilang ppkm pak</t>
  </si>
  <si>
    <t>Hidup intinya adalah kudu bakoh. 
 Punya uang gak punya uang.. bakoh
 Kesel gak kesel.. bakoh
 Ppkm ga ppkm.. bakoh
 Telan mentah2 kenyataan ntar juga terbiasa🤣🤣</t>
  </si>
  <si>
    <t>Hidup intinya adalah kudu bakoh. Punya uang gak punya uang.. bakohKesel gak kesel.. bakohPpkm ga ppkm.. bakohTelan mentah2 kenyataan ntar juga terbiasa</t>
  </si>
  <si>
    <t>❤ deobii, daily reminder yaa jangan lupa nanti kita harus gila streaming apalagi kan bakal seger (maybe) mv nya jadi itung itung healing gitu selama ppkm kan kayaknya suntuk bgt dirumah, nah streaming mv the boyz biar seger! terus jangan lupa collect ticket music show (cont..) https://t.co/qkeGXafQCv</t>
  </si>
  <si>
    <t>deobii, daily reminder yaa jangan lupa nanti kita harus gila streaming apalagi kan bakal seger (maybe) mv nya jadi itung itung healing gitu selama ppkm kan kayaknya suntuk bgt dirumah, nah streaming mv the boyz biar seger! terus jangan lupa collect ticket music show (cont..)</t>
  </si>
  <si>
    <t>Bukannya gak mau Bantu Rakyat saat PPKM. cuma nanti Kalo dibantu...Bisa Bangkrut negara ini, trus Ngutang Lagi, Mau Jual Aset apalagi, ini aja udah byk yg tergadai.
 Udah tidur aja ya Mblo... 🤭🤣</t>
  </si>
  <si>
    <t>Bukannya gak mau Bantu Rakyat saat PPKM. cuma nanti Kalo dibantu...Bisa Bangkrut negara ini, trus Ngutang Lagi, Mau Jual Aset apalagi, ini aja udah byk yg tergadai.Udah tidur aja ya Mblo...</t>
  </si>
  <si>
    <t>@mewnghalubilu kok jadi inget bday party ppkm ya🛐</t>
  </si>
  <si>
    <t>kok jadi inget bday party ppkm ya</t>
  </si>
  <si>
    <t>@bertanyarl Pingin beli HOKBEN
 Plis PPKM berhentilah 🤧</t>
  </si>
  <si>
    <t>Pingin beli HOKBENPlis PPKM berhentilah</t>
  </si>
  <si>
    <t>semoga ini jdi ppkm yang terakhir ya,dan semoga corona udah mulai reda,semoga semua bsa bekerja sama🤗 https://t.co/t8lDLhuX21</t>
  </si>
  <si>
    <t>semoga ini jdi ppkm yang terakhir ya,dan semoga corona udah mulai reda,semoga semua bsa bekerja sama</t>
  </si>
  <si>
    <t>@gheajhanaLee @msaid_didu Walau PPKM tukang tambal ban tetep eksis...</t>
  </si>
  <si>
    <t>Walau PPKM tukang tambal ban tetep eksis...</t>
  </si>
  <si>
    <t>Serius ppkm sbenernya berhasil ga sih? Ini kok di daerah gue ada aja orang mati karna wabah ama terinfeksi?</t>
  </si>
  <si>
    <t>@M_Katjasungkana Ada gunana ppkm ya om, bs nyantai drmh ngupi² tingkatin imun...</t>
  </si>
  <si>
    <t>Ada gunana ppkm ya om, bs nyantai drmh ngupi tingkatin imun...</t>
  </si>
  <si>
    <t>@padangmenfess Ppkm level 4 kini penyekatan antar kota dihilangkan.</t>
  </si>
  <si>
    <t>Ppkm level kini penyekatan antar kota dihilangkan.</t>
  </si>
  <si>
    <t>“Anda tidak akan pernah belajar sabar dan berani jika di dunia ini hanya ada kebahagiaan.” -Helen Keller-
 Selamat pagi! Tetap sabar menjalani PPKM, temankeu!</t>
  </si>
  <si>
    <t>Anda tidak akan pernah belajar sabar dan berani jika di dunia ini hanya ada kebahagiaan. -Helen Keller-Selamat pagi! Tetap sabar menjalani PPKM, temankeu!</t>
  </si>
  <si>
    <t>ppkm bisa ga ya ampe level seribu kayak candy crush</t>
  </si>
  <si>
    <t>PPKM level 76 masyarakat wajib ngrogo sukmo mengeluarkan rohnya aja kalo ingin pergi Ke luar rumah.</t>
  </si>
  <si>
    <t>PPKM level masyarakat wajib ngrogo sukmo mengeluarkan rohnya aja kalo ingin pergi Ke luar rumah.</t>
  </si>
  <si>
    <t>Lagi rame nih, boleh makan dine in dalam waktu maksimal 20 menit saat PPKM Level 4. 
 Kalau kamu mending tetep dine in atau take away aja? 
 Gabungan di #witm yoook sampai jam 10 pagi!</t>
  </si>
  <si>
    <t>Lagi rame nih, boleh makan dine in dalam waktu maksimal menit saat PPKM Level . Kalau kamu mending tetep dine in atau take away aja? Gabungan di yoook sampai jam pagi!</t>
  </si>
  <si>
    <t>@CNNIndonesia Aturan Baru PPKM Level 4 Makan di Warteg 20 Menit tdk ada, aturan tsb sj warteg seluruh jkt masih bs mkn di tempat....sangsi pemerintah tdk tegas thd usaha yg membandel</t>
  </si>
  <si>
    <t>Aturan Baru PPKM Level Makan di Warteg Menit tdk ada, aturan tsb sj warteg seluruh jkt masih bs mkn di tempat....sangsi pemerintah tdk tegas thd usaha yg membandel</t>
  </si>
  <si>
    <t>@intanelisa_ Ppkm level nabok masih lanjot</t>
  </si>
  <si>
    <t>Ppkm level nabok masih lanjot</t>
  </si>
  <si>
    <t>@aniesbaswedan @dinkesJKT @DKIJakarta Ini karena ppkm atau vaksin, pak anies?</t>
  </si>
  <si>
    <t>Ini karena ppkm atau vaksin, pak anies?</t>
  </si>
  <si>
    <t>Open massage area Magelang jogja
 Daripada mikir ppkm trus..DM yuk</t>
  </si>
  <si>
    <t>Open massage area Magelang jogjaDaripada mikir ppkm trus..DM yuk</t>
  </si>
  <si>
    <t>Dinas Pendidikan (Disdik) Jawa Timur (Jatim) berencana membuka sekolah jenjang SMA/SMK/SLB secara terbatas apabila pemerintah mecabut Pemberlakuan Pembatasan Kegiatan Masyarakat (PPKM) Darurat</t>
  </si>
  <si>
    <t>@daniaku7 Semoga PPKM dapat berdampak positif dan bisa menurunkan tingkat penyebaran pandemi</t>
  </si>
  <si>
    <t>Semoga PPKM dapat berdampak positif dan bisa menurunkan tingkat penyebaran pandemi</t>
  </si>
  <si>
    <t>@promo_BRI Sebagai UMKM karena ppkm pendapatan macet total adakah kebijaksanaan BRI selain penundaan hutang@promo_BRI</t>
  </si>
  <si>
    <t>Sebagai UMKM karena ppkm pendapatan macet total adakah kebijaksanaan BRI selain penundaan hutang</t>
  </si>
  <si>
    <t>@dnclsimanjuntak @ditmawaugm Ini nih kelihatan masuk UGM pakai jurus Hoki ngasal jawab penting lolos magerr ngebaca ngasal aja tau-tau dapet UGM,dah tau PPKM berkerumun foto-foto 😭</t>
  </si>
  <si>
    <t>Ini nih kelihatan masuk UGM pakai jurus Hoki ngasal jawab penting lolos magerr ngebaca ngasal aja tau-tau dapet UGM,dah tau PPKM berkerumun foto-foto</t>
  </si>
  <si>
    <t>sch! masa guru aku nyuruh ngumpulin tugas ke rumahnya padahal lagi ppkm wkwk.
 ✄・・・
 🧐 Trivia: Hubung singkat: suatu peristiwa di mana kabel fasa terhubung dengan kabel netral atau fasa lainnya.</t>
  </si>
  <si>
    <t>sch! masa guru aku nyuruh ngumpulin tugas ke rumahnya padahal lagi ppkm wkwk. Trivia: Hubung singkat: suatu peristiwa di mana kabel fasa terhubung dengan kabel netral atau fasa lainnya.</t>
  </si>
  <si>
    <t>Waktu makan di warung dibatasi 20 menit. Nek keseleg atau seret boleh perpanjangan 5 menit. Wong PPKM aja ada perpanjangan kok</t>
  </si>
  <si>
    <t>Waktu makan di warung dibatasi menit. Nek keseleg atau seret boleh perpanjangan menit. Wong PPKM aja ada perpanjangan kok</t>
  </si>
  <si>
    <t>Usai PPKM Darurat Dicabut, SMA/SMK Jatim Berencana Buka PTM Terbatas loh!</t>
  </si>
  <si>
    <t>@Rizmaya__ @DivHumas_Polri @CCICPolri Kalo melanggar PPKM dan berpotensi menyebarkan virus covid 19 dan membahayakan nyawa orang lain, @DivHumas_Polri @CCICPolri @Puspen_TNI @PolhukamRI tak perlu ragu bedil aja penggerak dan ketua nya,kalau perlu di cekek sampai modyar ketua nya,gak usah takut HAM</t>
  </si>
  <si>
    <t>Kalo melanggar PPKM dan berpotensi menyebarkan virus covid dan membahayakan nyawa orang lain, tak perlu ragu bedil aja penggerak dan ketua nya,kalau perlu di cekek sampai modyar ketua nya,gak usah takut HAM</t>
  </si>
  <si>
    <t>@txtdarigajelas Ppkm ga di taat in, nnti kalo ada apa apa yang disalahin PEMERINTAH.</t>
  </si>
  <si>
    <t>Ppkm ga di taat in, nnti kalo ada apa apa yang disalahin PEMERINTAH.</t>
  </si>
  <si>
    <t>Tapi PPKM kan suka diperpanjang. Gmn kalau yg 20 menit juga diperpanjang dikit om @airlangga_hrt ?</t>
  </si>
  <si>
    <t>Tapi PPKM kan suka diperpanjang. Gmn kalau yg menit juga diperpanjang dikit om ?</t>
  </si>
  <si>
    <t>PPKM diperpanjang? PPKM level 1-4 bedanya apa sih? Apa mau ada sampai level PPKM Pro Max? Entahlah saya masih percaya sama Jayabaya aja</t>
  </si>
  <si>
    <t>PPKM diperpanjang? PPKM level $NUMBER$ bedanya apa sih? Apa mau ada sampai level PPKM Pro Max? Entahlah saya masih percaya sama Jayabaya aja</t>
  </si>
  <si>
    <t>@deppresiku Ngpain si kmn2, ppkm.</t>
  </si>
  <si>
    <t>Ngpain si kmn2, ppkm.</t>
  </si>
  <si>
    <t>@txtdarigajelas Pukul pala kau monyet : PPKM https://t.co/SCqtNX1Urg</t>
  </si>
  <si>
    <t>Pukul pala kau monyet : PPKM</t>
  </si>
  <si>
    <t>@BregPigg @RamliRizal Terus dah diwanti2 sejak awal jgn mudik, ngeyel. Di PPKM mengeluh, minta disubsidi kebutuhan2nya. Anggaran bertambah, pemerintah nambah hutang dihina. Memang luar biasa warga +62...</t>
  </si>
  <si>
    <t>Terus dah diwanti2 sejak awal jgn mudik, ngeyel. Di PPKM mengeluh, minta disubsidi kebutuhan2nya. Anggaran bertambah, pemerintah nambah hutang dihina. Memang luar biasa warga +62...</t>
  </si>
  <si>
    <t>Mengawali pagi hari dgn nangis krn perkara pgn ketemu tp gagal lg krn ppkm bgst.</t>
  </si>
  <si>
    <t>Tetep ga bisa hadir, karna aku sayang anak dan keluarga aku. Lagi ppkm juga, takut pas pulang nanti malah bawa penyakit :(</t>
  </si>
  <si>
    <t>Tetep ga bisa hadir, karna aku sayang anak dan keluarga aku. Lagi ppkm juga, takut pas pulang nanti malah bawa penyakit</t>
  </si>
  <si>
    <t>Aku berpikir selama ppkm ini terus agustus masuk kerja to apa besok kita akan canggung 🙃 seperti hri 1 masuk kerja dulu https://t.co/qdyJWpFpPR</t>
  </si>
  <si>
    <t>Aku berpikir selama ppkm ini terus agustus masuk kerja to apa besok kita akan canggung seperti hri masuk kerja dulu</t>
  </si>
  <si>
    <t>@irfahudaya Semoga PPKM ini berdampak positif ya, bisa menurunkan tingkat penyebaran pandemi</t>
  </si>
  <si>
    <t>Semoga PPKM ini berdampak positif ya, bisa menurunkan tingkat penyebaran pandemi</t>
  </si>
  <si>
    <t>Pakar usul PPKM darurat diperpanjang sampai gunung kidul pindah lorrr</t>
  </si>
  <si>
    <t>Pemerintah memberikan anggaran tambahan sebesar Rp 1,91 triliun untuk memberikan diskon pada pelanggan PLN.
 Hal ini karena pemerintah ingin masyarakat tetap produktif ditengah keterbatasan karena PPKM ini. 
 Yuk kita semangat https://t.co/30GV5KFTdk</t>
  </si>
  <si>
    <t>Pemerintah memberikan anggaran tambahan sebesar Rp triliun untuk memberikan diskon pada pelanggan PLN.Hal ini karena pemerintah ingin masyarakat tetap produktif ditengah keterbatasan karena PPKM ini. Yuk kita semangat</t>
  </si>
  <si>
    <t>@jaya_pancasila Ppkm Udah diperpanjang dan dipersempit. Lepaskan</t>
  </si>
  <si>
    <t>Ppkm Udah diperpanjang dan dipersempit. Lepaskan</t>
  </si>
  <si>
    <t>@ceritanyawulan Hehehe biar semangat selama PPKM</t>
  </si>
  <si>
    <t>Hehehe biar semangat selama PPKM</t>
  </si>
  <si>
    <t>@unytok Semoga PPKM berdampak positif juga bisa menurunkan tingkat penyebaran Covid-19</t>
  </si>
  <si>
    <t>Semoga PPKM berdampak positif juga bisa menurunkan tingkat penyebaran Covid-19</t>
  </si>
  <si>
    <t>@princessouyang @muannas_alaidid Hrsnya kl tau malu memberikan kompensasi kl bikin peraturan ppkm darurat, membatasi org berdagang dan bekerja , menghindari aturan lokc down dg istilah2 lain utk menghindari memberikan kompensasi kpd rakyat itu namanya spt memiskinkan rakyat</t>
  </si>
  <si>
    <t>Hrsnya kl tau malu memberikan kompensasi kl bikin peraturan ppkm darurat, membatasi org berdagang dan bekerja , menghindari aturan lokc down dg istilah2 lain utk menghindari memberikan kompensasi kpd rakyat itu namanya spt memiskinkan rakyat</t>
  </si>
  <si>
    <t>Stigma sosial terkait PPKM Darurat - https://t.co/e8szuQKFkY</t>
  </si>
  <si>
    <t>Stigma sosial terkait PPKM Darurat -</t>
  </si>
  <si>
    <t>@AREAJULID Ya gini yg bikin pandemi ga kelar-kelar. PPKM diperpanjang 'til drop.</t>
  </si>
  <si>
    <t>Ya gini yg bikin pandemi ga kelar-kelar. PPKM diperpanjang 'til drop.</t>
  </si>
  <si>
    <t>@Lattecatfamily Katanya kebijakan ppkm yg baru, kerjanya dari jam 6 sampe jam 6
 Masuk 2 hari sekali 😂🤦🏻 berangkatnya jam 5 karena macetnya pasti parah</t>
  </si>
  <si>
    <t>Katanya kebijakan ppkm yg baru, kerjanya dari jam sampe jam Masuk hari sekali berangkatnya jam karena macetnya pasti parah</t>
  </si>
  <si>
    <t>Di masa PPKM belanja bulanan rasanya sudah kayak seneng bgt.</t>
  </si>
  <si>
    <t>@daniaku7 Aku tetep setuju PPKM diperpanjang mba. Bila perlu sampe akhir tahun hehehehe piss</t>
  </si>
  <si>
    <t>Aku tetep setuju PPKM diperpanjang mba. Bila perlu sampe akhir tahun hehehehe piss</t>
  </si>
  <si>
    <t>Dengan adanya PPKM Level ini diharapkan pemerintah daerah dan masyarakatnya saling bahu membahu untuk menurunkan derajat levelnya.
 Keuntungannya adalah masyarakat tidak khawatir lagi dengan pembatasan yang ketat. 
 #SukseskanPPKMLevel4 https://t.co/O1QoM8n166</t>
  </si>
  <si>
    <t>Dengan adanya PPKM Level ini diharapkan pemerintah daerah dan masyarakatnya saling bahu membahu untuk menurunkan derajat levelnya.Keuntungannya adalah masyarakat tidak khawatir lagi dengan pembatasan yang ketat.</t>
  </si>
  <si>
    <t>@kumaedi07 Semoga PPKM berdampak positif dan bisa menurunkan tingkat penyebaran Covid-19 di Indonesia</t>
  </si>
  <si>
    <t>Semoga PPKM berdampak positif dan bisa menurunkan tingkat penyebaran Covid-19 di Indonesia</t>
  </si>
  <si>
    <t>@snapwthluv @bertanyarl cih udh nyelesain briday party dia baru ngakui kesalahannya knp sih artis tiktok yg kek gini gk di pikirn udh tauu ppkm njir orang² mah pada susah mau kerja gara² ppkm ni orang mlh bikin acara ultah mana gk d tegur sama sekali ckck</t>
  </si>
  <si>
    <t>cih udh nyelesain briday party dia baru ngakui kesalahannya knp sih artis tiktok yg kek gini gk di pikirn udh tauu ppkm njir orang mah pada susah mau kerja gara ppkm ni orang mlh bikin acara ultah mana gk d tegur sama sekali ckck</t>
  </si>
  <si>
    <t>PPKM ala Bucin🤣🤣🤣 https://t.co/ujteufwXQO</t>
  </si>
  <si>
    <t>PPKM ala Bucin</t>
  </si>
  <si>
    <t>@bowosusilo94 Berharap sekali PPKM berdampak positif dapat menurunkan tingkat penyebaran pandemi</t>
  </si>
  <si>
    <t>Berharap sekali PPKM berdampak positif dapat menurunkan tingkat penyebaran pandemi</t>
  </si>
  <si>
    <t>@yulakusuma Hehehe untungnya ada yg kirim pas PPKM</t>
  </si>
  <si>
    <t>Hehehe untungnya ada yg kirim pas PPKM</t>
  </si>
  <si>
    <t>Bansos amat bermanfaat pada masa ppkm darurat
 @jokowi 
 @halimiskandarnu 
 @kemendespdtt 
 @malik_haramain 
 @imansyukuri1 
 @taufikmadjid 
 @yusradaridesa 
 @azzameldzikrie 
 @tppkemendes
 @tpp_provKalsel
 https://t.co/RBhC61up0d</t>
  </si>
  <si>
    <t>Bansos amat bermanfaat pada masa ppkm darurat ://</t>
  </si>
  <si>
    <t>"PPKM Darurat Diperpanjang, Rakyat Menjerit"
 https://t.co/sjEOrGwoQA https://t.co/rrQwRWXTTY</t>
  </si>
  <si>
    <t>"PPKM Darurat Diperpanjang, Rakyat Menjerit"</t>
  </si>
  <si>
    <t>@Askrlfess Nder dibulan september ppkm udh level brapa</t>
  </si>
  <si>
    <t>Nder dibulan september ppkm udh level brapa</t>
  </si>
  <si>
    <t>@archa_bella Berharap sekali PPKM berdampak positif ya, bisa menurunkan tingkat penyebaran pandemi</t>
  </si>
  <si>
    <t>Berharap sekali PPKM berdampak positif ya, bisa menurunkan tingkat penyebaran pandemi</t>
  </si>
  <si>
    <t>@geloraco PPKM menyuruh... jauhkan masjid... piye toh...</t>
  </si>
  <si>
    <t>PPKM menyuruh... jauhkan masjid... piye toh...</t>
  </si>
  <si>
    <t>@mporatne Semoga PPKM berdampak positif dan bisa menurunkan tingkat penyebaran Covid-19</t>
  </si>
  <si>
    <t>Semoga PPKM berdampak positif dan bisa menurunkan tingkat penyebaran Covid-19</t>
  </si>
  <si>
    <t>Kita dukung ppkm.
 Selamat pagi semoga Tuhan yg maha kuasa melindungi kita semua.
 #StaySafe https://t.co/26Ab2v25UA</t>
  </si>
  <si>
    <t>Kita dukung ppkm.Selamat pagi semoga Tuhan yg maha kuasa melindungi kita semua.</t>
  </si>
  <si>
    <t>Di saat situasi sulit dan bangsa Indonesia harus melawan Covid yang masih mengganas, Ketua KSPI ajak Buruh Gelar Aksi Mogok.
 Ini orang waras apa nggak sih?
 Diberlakukan PPKM, protes.
 Giliran bisa kerja, mogok.
 Yang penting bikin ribut Indonesia?
  https://t.co/J4BXZczI5E</t>
  </si>
  <si>
    <t>Di saat situasi sulit dan bangsa Indonesia harus melawan Covid yang masih mengganas, Ketua KSPI ajak Buruh Gelar Aksi Mogok.Ini orang waras apa nggak sih?Diberlakukan PPKM, protes.Giliran bisa kerja, mogok.Yang penting bikin ribut Indonesia?</t>
  </si>
  <si>
    <t>Gue mulai merasakan efek gak enak dari PPKM. Duit transport berkurang wkwkwkw</t>
  </si>
  <si>
    <t>Halo @DKIJakarta @JSCLab
 , Saya mau perpanjang surat pemakaman ayah saya tp kantor pemakaman tutup selama PPKM, Bagaimana cara dptkan Surat Pengantar Pemakaman dari kantor TPU ?
 Sumber: https://t.co/99ciQ7SEyR</t>
  </si>
  <si>
    <t>Halo , Saya mau perpanjang surat pemakaman ayah saya tp kantor pemakaman tutup selama PPKM, Bagaimana cara dptkan Surat Pengantar Pemakaman dari kantor TPU ?Sumber:</t>
  </si>
  <si>
    <t>@rohmahkr_07 Semoga PPKM berdampak positif, bisa menurunkan tingkat penyebaran Covid-19</t>
  </si>
  <si>
    <t>Semoga PPKM berdampak positif, bisa menurunkan tingkat penyebaran Covid-19</t>
  </si>
  <si>
    <t>@Arul70848368 @CalonMa22009456 @muannas_alaidid Yg ga sopan itu ulah kadrun...udah tau PPKM siapa suruh demo bawa senpi sm molotov.. ngomongin ga sopan siapa yg ga sopan...
 Btw Saudi udah ngasih bantuan vaksin kok...lu kemana aja??</t>
  </si>
  <si>
    <t>Yg ga sopan itu ulah kadrun...udah tau PPKM siapa suruh demo bawa senpi sm molotov.. ngomongin ga sopan siapa yg ga sopan...Btw Saudi udah ngasih bantuan vaksin kok...lu kemana aja??</t>
  </si>
  <si>
    <t>Ppkm diperpanjang lagi 😔</t>
  </si>
  <si>
    <t>Ppkm diperpanjang lagi</t>
  </si>
  <si>
    <t>@ceritanyawulan Berharap PPKM berdampak positif, bisa menurunkan tingkat penyebaran pandemi</t>
  </si>
  <si>
    <t>Berharap PPKM berdampak positif, bisa menurunkan tingkat penyebaran pandemi</t>
  </si>
  <si>
    <t>@tahajud Yang bikin panik itu bukan rakyatnya, tapi elo para pejabat yang tak konsisten atur ini itu. Pake istilah pspb, psbb, ppkm atau apapun namanya masyarakat gak boleh ini itu, tapi biaya makan takyat enggaknelu tanggung. Kolega elunmakin asyik korupsinya kan?
 Negara jadi bangkrut..! https://t.co/xnUXESiJgx</t>
  </si>
  <si>
    <t>Yang bikin panik itu bukan rakyatnya, tapi elo para pejabat yang tak konsisten atur ini itu. Pake istilah pspb, psbb, ppkm atau apapun namanya masyarakat gak boleh ini itu, tapi biaya makan takyat enggaknelu tanggung. Kolega elunmakin asyik korupsinya kan?Negara jadi bangkrut..!</t>
  </si>
  <si>
    <t>PPKM
 Pagi-pagi kok mules.</t>
  </si>
  <si>
    <t>PPKMPagi-pagi kok mules.</t>
  </si>
  <si>
    <t>@sallyfauzi Semoga PPKM berdampak positif ya, bisa menurunkan tingkat penyebaran Covid-19</t>
  </si>
  <si>
    <t>Semoga PPKM berdampak positif ya, bisa menurunkan tingkat penyebaran Covid-19</t>
  </si>
  <si>
    <t>Puisi Kemerdekaan Menjelang HUT RI ke-76: Kemerdekaan Di Masa PPKM Darurat https://t.co/MvHuBsqoN1</t>
  </si>
  <si>
    <t>Puisi Kemerdekaan Menjelang HUT RI ke-76: Kemerdekaan Di Masa PPKM Darurat</t>
  </si>
  <si>
    <t>PPKM level 10, lebih Hot dengan tambahan 2 karet.</t>
  </si>
  <si>
    <t>PPKM level , lebih Hot dengan tambahan karet.</t>
  </si>
  <si>
    <t>Apasih arti PPKM</t>
  </si>
  <si>
    <t>Plis yg tahu, ppkm gini kantor bank pada buka kah?
 Real!</t>
  </si>
  <si>
    <t>Plis yg tahu, ppkm gini kantor bank pada buka kah?Real!</t>
  </si>
  <si>
    <t>@miftah_rizaq @Lucassurya @janedoeisliving Di saat PPKM ini. Dan harapaku setelah pandemi berakhir pengen bngt bisa cari kerja di luar kota, mencari pengalaman baru dan teman baru. Itu aja kakak-kakak. 
 Stay safe and stay healthy all!</t>
  </si>
  <si>
    <t>Di saat PPKM ini. Dan harapaku setelah pandemi berakhir pengen bngt bisa cari kerja di luar kota, mencari pengalaman baru dan teman baru. Itu aja kakak-kakak. Stay safe and stay healthy all!</t>
  </si>
  <si>
    <t>@CerlynOng PPKM....blm aman .🙏🙏</t>
  </si>
  <si>
    <t>PPKM....blm aman .</t>
  </si>
  <si>
    <t>@radenrauf ppkm di perpanjang sampe gw bener² bisa move on dari kenangan gw di akhir 2019 dulu:)</t>
  </si>
  <si>
    <t>ppkm di perpanjang sampe gw bener bisa move on dari kenangan gw di akhir dulu</t>
  </si>
  <si>
    <t>Bantu yuk
 https://t.co/3a3nxWPVZS
 Dampak PPKM Level 4 juga dirasakan Bandung Zoo atau Kebun Binatang Bandung. Tidak adanya pemasukan satu bulan lebih, membuat upah karyawan Bandung Zoo dipotong.</t>
  </si>
  <si>
    <t>Bantu yuk PPKM Level juga dirasakan Bandung Zoo atau Kebun Binatang Bandung. Tidak adanya pemasukan satu bulan lebih, membuat upah karyawan Bandung Zoo dipotong.</t>
  </si>
  <si>
    <t>Lagi PPKM Level 4 kalo mau jalan kemana-mana sama kamu harus pake STRP. Surat Teman Rasa Pacar</t>
  </si>
  <si>
    <t>Lagi PPKM Level kalo mau jalan kemana-mana sama kamu harus pake STRP. Surat Teman Rasa Pacar</t>
  </si>
  <si>
    <t>2x diperpanjangnya ppkm kalo masih sama hasilnya, terpaksa kita adakan tendangan adu penalty !</t>
  </si>
  <si>
    <t>x diperpanjangnya ppkm kalo masih sama hasilnya, terpaksa kita adakan tendangan adu penalty !</t>
  </si>
  <si>
    <t>#SukseskanPPKMLevel4
 PPKM itu mmbatasi mobilitasmu tp bukan berarti rejekimu jg terbatas. 
 Apa lagi pemerintah tlah mggulirkan bansos multi dimensi tuk masyarakat . Jadi jangan pernah abaikan prokes, ikut vaksin demi keselamatan kamu sekeluarga https://t.co/vFrsmHiWB8</t>
  </si>
  <si>
    <t>itu mmbatasi mobilitasmu tp bukan berarti rejekimu jg terbatas. Apa lagi pemerintah tlah mggulirkan bansos multi dimensi tuk masyarakat . Jadi jangan pernah abaikan prokes, ikut vaksin demi keselamatan kamu sekeluarga</t>
  </si>
  <si>
    <t>lagi ppkm gini malah main keluar sate"an berkerumun wkwkwk, dibilangin tapi malah nyindir di sw hadeuh.</t>
  </si>
  <si>
    <t>@kemenhub151 Maaf min mau tanya, utk penyekatan jalan PPKM ? Apakah ada pengecualian utk masyarakat yg ingin pergi Vaksin ? Terima kasih🙏🏽</t>
  </si>
  <si>
    <t>Maaf min mau tanya, utk penyekatan jalan PPKM ? Apakah ada pengecualian utk masyarakat yg ingin pergi Vaksin ? Terima kasih</t>
  </si>
  <si>
    <t>lo udah tau ini lagi ppkm. lo udah tau kasusnya juga naik turun. lo msh bilang cerobooohhhh?????? ceroboh yang disengaja? https://t.co/QsO4h990A3</t>
  </si>
  <si>
    <t>lo udah tau ini lagi ppkm. lo udah tau kasusnya juga naik turun. lo msh bilang cerobooohhhh?????? ceroboh yang disengaja?</t>
  </si>
  <si>
    <t>#SukseskanPPKMLevel4
 Meski PPKM level 4 dilanjutkan, terdapat sejumlah penyesuaian aturan yg disampaikan oleh Presiden @jokowi di masa PPKM ini. Yuk simak infografis ny biar kamu g kena hoax, dan ... tetap disiplin prokes serta ikut vaksinasi! https://t.co/H9TfX4j8Hc</t>
  </si>
  <si>
    <t>PPKM level dilanjutkan, terdapat sejumlah penyesuaian aturan yg disampaikan oleh Presiden di masa PPKM ini. Yuk simak infografis ny biar kamu g kena hoax, dan ... tetap disiplin prokes serta ikut vaksinasi!</t>
  </si>
  <si>
    <t>@fitrian Hehe alhamdulillah selama PPKM ada tetangga yg jualan di pasarvkirim sayuran ke rumah</t>
  </si>
  <si>
    <t>Hehe alhamdulillah selama PPKM ada tetangga yg jualan di pasarvkirim sayuran ke rumah</t>
  </si>
  <si>
    <t>PPKM diperpanjang sampe cewe selesai dandan</t>
  </si>
  <si>
    <t>#SukseskanPPKMLevel4
 beredar meme guyonan, sindiran, hingga penolakan perpanjangan PPKM darurat.
 namun jika dicermati, kebijakan itu diambil tuk MEMPERTEGAS ke KITA , Bahwa PROKES harus ketat ditaati, supaya kita sehat selamat.
 masak gak mau disayang agar tetap " Bernapas 🤭 https://t.co/HAjKiCmdU2</t>
  </si>
  <si>
    <t>meme guyonan, sindiran, hingga penolakan perpanjangan PPKM darurat.namun jika dicermati, kebijakan itu diambil tuk MEMPERTEGAS ke KITA , Bahwa PROKES harus ketat ditaati, supaya kita sehat selamat.masak gak mau disayang agar tetap " Bernapas</t>
  </si>
  <si>
    <t>Gosh.. i need gramed date tapi mall tutup karna ppkm anjg apalagi diperpanjang. Sht.</t>
  </si>
  <si>
    <t>@anakkesatuuuuu Hentikan ppkm</t>
  </si>
  <si>
    <t>Hentikan ppkm</t>
  </si>
  <si>
    <t>#SukseskanPPKMLevel4
 Dengan pertimbangan aspek kesehatan, ekonomi, n dinamika sosial, Pemerintah memutuskan untuk memperpanjang PPKM Level 4 hingga 2 Agustus 2021. PPKM Level 4 yg sebelumnya disebut PPKM Darurat telah diberlakukan sejak 3 Juli 2021. https://t.co/vYmhm5Oa9z</t>
  </si>
  <si>
    <t>pertimbangan aspek kesehatan, ekonomi, n dinamika sosial, Pemerintah memutuskan untuk memperpanjang PPKM Level hingga Agustus . PPKM Level yg sebelumnya disebut PPKM Darurat telah diberlakukan sejak Juli .</t>
  </si>
  <si>
    <t>@bnanay_ Lah gak pernah tutup ibuk wkwk buka 24 jam bahkan ppkm gini. Hmm kalau sekarang kering hutanya kebakar kemarin.. tapi buat jalan aman .</t>
  </si>
  <si>
    <t>Lah gak pernah tutup ibuk wkwk buka jam bahkan ppkm gini. Hmm kalau sekarang kering hutanya kebakar kemarin.. tapi buat jalan aman .</t>
  </si>
  <si>
    <t>Morneng, masih kuat kan PPKM di perpanjang??? https://t.co/UFfGbeHzlG</t>
  </si>
  <si>
    <t>Morneng, masih kuat kan PPKM di perpanjang???</t>
  </si>
  <si>
    <t>PPKM level 4 dilanjutkan dengan penyesuaian, pemerintah terus mengupayakan untuk masyarakat yang terdampak Pandemi akan menerima Bansos.
 Jadi jangan risau ya pemerintah tetap peduli disaat Pandemi dan tidak tinggal diam.
 #SukseskanPPKMLevel4 https://t.co/BUlXb75voX</t>
  </si>
  <si>
    <t>PPKM level dilanjutkan dengan penyesuaian, pemerintah terus mengupayakan untuk masyarakat yang terdampak Pandemi akan menerima Bansos.Jadi jangan risau ya pemerintah tetap peduli disaat Pandemi dan tidak tinggal diam.</t>
  </si>
  <si>
    <t>@NegaraTerbaru @KopiUlubelu @SekarJayanti07 @blankoncoklat @tempodotco @Bro_edien @RAISYAELBIX1s @Hum4n7 @garis_ralucu @anjasmara_ferry @KhofifahIP @ganjarpranowo Kamu ngomong apa sih melintir" gtu tp ujungnya sama aja...
 Ada bukti video di pesantren" kalo santri" nya cium tangan kyai slma ppkm? Susah kl org luar yg ga tau kondisi real pesantren spt apa tp narasinya negatif.</t>
  </si>
  <si>
    <t>Kamu ngomong apa sih melintir" gtu tp ujungnya sama aja...Ada bukti video di pesantren" kalo santri" nya cium tangan kyai slma ppkm? Susah kl org luar yg ga tau kondisi real pesantren spt apa tp narasinya negatif.</t>
  </si>
  <si>
    <t>Untuk menekan angka kasus kovid yg masih relatif tinggi, mari bersama kita dukung dan #SukseskanPPKMLevel4
 Bagi yang masih bingung apa itu PPKM level 4, yuk simak aturan lengkap nya disini 👇
 https://t.co/DkeLlDxjJ9</t>
  </si>
  <si>
    <t>Untuk menekan angka kasus kovid yg masih relatif tinggi, mari bersama kita dukung dan yang masih bingung apa itu PPKM level , yuk simak aturan lengkap nya disini</t>
  </si>
  <si>
    <t>Ppkm di perpanjang dan bansos akan turun sesuai dengan peraturan dan kebutuhan masyarakat, semoga covit segera berahir kami sudah lelah
 #SukseskanPPKMLevel4 https://t.co/xkVXn2AhCm</t>
  </si>
  <si>
    <t>Ppkm di perpanjang dan bansos akan turun sesuai dengan peraturan dan kebutuhan masyarakat, semoga covit segera berahir kami sudah lelah</t>
  </si>
  <si>
    <t>Bima Arya Sugiarto Dukung Perpanjangan PPKM Level 4
 Dari awal kasus Covid-19 komitmen nya tidak pernah berubah, selalu mendukung kebijakan pemerintah pusat. 
 Aku suka banget sama Pak Wali Kota Bogor ini 🤭🙈
 @BimaAryaS 
 https://t.co/sWyk0HgVWI</t>
  </si>
  <si>
    <t>Bima Arya Sugiarto Dukung Perpanjangan PPKM Level Dari awal kasus Covid-19 komitmen nya tidak pernah berubah, selalu mendukung kebijakan pemerintah pusat. Aku suka banget sama Pak Wali Kota Bogor ini</t>
  </si>
  <si>
    <t>Pertimbangkan aspek kesehatan, ekonomi, dan dinamika sosial, diputuskanlah untuk melanjutkan PPKM level 4 sampai 2 Agustus 2021.
 #SukseskanPPKMLevel4 https://t.co/KbUborCjct</t>
  </si>
  <si>
    <t>Pertimbangkan aspek kesehatan, ekonomi, dan dinamika sosial, diputuskanlah untuk melanjutkan PPKM level sampai Agustus .</t>
  </si>
  <si>
    <t>/wal info penyekatan PPKM di lokasi mana aja ?</t>
  </si>
  <si>
    <t>Wakil Sekretaris Jenderal PPP menekankan bahwa tidak boleh ada toleransi terhadap pelanggaran ketentuan PPKM. Ia menyarankan agar dalam pelaksanaan penegakannya lebih mengedepankan pendekatan humanis jangan dengan kekerasan
 #SukseskanPPKMLevel4 https://t.co/jJhzJ9qbw9</t>
  </si>
  <si>
    <t>Wakil Sekretaris Jenderal PPP menekankan bahwa tidak boleh ada toleransi terhadap pelanggaran ketentuan PPKM. Ia menyarankan agar dalam pelaksanaan penegakannya lebih mengedepankan pendekatan humanis jangan dengan kekerasan</t>
  </si>
  <si>
    <t>@RamliRizal Mantap Pak, ini sederhana dan efektif saya kira anggaran prakerja lebih berguna untuk pelaksanaan Lockdown, ya dibanding PPKM level pedas itu</t>
  </si>
  <si>
    <t>Mantap Pak, ini sederhana dan efektif saya kira anggaran prakerja lebih berguna untuk pelaksanaan Lockdown, ya dibanding PPKM level pedas itu</t>
  </si>
  <si>
    <t>Selama PPKM Level 4 ini kalo makan ayce yang 60 menit itu berarti 3 kali masuk ya?🤔</t>
  </si>
  <si>
    <t>Selama PPKM Level ini kalo makan ayce yang menit itu berarti kali masuk ya?</t>
  </si>
  <si>
    <t>PPKM Level 4.. Makan boleh ditempat cuma 20 menit.. Klo pelayan kebanyakan nanya, waktu makan bs berkurang...🤣🤣🤣 ( Harap pasang alrm yaa...!! ), Swear...ni aturan bikin kaki pengen ketawa,
 #JanganTunggu2024 
 #SebenarnyaJokowiSudahHabis https://t.co/UvqQYEELTQ</t>
  </si>
  <si>
    <t>PPKM Level .. Makan boleh ditempat cuma menit.. Klo pelayan kebanyakan nanya, waktu makan bs berkurang... ( Harap pasang alrm yaa...!! ), Swear...ni aturan bikin kaki pengen ketawa,</t>
  </si>
  <si>
    <t>PPKM ( Pikiran Pusing Kurang Money). PPKM ( Pak Presiden Kapan Mundur)😃😃😃 https://t.co/hYzeuLjRCb</t>
  </si>
  <si>
    <t>PPKM ( Pikiran Pusing Kurang Money). PPKM ( Pak Presiden Kapan Mundur)</t>
  </si>
  <si>
    <t>@sbyfess ppkm gada solusi, yg melarat tambah melarat yakalo idupnya dijamin dan terjamin. yakalo sekelas rafatar sama sisca kohl hhmmmmmm. niru negara lain yg ppkm tapi masyaratnya makmur. haluuu ta pean</t>
  </si>
  <si>
    <t>ppkm gada solusi, yg melarat tambah melarat yakalo idupnya dijamin dan terjamin. yakalo sekelas rafatar sama sisca kohl hhmmmmmm. niru negara lain yg ppkm tapi masyaratnya makmur. haluuu ta pean</t>
  </si>
  <si>
    <t>Ga sekalian PPKM diperpanjang sampai 3 periode aja pak? Biar rakyat makin sengsara hehe. Ditunggu juga PPKM level MAX ya pak 🗿
 #PPKMLevel4 https://t.co/1O9Lfo2iKH</t>
  </si>
  <si>
    <t>Ga sekalian PPKM diperpanjang sampai periode aja pak? Biar rakyat makin sengsara hehe. Ditunggu juga PPKM level MAX ya pak</t>
  </si>
  <si>
    <t>@panah_bintangku Jadi penasaran nih sama program lanjutan PPKM level 4</t>
  </si>
  <si>
    <t>Jadi penasaran nih sama program lanjutan PPKM level</t>
  </si>
  <si>
    <t>Selamat pagi hari kedua PPKM level 4 tetep patuhi prokes pake masker bikin km tambah cakep girl. Selamat beraktivitas pagi moga lancar dan sukses hari ini Salam Super. https://t.co/UaDnMfA8YV</t>
  </si>
  <si>
    <t>Selamat pagi hari kedua PPKM level tetep patuhi prokes pake masker bikin km tambah cakep girl. Selamat beraktivitas pagi moga lancar dan sukses hari ini Salam Super.</t>
  </si>
  <si>
    <t>Simple yuuu jalani prokes
 Sukseskan vaksin &amp;amp; ikuti PPKM level 4
 #Bersama Dukung Jokowi</t>
  </si>
  <si>
    <t>Simple yuuu jalani prokesSukseskan vaksin &amp;amp; ikuti PPKM level Dukung Jokowi</t>
  </si>
  <si>
    <t>Min PPKM gini perpanjangan pajak kendaraan bisa di layani di samsat kah @PRFMnews</t>
  </si>
  <si>
    <t>Min PPKM gini perpanjangan pajak kendaraan bisa di layani di samsat kah</t>
  </si>
  <si>
    <t>@bertanyarl Kayanya kita gak usah permasalahkan soal hijabnya, karena yang salah disini adalah kesalahan dia yang melanggar aturan PPKM kan? Kepada yth Satpol PP yang baca tweet ini dengan rasa hormat tolong segera tindak dan berikan sanksi kepada beliau. Terimakasih</t>
  </si>
  <si>
    <t>Kayanya kita gak usah permasalahkan soal hijabnya, karena yang salah disini adalah kesalahan dia yang melanggar aturan PPKM kan? Kepada yth Satpol PP yang baca tweet ini dengan rasa hormat tolong segera tindak dan berikan sanksi kepada beliau. Terimakasih</t>
  </si>
  <si>
    <t>awali pagimu dengan pergi ke blok m padahal ppkm</t>
  </si>
  <si>
    <t>PPKM Level pedas di Pekanbaru so far terpantau aman dan terkendali, belum ada baku hantam</t>
  </si>
  <si>
    <t>@miftah_rizaq @Lucassurya @janedoeisliving Kalo ppkm selesai dan pandemi,pengen silahturahmi ke rumah kerabat,udah bertaun2 ga ketemu,kemarin baru nikah,dan aku ga bisa dateng huhuuu,semoga lekas membaik bumikuuu😇 https://t.co/Pb4hqQ7AHb</t>
  </si>
  <si>
    <t>Kalo ppkm selesai dan pandemi,pengen silahturahmi ke rumah kerabat,udah bertaun2 ga ketemu,kemarin baru nikah,dan aku ga bisa dateng huhuuu,semoga lekas membaik bumikuuu</t>
  </si>
  <si>
    <t>@saya_cuplis Eh aku tdinya mau ke ksna kmren mbak, tpi yo gk iso naik KRL krna ppkm diperpanjang 😭</t>
  </si>
  <si>
    <t>Eh aku tdinya mau ke ksna kmren mbak, tpi yo gk iso naik KRL krna ppkm diperpanjang</t>
  </si>
  <si>
    <t>Ni PPKM ngefek gede bgt ke daerah nenek ku 🥺 tapi mau gmn lagi.....</t>
  </si>
  <si>
    <t>Ni PPKM ngefek gede bgt ke daerah nenek ku tapi mau gmn lagi.....</t>
  </si>
  <si>
    <t>@XlUREONG F00 taiwan, kk..? Ppkm kak..?</t>
  </si>
  <si>
    <t>F00 taiwan, kk..? Ppkm kak..?</t>
  </si>
  <si>
    <t>PPKM Versi aku
 Pengin Peluk Kamu Mba...😀
 #PPKM 
 #dirumahaja 
 #ayovaksin 
 #IndonesiaPastiBisa</t>
  </si>
  <si>
    <t>PPKM Versi akuPengin Peluk Kamu Mba...</t>
  </si>
  <si>
    <t>Presiden Umumkan Melanjutkan PPKM Level 4 Dari Tanggal 26 Juli Sampai 2 Agustus 2021.
 #DesaLawanCovid19
 @halimiskandarnu 
 @taufikmadjid71 
 @fachrilabalado 
 @yusradaridesa 
 @kpw4jatim 
 @DewantoAndry 
 @Mift4hulMunir</t>
  </si>
  <si>
    <t>Presiden Umumkan Melanjutkan PPKM Level Dari Tanggal Juli Sampai Agustus .</t>
  </si>
  <si>
    <t>“ little 🥧 “
 ppkm kapan selesai?
 #taeten https://t.co/6K1fGeoK4D</t>
  </si>
  <si>
    <t>little ppkm kapan selesai?</t>
  </si>
  <si>
    <t>@sibormen @stansnrp @eL_5Nstan dah jadian , sekarang makan2, karena ppkm maka diganti saldo gopay 100k</t>
  </si>
  <si>
    <t>dah jadian , sekarang makan2, karena ppkm maka diganti saldo gopay k</t>
  </si>
  <si>
    <t>@Tuti45931006 @MEY_MAKNYAAREK2 yg ngomong jgn takut ppkm klu keuangan nya TERJAMIN,perut kenyang tidur nyenyak ya enak.
 lha klu gk punya penghasilan ya GUSAR
 (itu manusiawi)orang tua mungkin bs kuat menahan lapar,tp apa tega memaksa anak untuk menahan lapar juga..klu ppkm terus,bkn lg miskin tp bisa mati💔🇮🇩</t>
  </si>
  <si>
    <t>yg ngomong jgn takut ppkm klu keuangan nya TERJAMIN,perut kenyang tidur nyenyak ya enak.lha klu gk punya penghasilan ya GUSAR(itu manusiawi)orang tua mungkin bs kuat menahan lapar,tp apa tega memaksa anak untuk menahan lapar juga..klu ppkm terus,bkn lg miskin tp bisa mati</t>
  </si>
  <si>
    <t>temen kelasku anaknya suka nongkrong pdhl ppkm, dahlah</t>
  </si>
  <si>
    <t>Pagi kawanku. Ada kabar gembira lagi nih
 Selama PPKM ini pemerintah memberikan bantuan Diskon Listrik nih. Stimulus listrik ini diharapkan dapat meringankan beban masyarakat selama masa PPKM.
 Gimana cara dapatnya? Yuk simak thread gue ini https://t.co/Q8tO2r1TZU</t>
  </si>
  <si>
    <t>Pagi kawanku. Ada kabar gembira lagi nihSelama PPKM ini pemerintah memberikan bantuan Diskon Listrik nih. Stimulus listrik ini diharapkan dapat meringankan beban masyarakat selama masa PPKM.Gimana cara dapatnya? Yuk simak thread gue ini</t>
  </si>
  <si>
    <t>@ArmelRizwan Iya, masih PPKM 😅</t>
  </si>
  <si>
    <t>Iya, masih PPKM</t>
  </si>
  <si>
    <t>ppkm ga kelar-kelar, malah hubunganku yg kelar</t>
  </si>
  <si>
    <t>Rutinitas baru pagi hari semenjak ppkm adalah manasin mobil tp ga kemana mana😩.</t>
  </si>
  <si>
    <t>Rutinitas baru pagi hari semenjak ppkm adalah manasin mobil tp ga kemana mana.</t>
  </si>
  <si>
    <t>Mana ppkm, ke tempat servisnya jauh banget dari tempat parkir yg disediakan</t>
  </si>
  <si>
    <t>@humaira_tita mbak kan suka posting kata2 hikmah dan bijak, ga nyangka sy mbak bisa bilang : “diplintir dan digoreng lagi seakan2 menyemgsarakan rakyat, yg nyengsarain itu demo mereka”
 sy &amp;amp; kawan2 berusahan suplai obat dan pangan ke orang2 terdampak PPKM, sakit bacanya!!!</t>
  </si>
  <si>
    <t>mbak kan suka posting kata2 hikmah dan bijak, ga nyangka sy mbak bisa bilang : diplintir dan digoreng lagi seakan2 menyemgsarakan rakyat, yg nyengsarain itu demo mereka sy &amp;amp; kawan2 berusahan suplai obat dan pangan ke orang2 terdampak PPKM, sakit bacanya!!!</t>
  </si>
  <si>
    <t>@briankhrisna istilah ppkm jujur gw blm tau kepanjangan nya, karena waktu itu uda sempat ngapalin psbb (pembatasan sosial berskala besar), eh dia ganti istilah lagi, cuma kali² klo di tanya wartawan tengah jalan, bisa jawab istilah itu ngapalin juga ^_^</t>
  </si>
  <si>
    <t>istilah ppkm jujur gw blm tau kepanjangan nya, karena waktu itu uda sempat ngapalin psbb (pembatasan sosial berskala besar), eh dia ganti istilah lagi, cuma kali klo di tanya wartawan tengah jalan, bisa jawab istilah itu ngapalin juga ^_^</t>
  </si>
  <si>
    <t>Assalamualaikum,semangad pagi...doain yaa,rencana mau ke BANTEN nih,mau belajar DEBUS,biar bsa makan PAKU sama KAWAT,buat jaga2 PPKM smpe 20200🤗🤗
 met aktifitas yaa🙏🙏</t>
  </si>
  <si>
    <t>Assalamualaikum,semangad pagi...doain yaa,rencana mau ke BANTEN nih,mau belajar DEBUS,biar bsa makan PAKU sama KAWAT,buat jaga2 PPKM smpe met aktifitas yaa</t>
  </si>
  <si>
    <t>@kembaransilent Iya Yg viral grgr bikin acara pas ppkm itu.</t>
  </si>
  <si>
    <t>Iya Yg viral grgr bikin acara pas ppkm itu.</t>
  </si>
  <si>
    <t>Barang kali ada orang kaya yang tertarik TUKAR NASIB seminggu aja dgn keluarga saya mumpung PPKM di perpanjang biar merasakan suasana PPKM spt saya dan keluarga 
 @RamliRizal 
 @axdwin 
 @__SemutIstana</t>
  </si>
  <si>
    <t>Barang kali ada orang kaya yang tertarik TUKAR NASIB seminggu aja dgn keluarga saya mumpung PPKM di perpanjang biar merasakan suasana PPKM spt saya dan keluarga</t>
  </si>
  <si>
    <t>Pagi- pagi buka twit.....
 Otak gw traveling kemana-mana...
 Lagi PPKM juga🚓🚓😂</t>
  </si>
  <si>
    <t>Pagi- pagi buka twit.....Otak gw traveling kemana-mana...Lagi PPKM juga</t>
  </si>
  <si>
    <t>PPKM level 4
 Ekonomi nyungsep Level 5</t>
  </si>
  <si>
    <t>PPKM level Ekonomi nyungsep Level</t>
  </si>
  <si>
    <t>@3__aji__3 @blackscoop2 @elisa_apriani @jokowi bukan malas atau sibuk,,,
 sebelum pandemi beliau rutin priksa,penyakit biasa seperti malaria,flu dll.
 semenjak pandemi,aturan demi aturan kita jalani,sampai2 yg ke rs haru yg betul2 emergensi.
 ,PSBB,sampai PPKM sekarang,semu di batasi,trus mau rutinlagi bagai mna??</t>
  </si>
  <si>
    <t>bukan malas atau sibuk,,,sebelum pandemi beliau rutin priksa,penyakit biasa seperti malaria,flu dll.semenjak pandemi,aturan demi aturan kita jalani,sampai2 yg ke rs haru yg betul2 emergensi.,PSBB,sampai PPKM sekarang,semu di batasi,trus mau rutinlagi bagai mna??</t>
  </si>
  <si>
    <t>@kamsahagu belumm, selama masih ppkm setau gue belum</t>
  </si>
  <si>
    <t>belumm, selama masih ppkm setau gue belum</t>
  </si>
  <si>
    <t>paling nanti batal atau dibatasi, alasan PPKM Level-levelan diperpanjang lagi. https://t.co/VzZvKZb25v</t>
  </si>
  <si>
    <t>paling nanti batal atau dibatasi, alasan PPKM Level-levelan diperpanjang lagi.</t>
  </si>
  <si>
    <t>Presiden Jokowi Tambah Bansos saat PPKM Level 4. https://t.co/Tia4JaxDyj
 Jokowi Merawat Indonesia</t>
  </si>
  <si>
    <t>Presiden Jokowi Tambah Bansos saat PPKM Level . Merawat Indonesia</t>
  </si>
  <si>
    <t>goblxgnya keubun2 anjir buang2 duit setxn, bagiin dulu bansosnya anjir, ppkm udah mau berapa minggu bansos di wilayah gue baru dibagi barcode keluar seminggu lagi.. matikah kita? elo yang pantes mati setxn.. https://t.co/bbbrlMdtNb</t>
  </si>
  <si>
    <t>goblxgnya keubun2 anjir buang2 duit setxn, bagiin dulu bansosnya anjir, ppkm udah mau berapa minggu bansos di wilayah gue baru dibagi barcode keluar seminggu lagi.. matikah kita? elo yang pantes mati setxn..</t>
  </si>
  <si>
    <t>Polres Tulungagung dan Satgas Covid 19 menggelar Operasi PPKM Level 4 di perbatasan masuk Kab. Tulungagung https://t.co/RxWAXjGojt</t>
  </si>
  <si>
    <t>Polres Tulungagung dan Satgas Covid menggelar Operasi PPKM Level di perbatasan masuk Kab. Tulungagung</t>
  </si>
  <si>
    <t>sebenernya kemarin ada temen rl yang ngeluh ada ppkm. menurutku ya gamasalah sih ngeluh ppkm, emang gimana lagi susah kalo nyari jalan. tapi, gausah bilang covid itu penyakit biasa. lu kaga tau aja gimana rasanya, belum pernah ngerasain. semoga lu sehat sehat aja ya</t>
  </si>
  <si>
    <t>Yaudah ppkm, tapi gausah nutup jalan knpa sih?</t>
  </si>
  <si>
    <t>Xixixi, pantesan yang diatas semangat ya teriak PPKM walaupun bisa lewat jalan pintas karena ini cuma prioritas. https://t.co/FKU89W3050</t>
  </si>
  <si>
    <t>Xixixi, pantesan yang diatas semangat ya teriak PPKM walaupun bisa lewat jalan pintas karena ini cuma prioritas.</t>
  </si>
  <si>
    <t>Antara - Kepala BNPB meninjau Posko PPKM dan selter COVID-19 di Sleman https://t.co/VYUJIHwJd4</t>
  </si>
  <si>
    <t>Antara - Kepala BNPB meninjau Posko PPKM dan selter COVID-19 di Sleman</t>
  </si>
  <si>
    <t>@tribunnews Makanya rakyat kasih makan, kebutuhan dicukupi, biar rakyat di rumah ngk berkeliaran. Inimah PPKM mau diperketat tapi rakyat ngk di kasih makan ? Giliran yg melanggar pake UU karantina kesehatan, tapi rakyatnya ngk dicukupi sesuai UU karantina kesehatan. 🤦🤦🤦</t>
  </si>
  <si>
    <t>Makanya rakyat kasih makan, kebutuhan dicukupi, biar rakyat di rumah ngk berkeliaran. Inimah PPKM mau diperketat tapi rakyat ngk di kasih makan ? Giliran yg melanggar pake UU karantina kesehatan, tapi rakyatnya ngk dicukupi sesuai UU karantina kesehatan.</t>
  </si>
  <si>
    <t>@kurawa Boleh lh bang buat efek ppkm dah sebulan ini..🙏</t>
  </si>
  <si>
    <t>Boleh lh bang buat efek ppkm dah sebulan ini..</t>
  </si>
  <si>
    <t>@eko_kuntadhi Berarti ngga d lanjutkan dgn adu penalti ya PPKM nya bang...😆🤭</t>
  </si>
  <si>
    <t>Berarti ngga d lanjutkan dgn adu penalti ya PPKM nya bang...</t>
  </si>
  <si>
    <t>Udah tau PPKM ada Bae lah yg bikin ribet</t>
  </si>
  <si>
    <t>Pimpinan DPR Dukung PPKM Level 4 Diperpanjang: demi Keselamatan Nyawa Rakyat
 https://t.co/VcOLmvvich
 Jokowi Merawat Indonesia</t>
  </si>
  <si>
    <t>Pimpinan DPR Dukung PPKM Level Diperpanjang: demi Keselamatan Nyawa Rakyat Merawat Indonesia</t>
  </si>
  <si>
    <t>@Gonggo45668754 @ganjarpranowo PPKM tampak menunjukkan hasil</t>
  </si>
  <si>
    <t>PPKM tampak menunjukkan hasil</t>
  </si>
  <si>
    <t>selama ppkm ini bangun terpagi aku😍</t>
  </si>
  <si>
    <t>selama ppkm ini bangun terpagi aku</t>
  </si>
  <si>
    <t>Kegiatan ppkm di pagi hari https://t.co/oHvHRlpaTX</t>
  </si>
  <si>
    <t>Kegiatan ppkm di pagi hari</t>
  </si>
  <si>
    <t>Mampuyyy, lagian ya orang lagi ppkm ngerti kek gblk. Malah ngadain acara ultah gitu, mikir. https://t.co/jODX9OoEHP</t>
  </si>
  <si>
    <t>Mampuyyy, lagian ya orang lagi ppkm ngerti kek gblk. Malah ngadain acara ultah gitu, mikir.</t>
  </si>
  <si>
    <t>@FerdinandHaean3 PPKM menunjukan penurunan anka penyebaran, di lanjut kn PPKM level 4 tolong awasi distribusi vaksin, BANSOS yg tepat sasaran umkm bergerak lagi, lanjut kn pa @ganjarpranowo</t>
  </si>
  <si>
    <t>PPKM menunjukan penurunan anka penyebaran, di lanjut kn PPKM level tolong awasi distribusi vaksin, BANSOS yg tepat sasaran umkm bergerak lagi, lanjut kn pa</t>
  </si>
  <si>
    <t>@halloinirinkaa gimana mau ketemu kalo masi ppkm</t>
  </si>
  <si>
    <t>gimana mau ketemu kalo masi ppkm</t>
  </si>
  <si>
    <t>Jdi skarang uang pajak dipake buat bayarin biaya isoman anggota DPR di hotel berbintang?
 Orang yg susah nyari uang saat PPKM dituntut utk menyisihkan sebagian uangnya utk menghidupi (yg katanya) wakil rakyat?
 Kok ada ya orang yg hobinya berbuat zolim berjamaah...</t>
  </si>
  <si>
    <t>Jdi skarang uang pajak dipake buat bayarin biaya isoman anggota DPR di hotel berbintang?Orang yg susah nyari uang saat PPKM dituntut utk menyisihkan sebagian uangnya utk menghidupi (yg katanya) wakil rakyat?Kok ada ya orang yg hobinya berbuat zolim berjamaah...</t>
  </si>
  <si>
    <t>@Ulieagrem_ Ppkm kuyy</t>
  </si>
  <si>
    <t>Ppkm kuyy</t>
  </si>
  <si>
    <t>@mxxnmelox Padahal ppkm masih bisa staycation</t>
  </si>
  <si>
    <t>Padahal ppkm masih bisa staycation</t>
  </si>
  <si>
    <t>@EllyKoro Jangan sedih om. PPKM Twitter ya</t>
  </si>
  <si>
    <t>Jangan sedih om. PPKM Twitter ya</t>
  </si>
  <si>
    <t>@elsro__ yg minta ppkm jokowi hingga kadrun minta jokowi lengser, gitu covid turun kok yg dipuji anies? dasar kadrun tengik</t>
  </si>
  <si>
    <t>yg minta ppkm jokowi hingga kadrun minta jokowi lengser, gitu covid turun kok yg dipuji anies? dasar kadrun tengik</t>
  </si>
  <si>
    <t>@bluesidce iya coba tetangga tapi sodara aku juga sih, lagi ppkm malah hajatan😭</t>
  </si>
  <si>
    <t>iya coba tetangga tapi sodara aku juga sih, lagi ppkm malah hajatan</t>
  </si>
  <si>
    <t>@annisapepita @cilokkopma @AREAJULID terserah dia si terserah dia tp lu tau ga diluar sana orang-orang lagi susah cari nafkah karena ppkm tp mereka-mereka ini malah gelar acara mewah no masker. gw liatnya si sakit hati bgt yah</t>
  </si>
  <si>
    <t>terserah dia si terserah dia tp lu tau ga diluar sana orang-orang lagi susah cari nafkah karena ppkm tp mereka-mereka ini malah gelar acara mewah no masker. gw liatnya si sakit hati bgt yah</t>
  </si>
  <si>
    <t>Kalau PPKM Terus di perpanjang kita lawan ✊ https://t.co/7cFajILH6I</t>
  </si>
  <si>
    <t>Kalau PPKM Terus di perpanjang kita lawan</t>
  </si>
  <si>
    <t>@jogmfs Agak ribet ppkm nih</t>
  </si>
  <si>
    <t>Agak ribet ppkm nih</t>
  </si>
  <si>
    <t>PPKM
 Pagi - Pagi Kelingan Mantan 
 Hehe 🌅</t>
  </si>
  <si>
    <t>PPKMPagi - Pagi Kelingan Mantan Hehe</t>
  </si>
  <si>
    <t>@smestapologi Emng bisa lg ppkm gini?</t>
  </si>
  <si>
    <t>Emng bisa lg ppkm gini?</t>
  </si>
  <si>
    <t>love games level 42, anak-anak ganjen, dan ppkm level 4 itu... 🙄😜🐶🐶
 karena berempati itu ngga mesti mengalami atau mencacimaki 💔
 #uripkutaksetelkalem 
 #lifeisamessage 
 26.07.2021 https://t.co/I5ah1tv0yd</t>
  </si>
  <si>
    <t>love games level , anak-anak ganjen, dan ppkm level itu... karena berempati itu ngga mesti mengalami atau mencacimaki</t>
  </si>
  <si>
    <t>@bertanyarl Pas jalan kemarin sebelum ppkm, kangen bgt sih asli🥺 https://t.co/c73M57Jlk9</t>
  </si>
  <si>
    <t>Pas jalan kemarin sebelum ppkm, kangen bgt sih asli</t>
  </si>
  <si>
    <t>PPKM sampai sekarang belum usai. Masih banyak juga diluar sana orang yang terdampak tak terkecuali kita. Kita semua haeus selalu jaga diri dan tetap patuhi protokol kesehatan yang ada.
 Sehat Waras Untuk Semuanya. 🔥🔥🔥
 Silim Bidiyi~ https://t.co/6ol4Dgdv38</t>
  </si>
  <si>
    <t>PPKM sampai sekarang belum usai. Masih banyak juga diluar sana orang yang terdampak tak terkecuali kita. Kita semua haeus selalu jaga diri dan tetap patuhi protokol kesehatan yang ada.Sehat Waras Untuk Semuanya. Silim Bidiyi~</t>
  </si>
  <si>
    <t>@annisapepita @AREAJULID Bocaah daritadi kok ngeselin banget , lu tau ppkm gak?</t>
  </si>
  <si>
    <t>Bocaah daritadi kok ngeselin banget , lu tau ppkm gak?</t>
  </si>
  <si>
    <t>tau gak sih anjeng, kan gua udh lama bgt nunggu blackwidow tuh ye katanya kn prg pada tgl 2 kmaren ada di bioskop luar, di sini ktnya tgl 28. eh malah ppkm asu😁👍 asli jgn sampe gua nontonnya keundur sampai taun dpn deh, ngamuk gua.</t>
  </si>
  <si>
    <t>tau gak sih anjeng, kan gua udh lama bgt nunggu blackwidow tuh ye katanya kn prg pada tgl kmaren ada di bioskop luar, di sini ktnya tgl . eh malah ppkm asu asli jgn sampe gua nontonnya keundur sampai taun dpn deh, ngamuk gua.</t>
  </si>
  <si>
    <t>disaat situasi udah jadi gini berkoar lagi, menyerah? loh ini kan kerjaan siapa? coba dari dulu gak ego, patuh, kita sekarang bisa aja tuh gak kenal istilah ppkm seminimalnya yaa penyebaran virusnya gak melambung tinggi</t>
  </si>
  <si>
    <t>@Widyarenee_ Dukung PPKM..
 #PatuhProkesHargaMati</t>
  </si>
  <si>
    <t>Dukung PPKM..</t>
  </si>
  <si>
    <t>nie ppkm sampe kapan? 😔</t>
  </si>
  <si>
    <t>nie ppkm sampe kapan?</t>
  </si>
  <si>
    <t>@Askrlfess Emg iyaa, aku ekstrovert dann karena skrg lagi ppkm gt jd di rmh doang otomatis sepi dan ga ada tmn ngobrol dan jujurrr dari kmren ud smpt sering sakit gitu😭 kek pusing, keringet dingin sm sesekk. Trs di tenggorokan tuh kyk ada yg ketahan gitu, kyk bnr2 pgn byk ngomong wkw</t>
  </si>
  <si>
    <t>Emg iyaa, aku ekstrovert dann karena skrg lagi ppkm gt jd di rmh doang otomatis sepi dan ga ada tmn ngobrol dan jujurrr dari kmren ud smpt sering sakit gitu kek pusing, keringet dingin sm sesekk. Trs di tenggorokan tuh kyk ada yg ketahan gitu, kyk bnr2 pgn byk ngomong wkw</t>
  </si>
  <si>
    <t>@lunaelum3n Ya mau gimana lagi, hutang buat covid aja 900T lebih. Kalo nambah lagi negara kita bisa di kuasi oleh asing. Solusinya ya gini, sumbangan beberapa% dari total kekayaan buat ppkm total/lockdown total. Nah duit sumbangan itu buat PPKM selama beberapa bulan.</t>
  </si>
  <si>
    <t>Ya mau gimana lagi, hutang buat covid aja T lebih. Kalo nambah lagi negara kita bisa di kuasi oleh asing. Solusinya ya gini, sumbangan beberapa% dari total kekayaan buat ppkm total/lockdown total. Nah duit sumbangan itu buat PPKM selama beberapa bulan.</t>
  </si>
  <si>
    <t>@Dhee_jhe1203 PPKM, Pulangkan Pakdhe Ke Mamaknya</t>
  </si>
  <si>
    <t>PPKM, Pulangkan Pakdhe Ke Mamaknya</t>
  </si>
  <si>
    <t>@marukochaaaann Apa perlu diadakan ppkm jg kak ato grebek vaksin 😄😄</t>
  </si>
  <si>
    <t>Apa perlu diadakan ppkm jg kak ato grebek vaksin</t>
  </si>
  <si>
    <t>@damasw_ WOY ppkm ga kelar kelar anjir dams 🤦🏿‍♀️🌚</t>
  </si>
  <si>
    <t>WOY ppkm ga kelar kelar anjir dams</t>
  </si>
  <si>
    <t>@unicornluvbabe pada tutupp karna ppkm ni</t>
  </si>
  <si>
    <t>pada tutupp karna ppkm ni</t>
  </si>
  <si>
    <t>@AREAJULID ppkm anjir</t>
  </si>
  <si>
    <t>ppkm anjir</t>
  </si>
  <si>
    <t>Pak Bos, silakan PPKM level berapa pun "diperpanjang", asalkan penderitaan rakyat diperpendek.
 Prof. Suteki, S.H., M.Hum
 (Pakar Hukum dan Masyarakat) https://t.co/OBrxrxnXH9</t>
  </si>
  <si>
    <t>Pak Bos, silakan PPKM level berapa pun "diperpanjang", asalkan penderitaan rakyat diperpendek.Prof. Suteki, S.H., M.Hum(Pakar Hukum dan Masyarakat)</t>
  </si>
  <si>
    <t>@cursedkidd Zaman ppkm level 4</t>
  </si>
  <si>
    <t>Zaman ppkm level</t>
  </si>
  <si>
    <t>Kemaren lagi-lagi pengen keliling melihat dunia malam Bandung pas PPKM.
 Beda Kota, beda Kabupaten. 
 Kota sepi 
 Kabupaten penuh dengan orang Kota 🤣</t>
  </si>
  <si>
    <t>Kemaren lagi-lagi pengen keliling melihat dunia malam Bandung pas PPKM.Beda Kota, beda Kabupaten. Kota sepi Kabupaten penuh dengan orang Kota</t>
  </si>
  <si>
    <t>@S_GraciaJKT48 PPKM
 Pelan Pelan Ku Memilikimu</t>
  </si>
  <si>
    <t>PPKMPelan Pelan Ku Memilikimu</t>
  </si>
  <si>
    <t>Ada ulama gelar hajatan nikahan pada saat pandemi (belum ppkm darurat seingat ue) denda Rp. 50jt + dipenjara
 Ada pejabat (desa) gelar hajatan disaat PPKM darurat denda Rp. 48rb saja,,, 
 bayar 50rb kembali 2rb buat parkiran 🤭
 #JusticeFor_IBHRS
 #JusticeFor_IBHRS https://t.co/nZTffB9cAw</t>
  </si>
  <si>
    <t>Ada ulama gelar hajatan nikahan pada saat pandemi (belum ppkm darurat seingat ue) denda Rp. jt + dipenjaraAda pejabat (desa) gelar hajatan disaat PPKM darurat denda Rp. rb saja,,, bayar rb kembali rb buat parkiran</t>
  </si>
  <si>
    <t>jangan khawatir mba, sedikit banyak itu bs menaikkan imun tubuh kami selama masa ppkm. https://t.co/HSH1Sh6msF</t>
  </si>
  <si>
    <t>jangan khawatir mba, sedikit banyak itu bs menaikkan imun tubuh kami selama masa ppkm.</t>
  </si>
  <si>
    <t>@nirrguna @AREAJULID Kalo pesta ultahnya pas ppkm sma aja ksalahan dong mbak..</t>
  </si>
  <si>
    <t>Kalo pesta ultahnya pas ppkm sma aja ksalahan dong mbak..</t>
  </si>
  <si>
    <t>@Fahrihamzah Kelakuannya pinter, PPKM temponya dipecah pecah biar rakyat Pasrah aja. Coba Kalo lgsg bikin PPKM satu bulan, kemungkinan besar rakyat Marah ato tdk terkendali.
 Coba nanti pemerintah bikin PPKM age of ultron lgsg 2 bulan kira2 gmn reaksi rakyat 😄</t>
  </si>
  <si>
    <t>Kelakuannya pinter, PPKM temponya dipecah pecah biar rakyat Pasrah aja. Coba Kalo lgsg bikin PPKM satu bulan, kemungkinan besar rakyat Marah ato tdk terkendali.Coba nanti pemerintah bikin PPKM age of ultron lgsg bulan kira2 gmn reaksi rakyat</t>
  </si>
  <si>
    <t>Foto ini diambil sebelum masa PPKM https://t.co/YhYYiTBiH7</t>
  </si>
  <si>
    <t>Foto ini diambil sebelum masa PPKM</t>
  </si>
  <si>
    <t>@jokowi Mhn maaf Bpk presiden yg sy hormati.. Maaf melenceng dari judul. Di masa PPKM yg panjang ini kami tidak dapat kerja. Berjualan namun sepi pembeli. Apakah tidak ada bantuan ke rakyat pak?</t>
  </si>
  <si>
    <t>Mhn maaf Bpk presiden yg sy hormati.. Maaf melenceng dari judul. Di masa PPKM yg panjang ini kami tidak dapat kerja. Berjualan namun sepi pembeli. Apakah tidak ada bantuan ke rakyat pak?</t>
  </si>
  <si>
    <t>@zarazettirazr Mungkin kalo org saat memakai seragam merasa bisa berbuat kekerasan 
 Salah satu contohnya satpol PP yg memukul ibu2 atau yg merusak dagangan org saat ppkm</t>
  </si>
  <si>
    <t>Mungkin kalo org saat memakai seragam merasa bisa berbuat kekerasan Salah satu contohnya satpol PP yg memukul ibu2 atau yg merusak dagangan org saat ppkm</t>
  </si>
  <si>
    <t>@kalla_jengking Dukung PPKM
 #PatuhProkesHargaMati</t>
  </si>
  <si>
    <t>Dukung PPKM</t>
  </si>
  <si>
    <t>kirain juli gakan dapet orderan karena ppkm dan idul adha wkwk. ternyata nyempil 1 dari yutuber banjarmasin. LANCAR LANCAR YOP KERJA</t>
  </si>
  <si>
    <t>kirain juli gakan dapet orderan karena ppkm dan idul adha wkwk. ternyata nyempil dari yutuber banjarmasin. LANCAR LANCAR YOP KERJA</t>
  </si>
  <si>
    <t>Gue ketika ppkm diperpanzang https://t.co/LRKytmQiUK</t>
  </si>
  <si>
    <t>Gue ketika ppkm diperpanzang</t>
  </si>
  <si>
    <t>@annisapepita @cilokkopma @AREAJULID Ya ampun dek, bahasanya kasar dan jorok sekali ya. Ngefans boleh, ya tapi dilihat juga dong. Salah loh dia, lagi ppkm gini ngadain pesta dengan prokes yang gak dipatuhi.</t>
  </si>
  <si>
    <t>Ya ampun dek, bahasanya kasar dan jorok sekali ya. Ngefans boleh, ya tapi dilihat juga dong. Salah loh dia, lagi ppkm gini ngadain pesta dengan prokes yang gak dipatuhi.</t>
  </si>
  <si>
    <t>@asubangetyaa @GaUsahTag @bukanardito mungkin sebelum ppkm kalii. gtau lg ya 🙏🏻</t>
  </si>
  <si>
    <t>mungkin sebelum ppkm kalii. gtau lg ya</t>
  </si>
  <si>
    <t>@haiianis_ Halah opo kui PPKm, Ra penting wkwk</t>
  </si>
  <si>
    <t>Halah opo kui PPKm, Ra penting wkwk</t>
  </si>
  <si>
    <t>@moviemenfes Paling PPKM nya diperpanjang teros</t>
  </si>
  <si>
    <t>Paling PPKM nya diperpanjang teros</t>
  </si>
  <si>
    <t>@c4ppucinoo mending pkn daripada ppkm</t>
  </si>
  <si>
    <t>mending pkn daripada ppkm</t>
  </si>
  <si>
    <t>@Istirny_ Ppkm ngerti ora? Wkwk</t>
  </si>
  <si>
    <t>Ppkm ngerti ora? Wkwk</t>
  </si>
  <si>
    <t>@maspiyuaja Enak aja nyalahin rakyat terus, saya ikuti prokes, ikut aturan ppkm ngga pernah dapat bansos. Masalah apa yang saya buat?</t>
  </si>
  <si>
    <t>Enak aja nyalahin rakyat terus, saya ikuti prokes, ikut aturan ppkm ngga pernah dapat bansos. Masalah apa yang saya buat?</t>
  </si>
  <si>
    <t>Gawe terus ya kan...
 Kuliahnya ppkm (planga-plongo kaga mengerti) https://t.co/HKPxqREtZZ</t>
  </si>
  <si>
    <t>Gawe terus ya kan...Kuliahnya ppkm (planga-plongo kaga mengerti)</t>
  </si>
  <si>
    <t>Saran Senayan Kala PPKM Diperpanjang Percepat Beri Bantuan UMKM, Perluas Jangkauan Vaksinasi
 #DPR #PPKMDarurat #UMKM #PPKM #VaksinasiCovid19
 https://t.co/oNeO4ifWK7</t>
  </si>
  <si>
    <t>Saran Senayan Kala PPKM Diperpanjang Percepat Beri Bantuan UMKM, Perluas Jangkauan Vaksinasi ://</t>
  </si>
  <si>
    <t>@radio_kotabatik Assalamualaikum rkb pagi mba vita ppkm sprt ayam geprek level 4 rakyat pun smkin pedas di buatnya Krn berimbas pada kebutuhan sehari hari</t>
  </si>
  <si>
    <t>Assalamualaikum rkb pagi mba vita ppkm sprt ayam geprek level rakyat pun smkin pedas di buatnya Krn berimbas pada kebutuhan sehari hari</t>
  </si>
  <si>
    <t>PPKM - Pulang Pergi Ku Menunggu 
 Ojek pribadinya dong 😁😅</t>
  </si>
  <si>
    <t>PPKM - Pulang Pergi Ku Menunggu Ojek pribadinya dong</t>
  </si>
  <si>
    <t>PPKM level 99 raja terakhirnya siapa ya?</t>
  </si>
  <si>
    <t>PPKM level raja terakhirnya siapa ya?</t>
  </si>
  <si>
    <t>@afrkml Gerah kalo liat gebetan update story sama cowo lain sementara kita ga bisa keluar krn PPKM..</t>
  </si>
  <si>
    <t>Gerah kalo liat gebetan update story sama cowo lain sementara kita ga bisa keluar krn PPKM..</t>
  </si>
  <si>
    <t>@littlechixken @kkeembab @AREAJULID Ppkm, bukan ppkn 😭</t>
  </si>
  <si>
    <t>Ppkm, bukan ppkn</t>
  </si>
  <si>
    <t>@kkeembab @AREAJULID ppkm maksudnya ko ppkn sih😩😩</t>
  </si>
  <si>
    <t>ppkm maksudnya ko ppkn sih</t>
  </si>
  <si>
    <t>PPKM diperpanjang sampai......</t>
  </si>
  <si>
    <t>@AREAJULID lagian ngadain ultah pas ppkm, goblok mah jangan di keliatin napa, ga malu???? https://t.co/CDXExGTEgj</t>
  </si>
  <si>
    <t>lagian ngadain ultah pas ppkm, goblok mah jangan di keliatin napa, ga malu????</t>
  </si>
  <si>
    <t>@sparrowchams Biasanya si udah, tapi ppkm ini gatau deh</t>
  </si>
  <si>
    <t>Biasanya si udah, tapi ppkm ini gatau deh</t>
  </si>
  <si>
    <t>@Bbyglvr_ Faktor ppkm</t>
  </si>
  <si>
    <t>Faktor ppkm</t>
  </si>
  <si>
    <t>@haejanie @AREAJULID Yang bikin pesta ulang tahun dihotel ditengah ppkm niihh</t>
  </si>
  <si>
    <t>Yang bikin pesta ulang tahun dihotel ditengah ppkm niihh</t>
  </si>
  <si>
    <t>PPKM, Pernah Pdkt Kemudian Menghilang🙃</t>
  </si>
  <si>
    <t>PPKM, Pernah Pdkt Kemudian Menghilang</t>
  </si>
  <si>
    <t>@haejanie @AREAJULID dia ngrayain ultah gt pas ppkm</t>
  </si>
  <si>
    <t>dia ngrayain ultah gt pas ppkm</t>
  </si>
  <si>
    <t>@eskosu slesai ppkm</t>
  </si>
  <si>
    <t>slesai ppkm</t>
  </si>
  <si>
    <t>PPKM (Pagi Pagi Kena Marah) 😅</t>
  </si>
  <si>
    <t>PPKM (Pagi Pagi Kena Marah)</t>
  </si>
  <si>
    <t>Rumah Bunder Angker Di Track Pendakian Kawah Ijen https://t.co/mTSeA6aOqD via @YouTube kalo saja PPKM tidak diberlakukan barangkali moment moment serupa ini masih akan terus berlangsung. Sayangnya mau tidak mau kita tak ada pilihan lain selain menetap di rumah demi kebaikan</t>
  </si>
  <si>
    <t>Rumah Bunder Angker Di Track Pendakian Kawah Ijen via kalo saja PPKM tidak diberlakukan barangkali moment moment serupa ini masih akan terus berlangsung. Sayangnya mau tidak mau kita tak ada pilihan lain selain menetap di rumah demi kebaikan</t>
  </si>
  <si>
    <t>Soal PPKM, Pemerintah Jamin Infrastruktur dan TKA Aman, Abdullah Rasyid: Bukannya Jamin Nyawa Rakyat https://t.co/vtL1stuiSl</t>
  </si>
  <si>
    <t>Soal PPKM, Pemerintah Jamin Infrastruktur dan TKA Aman, Abdullah Rasyid: Bukannya Jamin Nyawa Rakyat</t>
  </si>
  <si>
    <t>@wooyyie nynder 20 mnit gk krasa,,,,, tnang sja ini fto diambil sblm ppkm 🙏🏻</t>
  </si>
  <si>
    <t>nynder mnit gk krasa,,,,, tnang sja ini fto diambil sblm ppkm</t>
  </si>
  <si>
    <t>@jaevananggara kan ppkm je gaboleh kemana mana, ke apart aku sini🥺</t>
  </si>
  <si>
    <t>kan ppkm je gaboleh kemana mana, ke apart aku sini</t>
  </si>
  <si>
    <t>PPKM diperpanjang sampai 10 Agustus 😅 https://t.co/gNb4gaQzZK</t>
  </si>
  <si>
    <t>PPKM diperpanjang sampai Agustus</t>
  </si>
  <si>
    <t>ni ppkm jdi diperpanjang tidak ya?</t>
  </si>
  <si>
    <t>@_alinchan 🙄🤔 serius, ppkm kemaren d daerah padang atau atjeh ya lupa saya.</t>
  </si>
  <si>
    <t>serius, ppkm kemaren d daerah padang atau atjeh ya lupa saya.</t>
  </si>
  <si>
    <t>Aku mau misuh2 mbah terkait kebijakan ini tapi males buang2 energi aja. Lagi PPKM kudu jaga imun, cuman bisa berdoa ya Allah sadarkan para wakil rakyat aja sudah titik https://t.co/pFTbDkNdpA</t>
  </si>
  <si>
    <t>Aku mau misuh2 mbah terkait kebijakan ini tapi males buang2 energi aja. Lagi PPKM kudu jaga imun, cuman bisa berdoa ya Allah sadarkan para wakil rakyat aja sudah titik</t>
  </si>
  <si>
    <t>Assalamualaikum wr wb
 Met pagi warga Tl met beraktivitas tetap disiplin prokes, taati PPKM, dg Semangat MERAH PUTIH✊✊✊ https://t.co/4rvxvUtR8f</t>
  </si>
  <si>
    <t>Assalamualaikum wr wbMet pagi warga Tl met beraktivitas tetap disiplin prokes, taati PPKM, dg Semangat MERAH PUTIH</t>
  </si>
  <si>
    <t>ppkm day 25
 ke rmh nad ✅
 ngerjain tugas ✅
 jahit celana ✅</t>
  </si>
  <si>
    <t>ppkm day ke rmh nad ngerjain tugas jahit celana</t>
  </si>
  <si>
    <t>@b0ringathome Gaasss… hasil program PPKM, Pelan Pelan Kamu Melendung.. wkwkwkk</t>
  </si>
  <si>
    <t>Gaasss hasil program PPKM, Pelan Pelan Kamu Melendung.. wkwkwkk</t>
  </si>
  <si>
    <t>@marlina_idha @TMCPoldaMetro Yg plg lucu itu, waktu ngeliat liputan pos penyekatan di @KompasTV. Ad pemotor yg motornya 4 org gitu deh sepenglihatan sy, dgn anak kecil, ttpi bs lewat. Fokus banget y sm aturan PPKM smp aturan berlalulintas diabaikan.</t>
  </si>
  <si>
    <t>Yg plg lucu itu, waktu ngeliat liputan pos penyekatan di . Ad pemotor yg motornya org gitu deh sepenglihatan sy, dgn anak kecil, ttpi bs lewat. Fokus banget y sm aturan PPKM smp aturan berlalulintas diabaikan.</t>
  </si>
  <si>
    <t>@Hampuraeunn huf bgt PPKM biasanya udah ada yg buka deket skolahan daerah rumah aku🙃</t>
  </si>
  <si>
    <t>huf bgt PPKM biasanya udah ada yg buka deket skolahan daerah rumah aku</t>
  </si>
  <si>
    <t>berhubung ppkm juga berlaku untuk gunung,jadi liat viewnya dari depan rumah dulu aja xixi https://t.co/1m0TpKDTk6</t>
  </si>
  <si>
    <t>berhubung ppkm juga berlaku untuk gunung,jadi liat viewnya dari depan rumah dulu aja xixi</t>
  </si>
  <si>
    <t>@WisudaontimeS Masih ppkm hmm</t>
  </si>
  <si>
    <t>Masih ppkm hmm</t>
  </si>
  <si>
    <t>Mau ppkm level berapapun juga aku akan tetap mencintaimu&amp;lt;3</t>
  </si>
  <si>
    <t>Pembatasan Mobilitas dalam masa PPKM Level 4 https://t.co/mPqYHP8s0b</t>
  </si>
  <si>
    <t>Pembatasan Mobilitas dalam masa PPKM Level</t>
  </si>
  <si>
    <t>PPKM juga tong tra dapat bantuan !! https://t.co/7Dur4atu39</t>
  </si>
  <si>
    <t>PPKM juga tong tra dapat bantuan !!</t>
  </si>
  <si>
    <t>PPKM level 4 mau makan aja susah pake acara ngomongin okupansi. Serba salah. Leisure itu ud masuk list keberapa gatau deh</t>
  </si>
  <si>
    <t>PPKM level mau makan aja susah pake acara ngomongin okupansi. Serba salah. Leisure itu ud masuk list keberapa gatau deh</t>
  </si>
  <si>
    <t>@tawan_vihokr Lah kan tutup warungnya PPKM</t>
  </si>
  <si>
    <t>Lah kan tutup warungnya PPKM</t>
  </si>
  <si>
    <t>@lavienrozx Ppkm sayang</t>
  </si>
  <si>
    <t>Memprediksi Dampak Ekonomi PPKM Darurat https://t.co/1w1Kls09yJ</t>
  </si>
  <si>
    <t>Memprediksi Dampak Ekonomi PPKM Darurat</t>
  </si>
  <si>
    <t>Krn ppkm jadinya gue masuk kerja jd shift 3 alias mulai jam 23.00 - 07.00 
 Wohh edan</t>
  </si>
  <si>
    <t>Krn ppkm jadinya gue masuk kerja jd shift alias mulai jam - Wohh edan</t>
  </si>
  <si>
    <t>@Rikoo_0497 Nyediain kok. Tapi kalau kayak minta ttd gimana? Ttd online? :(
 Kertasnya udh ada sm aku sebelum ppkm. Disuruh minta ttd ke pembimbing sm penguji. Trus serahin lagi ke prodi.
 Trus kalau mau bimbingan gmn? Pembimbing aku bkn tipe yg bimbingan onlen :(</t>
  </si>
  <si>
    <t>Nyediain kok. Tapi kalau kayak minta ttd gimana? Ttd online? Kertasnya udh ada sm aku sebelum ppkm. Disuruh minta ttd ke pembimbing sm penguji. Trus serahin lagi ke prodi.Trus kalau mau bimbingan gmn? Pembimbing aku bkn tipe yg bimbingan onlen</t>
  </si>
  <si>
    <t>apasih susahnya buat vaksin anj!
 ppkm dilanjut terus ini bgst</t>
  </si>
  <si>
    <t>apasih susahnya buat vaksin anj!ppkm dilanjut terus ini bgst</t>
  </si>
  <si>
    <t>@uwupip0l bisa dine in pas ppkm nih</t>
  </si>
  <si>
    <t>bisa dine in pas ppkm nih</t>
  </si>
  <si>
    <t>#PatuhProkesHargaMati
 Ya gw sebagai masyarakat biasa sangat dukung PPKM atau kebijakan lain tuk menangani Kopit di negeri ini. 
 Sudahi provokasi, saatnya kontribusi lebih peduli! 
  https://t.co/TXAIGmPg17</t>
  </si>
  <si>
    <t>gw sebagai masyarakat biasa sangat dukung PPKM atau kebijakan lain tuk menangani Kopit di negeri ini. Sudahi provokasi, saatnya kontribusi lebih peduli!</t>
  </si>
  <si>
    <t>Jogja pqs lagi ppkm gini aman ga yaa? Minggu besok gass jogja nih</t>
  </si>
  <si>
    <t>#PatuhProkesHargaMati
 .
 .
 Masyarakat yg patuh semua aturan PPKM Level 4 yang telah dibuat dan Pemerintah jg melakukan pengawasan pelaksanaan PPKM dgn ketat maka hasil yg kita harapkan yaitu terjadi penurunan yang signifikan akan tercapai.
 https://t.co/3epKosbMew</t>
  </si>
  <si>
    <t>..Masyarakat yg patuh semua aturanPPKM Level yang telah dibuat dan Pemerintah jg melakukan pengawasan pelaksanaan PPKM dgn ketat maka hasil yg kita harapkan yaitu terjadi penurunan yang signifikan akan tercapai.</t>
  </si>
  <si>
    <t>@worksfess Lagi ppkm</t>
  </si>
  <si>
    <t>#PatuhProkesHargaMati
 Perpanjangan PPKM Darurat adalah untuk kepentingan bersama cegah penularan Covid-19.
 Ayo dukung perpanjangan PPKM Darurat level 4 untuk antisipasi penularan varian Delta dan juga untuk melindungi kesehatan bersama. https://t.co/rDT8y2Cbry</t>
  </si>
  <si>
    <t>PPKM Darurat adalah untuk kepentingan bersama cegah penularan Covid-19.Ayo dukung perpanjangan PPKM Darurat level untuk antisipasi penularan varian Delta dan juga untuk melindungi kesehatan bersama.</t>
  </si>
  <si>
    <t>Demen gue liat TNI berjiwa ksatria ✊ jangan cuma bisa nurunin baliho dan jagain motor ppkm juga nongkrongin orang makan 20 menit. https://t.co/3p6j1Ajj4F</t>
  </si>
  <si>
    <t>Demen gue liat TNI berjiwa ksatria jangan cuma bisa nurunin baliho dan jagain motor ppkm juga nongkrongin orang makan menit.</t>
  </si>
  <si>
    <t>Sudah sangat tepat Pemerintah memperpanjang PPKM level 4, mari kita dukung program tersebut, sehingga bisa mencegah penularan dan penurunan Covid-19.
 Yang paling penting kita harus menjaga ProKes ketat.
 #PatuhProkesHargaMati https://t.co/EUWQ4adbdP</t>
  </si>
  <si>
    <t>Sudah sangat tepat Pemerintah memperpanjang PPKM level , mari kita dukung program tersebut, sehingga bisa mencegah penularan dan penurunan Covid-19.Yang paling penting kita harus menjaga ProKes ketat.</t>
  </si>
  <si>
    <t>Kita dukung PPKM upaya pencegahan pelunalaran covit yg sangat ganas, melumpuhkan semuanya 
 Saatnya gotong royong untuk mensukseskan PPKM level 4 untuk keselamatan bersama
 #PatuhProkesHargaMati https://t.co/gobgPJOZAO</t>
  </si>
  <si>
    <t>Kita dukung PPKM upaya pencegahan pelunalaran covit yg sangat ganas, melumpuhkan semuanya Saatnya gotong royong untuk mensukseskan PPKM level untuk keselamatan bersama</t>
  </si>
  <si>
    <t>jgn tergiring opini..inj terjadi karena hidup di negara inj untuk rakyat semakin susah,hukum sebab akibat ! Tetap rakyat yg jadi korban,kemana pemerintah,dpr,MPR dll kalian buta,ppkm tp tdk menjalankan isi uu karantina..</t>
  </si>
  <si>
    <t>#PatuhProkesHargaMati
 Pemerintah memutuskan memperpanjang PPKM Level 3 dan 4,diiberlakukan, 26 Juli hingga 2 Agustus 2021 untuk Jawa-Bali dan sejumlah daerah non Jawa-Bali.Meskipun berat diharapkan masyarakat tetap mengikuti aturan
 https://t.co/ZKpu80houW</t>
  </si>
  <si>
    <t>memutuskan memperpanjang PPKM Level dan ,diiberlakukan, Juli hingga Agustus untuk Jawa-Bali dan sejumlah daerah non Jawa-Bali.Meskipun berat diharapkan masyarakat tetap mengikuti aturan</t>
  </si>
  <si>
    <t>Yuk kita terapkan protokol kesehatan secara ketat, hindari berkerumun, dan ikut vaksinasi, 
 Semoga kasus Covid-19 segera turun, dan PPKM bisa dilonggarkan, agar kita bisa beraktivitas lagi seperti sedia kala.
 #PatuhProkesHargaMati
 https://t.co/Qzj0CRnG7B</t>
  </si>
  <si>
    <t>Yuk kita terapkan protokol kesehatan secara ketat, hindari berkerumun, dan ikut vaksinasi, Semoga kasus Covid-19 segera turun, dan PPKM bisa dilonggarkan, agar kita bisa beraktivitas lagi seperti sedia kala.://</t>
  </si>
  <si>
    <t>PPKM level 4 sudah diputuskan, kita sebagai masyarakat mendukung ini, dan berharap PPKM level 4 ini memberi dampak penurunan c0vd19 di 2 agustus nanti dan seterusnya membaik kembali normal.🙏
 #PatuhProkesHargaMati https://t.co/2fH3gVa1lR</t>
  </si>
  <si>
    <t>PPKM level sudah diputuskan, kita sebagai masyarakat mendukung ini, dan berharap PPKM level ini memberi dampak penurunan c0vd19 di agustus nanti dan seterusnya membaik kembali normal.</t>
  </si>
  <si>
    <t>PPKM mikro yg lalu itu berbasis wilayah
 Vaksinasi kayak gitu juga donkk...</t>
  </si>
  <si>
    <t>PPKM mikro yg lalu itu berbasis wilayahVaksinasi kayak gitu juga donkk...</t>
  </si>
  <si>
    <t>@kompascom di dlm bus ber AC menunggu hasil, hanya keluar bus saat di test saja. Dan harga test Antigen memang hrgnya sekitar segitu (makanya klu nggak mau bayar, bawa srt test Antigen dong). Hrsnya yg diviralkan penumpangnya, krn salah, nggak taat aturan PPKM berpergian keluar kota tanpa</t>
  </si>
  <si>
    <t>di dlm bus ber AC menunggu hasil, hanya keluar bus saat di test saja. Dan harga test Antigen memang hrgnya sekitar segitu (makanya klu nggak mau bayar, bawa srt test Antigen dong). Hrsnya yg diviralkan penumpangnya, krn salah, nggak taat aturan PPKM berpergian keluar kota tanpa</t>
  </si>
  <si>
    <t>#PatuhProkesHargaMati
 Perpanjangan PPKM darurat di level 4 , semata hanya langkah tegas untuk antisipasi penularan varian delta yg ganas .
 5 M dan vaksinasi adalah 2 hal Giat Dasar didalam pelaksanaan PPKM darurat tersebut .
 Sudahkah kita patuh dalam pelaksanaannya ? https://t.co/0CwsRF0H5A</t>
  </si>
  <si>
    <t>PPKM darurat di level , semata hanya langkah tegas untuk antisipasi penularan varian delta yg ganas .5 M dan vaksinasi adalah hal Giat Dasar didalam pelaksanaan PPKM darurat tersebut .Sudahkah kita patuh dalam pelaksanaannya ?</t>
  </si>
  <si>
    <t>@killpplwithguns ABIS PPKM NONGKI AE LAH ANJING DI GADING WALK SEKALIAN CARI CEWE</t>
  </si>
  <si>
    <t>ABIS PPKM NONGKI AE LAH ANJING DI GADING WALK SEKALIAN CARI CEWE</t>
  </si>
  <si>
    <t>@kompascom Hoax ini. Berita yg benar, krn PPKM maka semua *penumpang bus antar kota wajib menyertakan surat test Antigen*, maka bagi yg tdk memiliki srt test Antigen negatif tdk dijinkan melanjutkan perjlnn. Nah di lokasi tsb (sblm masuk kota) menyediakan sarana test Antigen dan memang hrs</t>
  </si>
  <si>
    <t>Hoax ini. Berita yg benar, krn PPKM maka semua *penumpang bus antar kota wajib menyertakan surat test Antigen*, maka bagi yg tdk memiliki srt test Antigen negatif tdk dijinkan melanjutkan perjlnn. Nah di lokasi tsb (sblm masuk kota) menyediakan sarana test Antigen dan memang hrs</t>
  </si>
  <si>
    <t>@halleluhellyeah Jaman covid gini ga semua orang yg nganggur itu pemalasa tapi emang susah cari kerjaan apalagi PPKM skr yg levelnya udah kaya makan cabe..so kalo mau ngomong mikir pake otak jangan pake dengkul mbak eh salah mas</t>
  </si>
  <si>
    <t>Jaman covid gini ga semua orang yg nganggur itu pemalasa tapi emang susah cari kerjaan apalagi PPKM skr yg levelnya udah kaya makan cabe..so kalo mau ngomong mikir pake otak jangan pake dengkul mbak eh salah mas</t>
  </si>
  <si>
    <t>@Saha_namina_ @RestyCayaaah @AcehSelatanSatu Karena PPKM. gak dikasih makan. Iya kaan...</t>
  </si>
  <si>
    <t>Karena PPKM. gak dikasih makan. Iya kaan...</t>
  </si>
  <si>
    <t>@riskanone @pirmanlazr @anarkisromantis @Wdiens @Gerakarus @Recht_Reo @ainunnajib lah ga tau knp vietnam vaksin nya minim, ppkm itu yg terbaik saat ini ditambah vaksin yg hrsnya lbh masif lagi ya sy percaya ini drpd lockdown</t>
  </si>
  <si>
    <t>lah ga tau knp vietnam vaksin nya minim, ppkm itu yg terbaik saat ini ditambah vaksin yg hrsnya lbh masif lagi ya sy percaya ini drpd lockdown</t>
  </si>
  <si>
    <t>@IbnuTasrip Tenang, masih bisa dilawan pake ppkm level 4s pro..</t>
  </si>
  <si>
    <t>Tenang, masih bisa dilawan pake ppkm level s pro..</t>
  </si>
  <si>
    <t>@BPPD_JATENG min, kalo mau ganti plat nomor tp posisi sekarang di jakarta dan gak bisa pulkam karena ppkm apakah bisa dilakukan di jkt ya min?
 Thanks</t>
  </si>
  <si>
    <t>min, kalo mau ganti plat nomor tp posisi sekarang di jakarta dan gak bisa pulkam karena ppkm apakah bisa dilakukan di jkt ya min?Thanks</t>
  </si>
  <si>
    <t>KALO PPKM MULU YA KAPAN BERTEMUNYA ANJIR https://t.co/3iIXR1XYPg</t>
  </si>
  <si>
    <t>KALO PPKM MULU YA KAPAN BERTEMUNYA ANJIR</t>
  </si>
  <si>
    <t>@Mysukmana @LagiliburCom Lagi PPKM kakak-kakak...</t>
  </si>
  <si>
    <t>Lagi PPKM kakak-kakak...</t>
  </si>
  <si>
    <t>Kita telah naik level, apanya? PPKM.
 #KembaliPadaSyariahIslam</t>
  </si>
  <si>
    <t>Kita telah naik level, apanya? PPKM.</t>
  </si>
  <si>
    <t>@FOOD_FESS Udh lama bangetttt dari jaman blm ppkm https://t.co/UceBlXZZYY</t>
  </si>
  <si>
    <t>Udh lama bangetttt dari jaman blm ppkm</t>
  </si>
  <si>
    <t>ppkm 21 april 2021</t>
  </si>
  <si>
    <t>ppkm april</t>
  </si>
  <si>
    <t>@camtiksekali Kayake selama ppkm genose tdk belaku</t>
  </si>
  <si>
    <t>Kayake selama ppkm genose tdk belaku</t>
  </si>
  <si>
    <t>@jwoodallas emg boleh gitu ke solo kalo ppkm?</t>
  </si>
  <si>
    <t>emg boleh gitu ke solo kalo ppkm?</t>
  </si>
  <si>
    <t>Kaya oranggila gue pagi-pagi gedebak gedebuk ke bank bni gataunya sampe sana security bilang tutup dan buka lagi tgl 2 karna ppkm. Ajgggg</t>
  </si>
  <si>
    <t>Kaya oranggila gue pagi-pagi gedebak gedebuk ke bank bni gataunya sampe sana security bilang tutup dan buka lagi tgl karna ppkm. Ajgggg</t>
  </si>
  <si>
    <t>@thegreat_adi26 @pirmanlazr @anarkisromantis @Wdiens @Gerakarus @Recht_Reo @ainunnajib Masih ngotot bilang kalau ppkm ini efektif?</t>
  </si>
  <si>
    <t>Masih ngotot bilang kalau ppkm ini efektif?</t>
  </si>
  <si>
    <t>@isaeramao Ppkm sist nanti kena hujat kek ntu selebtok birthday party🤭🤭</t>
  </si>
  <si>
    <t>Ppkm sist nanti kena hujat kek ntu selebtok birthday party</t>
  </si>
  <si>
    <t>Efek PPKM ini spt nya byk muncul angel angel baru ya di dunia alter atau hanya perasaan ku aja.</t>
  </si>
  <si>
    <t>PPKM ikuti , prokes Jalani , jgn di buat susah .
 #TerimaKasihKamu https://t.co/P1s4OHSuXO</t>
  </si>
  <si>
    <t>PPKM ikuti , prokes Jalani , jgn di buat susah .</t>
  </si>
  <si>
    <t>Anjir 2T, sebenernya kalo tiap orang bener” kaya bukan orang baru kaya yg sering pamer nyumbang 1-10% dari total kekayaan mereka PPKM kayak gini ga bakal berasa dampaknya bagi rakyat menengah ke bawah. Mau 1 bulan PPKM pun ga masalah asal taat sama aturan aja. Semoga bermanfaat. https://t.co/eehP5mSA5r</t>
  </si>
  <si>
    <t>Anjir T, sebenernya kalo tiap orang bener kaya bukan orang baru kaya yg sering pamer nyumbang $NUMBER$% dari total kekayaan mereka PPKM kayak gini ga bakal berasa dampaknya bagi rakyat menengah ke bawah. Mau bulan PPKM pun ga masalah asal taat sama aturan aja. Semoga bermanfaat.</t>
  </si>
  <si>
    <t>ini hal positif yang bisa kita lihat bila kita semua patuh Prokes dan PPKM, Keseriusan pemerintah tampak hasilnya. Dalam mengatasi Pandemi, #SayaPercayaJokowi</t>
  </si>
  <si>
    <t>ini hal positif yang bisa kita lihat bila kita semua patuh Prokes dan PPKM, Keseriusan pemerintah tampak hasilnya. Dalam mengatasi Pandemi,</t>
  </si>
  <si>
    <t>@thegreat_adi26 @pirmanlazr @anarkisromantis @Wdiens @Gerakarus @Recht_Reo @ainunnajib Kenapa vaksinasi bisa sangat minim?
 Nakes capek kah?
 RS penuh?
 Vaksin kosong?
 Bukankah itu semua bukti kalau kita tidak bisa mengendalikan wabah ini dengan ppkm?</t>
  </si>
  <si>
    <t>Kenapa vaksinasi bisa sangat minim?Nakes capek kah?RS penuh?Vaksin kosong?Bukankah itu semua bukti kalau kita tidak bisa mengendalikan wabah ini dengan ppkm?</t>
  </si>
  <si>
    <t>ppkm jadinya berinteraksi sama buntelan kertas https://t.co/KT28V0NJgR</t>
  </si>
  <si>
    <t>ppkm jadinya berinteraksi sama buntelan kertas</t>
  </si>
  <si>
    <t>Yakin aja dgn para defender PPKM level 4. Asal jgn narok marcelo aja dikiri, kasian temen yg lain berasa maen bertiga dibelakang. https://t.co/PhUuiMR0TQ</t>
  </si>
  <si>
    <t>Yakin aja dgn para defender PPKM level . Asal jgn narok marcelo aja dikiri, kasian temen yg lain berasa maen bertiga dibelakang.</t>
  </si>
  <si>
    <t>@P3nj3l4j4h_id @mohmahfudmd Kan lagi PPKM canda iseng bisa meningkatkan imun.. 😜</t>
  </si>
  <si>
    <t>Kan lagi PPKM canda iseng bisa meningkatkan imun..</t>
  </si>
  <si>
    <t>@hfdhrzky ppkm = panik panik kamu</t>
  </si>
  <si>
    <t>ppkm = panik panik kamu</t>
  </si>
  <si>
    <t>Jika dgn PPKM di perpanjang dan hasilnya masih sama saja, maka akan di lanjutkan dgn drama adu pinalti,,! 
 😁😖 ne ra sanggup mending mundur pak, 
 _ https://t.co/RSkTVERcbM</t>
  </si>
  <si>
    <t>Jika dgn PPKM di perpanjang dan hasilnya masih sama saja, maka akan di lanjutkan dgn drama adu pinalti,,! ne ra sanggup mending mundur pak, _</t>
  </si>
  <si>
    <t>Zaman udah kebolak-balik. Polisi militer diturunkan untuk menertibkan sipil yg bermasalah. Smntara kmrn, ada anggota TNI yg diinterogasi petugas polisi pada saat penyekatan-PPKM.</t>
  </si>
  <si>
    <t>Selamat pagi rakyat yg menunggu PPKM kelar dan akan tambah gajelas.. https://t.co/y0pu3B8C6x</t>
  </si>
  <si>
    <t>Selamat pagi rakyat yg menunggu PPKM kelar dan akan tambah gajelas..</t>
  </si>
  <si>
    <t>memasuki umur 21 alias remaja nanggung, malah kepikiran sarapan sop kambing hasan kumis mantapanjengyes tp bogor ganjil genap ppkm ppkkm p3k dll dll lah y yaudalaya ok</t>
  </si>
  <si>
    <t>memasuki umur alias remaja nanggung, malah kepikiran sarapan sop kambing hasan kumis mantapanjengyes tp bogor ganjil genap ppkm ppkkm p3k dll dll lah y yaudalaya ok</t>
  </si>
  <si>
    <t>@undipmenfess Shopee food area Semarang belum launching.. awalnya mau Juli ini serentak. Tapi karena PPKM ditunda.</t>
  </si>
  <si>
    <t>Shopee food area Semarang belum launching.. awalnya mau Juli ini serentak. Tapi karena PPKM ditunda.</t>
  </si>
  <si>
    <t>@jokowi Pak hentikan PPKM banyak yg kena imbasnya,saran sy Pak mendingan dibikin sarat masuk MALL at pusat perbelanjaan harus ada sertifikat vaksin,kalo mau liburan ke luar kota harus juga ada sertifikat vaksin,tetap adakan razia utuk vaksin,tetap galakan prokes</t>
  </si>
  <si>
    <t>Pak hentikan PPKM banyak yg kena imbasnya,saran sy Pak mendingan dibikin sarat masuk MALL at pusat perbelanjaan harus ada sertifikat vaksin,kalo mau liburan ke luar kota harus juga ada sertifikat vaksin,tetap adakan razia utuk vaksin,tetap galakan prokes</t>
  </si>
  <si>
    <t>@ohmydull makasih dul, nunggu ppkm kelar ye</t>
  </si>
  <si>
    <t>makasih dul, nunggu ppkm kelar ye</t>
  </si>
  <si>
    <t>Dilema pengen makan mie ayam tapi ga enak kalau di bungkus, tapi lagi ppkm :)</t>
  </si>
  <si>
    <t>Dilema pengen makan mie ayam tapi ga enak kalau di bungkus, tapi lagi ppkm</t>
  </si>
  <si>
    <t>@jogmfs Sini nder, tapi ntar abis ppkm aja gitu</t>
  </si>
  <si>
    <t>Sini nder, tapi ntar abis ppkm aja gitu</t>
  </si>
  <si>
    <t>@kh_notodiputro Ga nyangka naik segitu prof, pdhl dah ppkm</t>
  </si>
  <si>
    <t>Ga nyangka naik segitu prof, pdhl dah ppkm</t>
  </si>
  <si>
    <t>PPKM di perpanjang chat ku di persingkat</t>
  </si>
  <si>
    <t>Selama PPKM jalan banyak yang ditutup meski bocor juga, nyebelin aja. ga nafsu jajan, mulai maskeran dobel dan merasa engap, banyak kabar duka, mampir-mampir pas keluar rmh pun enggan. Straight kek biasanya cwk k superindo</t>
  </si>
  <si>
    <t>PPKM Level 3 https://t.co/Zq7QLOuIzu</t>
  </si>
  <si>
    <t>PPKM Level</t>
  </si>
  <si>
    <t>tunggu selesai ppkm duls</t>
  </si>
  <si>
    <t>@KorbinmasPolri @DivHumas_Polri Salah satu dampak PPKM adalah terbatasnya usaha konveksi, sehingga pengadaan seragam satpam kami terhambat. Dan sesuai dgn perpol no 4/2021 Agustus ini sudah berlaku. Apakah ada toleransi ketentuan?</t>
  </si>
  <si>
    <t>Salah satu dampak PPKM adalah terbatasnya usaha konveksi, sehingga pengadaan seragam satpam kami terhambat. Dan sesuai dgn perpol no /2021 Agustus ini sudah berlaku. Apakah ada toleransi ketentuan?</t>
  </si>
  <si>
    <t>@hourlyukiyo Karena yg buat buku ini author2 kece semua. Karya mereka bagus2 engga usah diragukan lagi. Selain itu ppkm ini beuh bkin frustasi juga, engga boleh kemana2, stres daring rasanya, tugas terus2an gak ada jeda. Selain itu aku tinggal di desa, ada sktar 1 jam lebih klo naik speda</t>
  </si>
  <si>
    <t>Karena yg buat buku ini author2 kece semua. Karya mereka bagus2 engga usah diragukan lagi. Selain itu ppkm ini beuh bkin frustasi juga, engga boleh kemana2, stres daring rasanya, tugas terus2an gak ada jeda. Selain itu aku tinggal di desa, ada sktar jam lebih klo naik speda</t>
  </si>
  <si>
    <t>Selamat pagi.. 
 Yang selama PPKM di dalam aja sampe gumoh 😐 https://t.co/MNXcwY4QFG</t>
  </si>
  <si>
    <t>Selamat pagi.. Yang selama PPKM di dalam aja sampe gumoh</t>
  </si>
  <si>
    <t>@doremifxc keknya dr awal ppkm juga gabegitu pengaruh sm aktivitas org di jogja sini</t>
  </si>
  <si>
    <t>keknya dr awal ppkm juga gabegitu pengaruh sm aktivitas org di jogja sini</t>
  </si>
  <si>
    <t>@tvindonesiawkwk Ketika denger ppkm di perpanjang</t>
  </si>
  <si>
    <t>Ketika denger ppkm di perpanjang</t>
  </si>
  <si>
    <t>@Hendrijon076 @ReflyHZ Ini bukan akun baru kayanya buzzer senior, punya ketololan level 4 neh kaya PPKM, makin tolol makin gede bayarannya</t>
  </si>
  <si>
    <t>Ini bukan akun baru kayanya buzzer senior, punya ketololan level neh kaya PPKM, makin tolol makin gede bayarannya</t>
  </si>
  <si>
    <t>@FWBESS Udah bangun doong, ntar abis ppkm jalan boleh tu</t>
  </si>
  <si>
    <t>Udah bangun doong, ntar abis ppkm jalan boleh tu</t>
  </si>
  <si>
    <t>@mbaksherli Ada ppkm</t>
  </si>
  <si>
    <t>Ada ppkm</t>
  </si>
  <si>
    <t>ppkm level 4 sedikit variatif diisi dengan film level 16 (aneh tp okela) https://t.co/HZ14ics5rv</t>
  </si>
  <si>
    <t>ppkm level sedikit variatif diisi dengan film level (aneh tp okela)</t>
  </si>
  <si>
    <t>Gw kira ppkm bakalan ga ada hajatin tau nya binyik</t>
  </si>
  <si>
    <t>Makin gede, makin bosen juga lama2. Main hp tp gasuka main hp, mo main keluar ppkm, nonton hampir tiap jam tiap menit, main game tp gasuka ngegame, nugas tinggal nunggu UAS selesai tgl 6. Yaallah bosen x hidupku....</t>
  </si>
  <si>
    <t>Makin gede, makin bosen juga lama2. Main hp tp gasuka main hp, mo main keluar ppkm, nonton hampir tiap jam tiap menit, main game tp gasuka ngegame, nugas tinggal nunggu UAS selesai tgl . Yaallah bosen x hidupku....</t>
  </si>
  <si>
    <t>huaaaa ayo ppkm kelar😭 pgn ke mothercare beli kado buat si kecil🥰</t>
  </si>
  <si>
    <t>huaaaa ayo ppkm kelar pgn ke mothercare beli kado buat si kecil</t>
  </si>
  <si>
    <t>@ABSetyono @kemkominfo @PlateJohnny Setuju👍 
 Saat para pejuang bertarung demi nama Indonesia. 
 Kita di tanah air berjuang turunkan ego sukseskan PPKM turunkan angka kematian dan penyebaran Covid-19. 
 @kemkominfo 
 @PlateJohnny</t>
  </si>
  <si>
    <t>Setuju Saat para pejuang bertarung demi nama Indonesia. Kita di tanah air berjuang turunkan ego sukseskan PPKM turunkan angka kematian dan penyebaran Covid-19.</t>
  </si>
  <si>
    <t>☁️ woy ak gbut ada yg mau dm an gk sie ntar kita berteman mengarungi ppkm level pedas mampus ini btw gue ava dasha taran trimss</t>
  </si>
  <si>
    <t>woy ak gbut ada yg mau dm an gk sie ntar kita berteman mengarungi ppkm level pedas mampus ini btw gue ava dasha taran trimss</t>
  </si>
  <si>
    <t>@krismola_ LFC korban ppkm tah ya? Irit bener😥</t>
  </si>
  <si>
    <t>LFC korban ppkm tah ya? Irit bener</t>
  </si>
  <si>
    <t>@halloinirinkaa Virtualan saling bertemu amin, PPKM di perpanjang jangan 😭</t>
  </si>
  <si>
    <t>Virtualan saling bertemu amin, PPKM di perpanjang jangan</t>
  </si>
  <si>
    <t>Hal ter-random selama ppkm ini adalah ngefollow account ig alpaca. Emesh banget. Mau miara 1. https://t.co/Z0dVoKKNn0 https://t.co/UY1bugRicf</t>
  </si>
  <si>
    <t>Hal ter-random selama ppkm ini adalah ngefollow account ig alpaca. Emesh banget. Mau miara .</t>
  </si>
  <si>
    <t>Setuju👍 
 Saat para pejuang bertarung demi nama Indonesia. 
 Kita di tanah air berjuang turunkan ego sukseskan PPKM turunkan angka kematian dan penyebaran Covid-19. 
 @kemkominfo 
 @PlateJohnny https://t.co/uIdW8dyGjG</t>
  </si>
  <si>
    <t>Bansos PPKM
 Jokowi Merawat Indonesia https://t.co/b5FS2yQY6c</t>
  </si>
  <si>
    <t>Bansos PPKMJokowi Merawat Indonesia</t>
  </si>
  <si>
    <t>PPKM diperpanjang tapi cht mu ga akan diperpanjang😏🤣</t>
  </si>
  <si>
    <t>PPKM diperpanjang tapi cht mu ga akan diperpanjang</t>
  </si>
  <si>
    <t>@gigigrahamn Gunung gede gi masa gatau? Cibodas. Hayu atuh kelar ppkm gas</t>
  </si>
  <si>
    <t>Gunung gede gi masa gatau? Cibodas. Hayu atuh kelar ppkm gas</t>
  </si>
  <si>
    <t>@tempodotco Peroyek C19 Berlanjut 
 PPKM tambah level 
 Semakin panjang derita Rakyat Bangsa ini
 Studi Cina: Antibodi Vaksin Sinovac Hanya Bertahan 6 Bulan https://t.co/cVi1eKZV7z #TempoDunia</t>
  </si>
  <si>
    <t>Peroyek C19 Berlanjut PPKM tambah level Semakin panjang derita Rakyat Bangsa iniStudi Cina: Antibodi Vaksin Sinovac Hanya Bertahan Bulan</t>
  </si>
  <si>
    <t>PPKM' DIPERPANJANG SAMPAI WANITA BILANG “IYA MAAF AKU YANG SALAH”.</t>
  </si>
  <si>
    <t>PPKM' DIPERPANJANG SAMPAI WANITA BILANG IYA MAAF AKU YANG SALAH.</t>
  </si>
  <si>
    <t>kan ppkm https://t.co/xsx0Cxx26u</t>
  </si>
  <si>
    <t>PPKM : Pelan Pelan Ku Mundur</t>
  </si>
  <si>
    <t>Ppkm kapan selesainya woi, butuh healing udah stress next level</t>
  </si>
  <si>
    <t>@rizahariati @BaruNuralamsyah @alvinlie21 Pemerintah kita sptnya dulu anggap enteng pandemi ini. Milih ngecer biaya dgn PSBB/PPKM, ternyata sejak April 2020 tdk selesai2. Pdhl kalau sejak WHO nyatakan pandemi di Maret 2020 langsung lockdown 3 bulan spt Wuhan total biayanya bisa lbh kecil https://t.co/jq1nFvvbl6</t>
  </si>
  <si>
    <t>Pemerintah kita sptnya dulu anggap enteng pandemi ini. Milih ngecer biaya dgn PSBB/PPKM, ternyata sejak April tdk selesai2. Pdhl kalau sejak WHO nyatakan pandemi di Maret langsung lockdown bulan spt Wuhan total biayanya bisa lbh kecil</t>
  </si>
  <si>
    <t>@ABSetyono @kemkominfo @PlateJohnny @DS_yantie @vita_AVP @narkosun @psi_id @Saty4Jogj4 @selfmirror_ @anandasukarlan Masyarakat dan aparat harus bersama ciptakan suasana yang kondusif, tertib dan taat prokes. 
 Demi memutus mata rantai penyebaran Covid 19 dan mensukseskan PPKM.
 @PlateJohnny 
 @kemkominfo</t>
  </si>
  <si>
    <t>Masyarakat dan aparat harus bersama ciptakan suasana yang kondusif, tertib dan taat prokes. Demi memutus mata rantai penyebaran Covid dan mensukseskan PPKM.</t>
  </si>
  <si>
    <t>Masyarakat dan aparat harus bersama ciptakan suasana yang kondusif, tertib dan taat prokes. 
 Demi memutus mata rantai penyebaran Covid 19 dan mensukseskan PPKM.
 @PlateJohnny 
 @kemkominfo https://t.co/P7GqXVegkF</t>
  </si>
  <si>
    <t>@detikcom Pak @jokowi jika masyarakat umum dipidana krn langgar ppkm, masa asn yg hrsnya berikan contoh tdk ada sanksi apapun? Tolong mereka juga dipidanakan krn telah langgar ppkm. Cc @BNPB_Indonesia @kemenkomarves @DivHumas_Polri @KemenkesRI</t>
  </si>
  <si>
    <t>Pak jika masyarakat umum dipidana krn langgar ppkm, masa asn yg hrsnya berikan contoh tdk ada sanksi apapun? Tolong mereka juga dipidanakan krn telah langgar ppkm. Cc</t>
  </si>
  <si>
    <t>Hey yow PPKM..
 Pernah Perhatian, Kemudian Menghilang.
 Slebeww</t>
  </si>
  <si>
    <t>Hey yow PPKM..Pernah Perhatian, Kemudian Menghilang.Slebeww</t>
  </si>
  <si>
    <t>@kompascom Kebijakan istilah PSBB, PPKM MIKRO, PPKM DARURAT, PPKM LEVEL 4. Hanya gara2 hindari kata LOCKDOWN n tidak mau jalankan UU KEKARANTINAAN !! BNGSD !(</t>
  </si>
  <si>
    <t>Kebijakan istilah PSBB, PPKM MIKRO, PPKM DARURAT, PPKM LEVEL . Hanya gara2 hindari kata LOCKDOWN n tidak mau jalankan UU KEKARANTINAAN !! BNGSD !(</t>
  </si>
  <si>
    <t>@NgobrolDeh Pagi kak 😁 semoga cepat berakhir PPKM spy bisa nongkrong lg</t>
  </si>
  <si>
    <t>Pagi kak semoga cepat berakhir PPKM spy bisa nongkrong lg</t>
  </si>
  <si>
    <t>@GISELLE00FC Lagi ppkm nde sel nda bisa deket2 huhuhu padahal mau ngasih es krim kalo deket .g</t>
  </si>
  <si>
    <t>Lagi ppkm nde sel nda bisa deket2 huhuhu padahal mau ngasih es krim kalo deket .g</t>
  </si>
  <si>
    <t>@bareksacom Berharap dengan perpanjangan ppkm kasus kovid cepat berkurang</t>
  </si>
  <si>
    <t>Berharap dengan perpanjangan ppkm kasus kovid cepat berkurang</t>
  </si>
  <si>
    <t>@buttercokies12 @jollee__ PPKM tuh pepet kamu ya?</t>
  </si>
  <si>
    <t>PPKM tuh pepet kamu ya?</t>
  </si>
  <si>
    <t>Nganunya makin nipis, hidup lanjut terus. PPKM ga kelar² sampe level 10. 😄</t>
  </si>
  <si>
    <t>Nganunya makin nipis, hidup lanjut terus. PPKM ga kelar sampe level .</t>
  </si>
  <si>
    <t>Pak @Pak_JK sebenarnya sanggup beri donasi besar, minimal Ratusan Milyar lah kalau dari kekayaannya. Tinggal tunggu ada malaikat yg berbisik untuk menggerakan. Mungkin malaikatnya masih kena PPKM, belum bisa datang. https://t.co/s5JSbBBCCl</t>
  </si>
  <si>
    <t>Pak sebenarnya sanggup beri donasi besar, minimal Ratusan Milyar lah kalau dari kekayaannya. Tinggal tunggu ada malaikat yg berbisik untuk menggerakan. Mungkin malaikatnya masih kena PPKM, belum bisa datang.</t>
  </si>
  <si>
    <t>@decafred1 Kalo dah gak ppkm mau kesiniiiiiiii @mukhamadapriant</t>
  </si>
  <si>
    <t>Kalo dah gak ppkm mau kesiniiiiiiii</t>
  </si>
  <si>
    <t>skrg lagi jaman² nya orang susah nyari uang..ada yg di PHK,ada yg jualan ga laku2 karna PPKM, tapi kok ada aja orang yg mau nipu.. gue tau lo lagi susah,tapi gagitu caranya ajg ,banyak orang lain yg lebih susah dari lo tapi masih usaha pake cara yg bener, ga nipu kaya lo asu</t>
  </si>
  <si>
    <t>skrg lagi jaman nya orang susah nyari uang..ada yg di PHK,ada yg jualan ga laku2 karna PPKM, tapi kok ada aja orang yg mau nipu.. gue tau lo lagi susah,tapi gagitu caranya ajg ,banyak orang lain yg lebih susah dari lo tapi masih usaha pake cara yg bener, ga nipu kaya lo asu</t>
  </si>
  <si>
    <t>Membership sih bisalah kan, masalahnya passport gua baru mati ☺💔 and skrng lg ppkm begini gimana😭😭 dahlah mengsedih aee</t>
  </si>
  <si>
    <t>Membership sih bisalah kan, masalahnya passport gua baru mati and skrng lg ppkm begini gimana dahlah mengsedih aee</t>
  </si>
  <si>
    <t>@bogorfess_ Naik kereta pas ppkm cuma bisa buat yg kerja dan vaksin nder, jadi aku ga pernahh</t>
  </si>
  <si>
    <t>Naik kereta pas ppkm cuma bisa buat yg kerja dan vaksin nder, jadi aku ga pernahh</t>
  </si>
  <si>
    <t>@AREAJULID Jangan salahkan jika PPKM Di perpanjang sampai Hari Akhir.</t>
  </si>
  <si>
    <t>Jangan salahkan jika PPKM Di perpanjang sampai Hari Akhir.</t>
  </si>
  <si>
    <t>Akibat perpanjangan ppkm Juli ini ga bisa ngadain party , 
 Mungkin Agustus ppkm berakhir .
 Yg mau join grub dan join party bisa DM atau langsung chat wa .
 #gaymalang
 #GayMalang
 #gaybatu https://t.co/EvfEyWGvfi</t>
  </si>
  <si>
    <t>Akibat perpanjangan ppkm Juli ini ga bisa ngadain party , Mungkin Agustus ppkm berakhir .Yg mau join grub dan join party bisa DM atau langsung chat wa .</t>
  </si>
  <si>
    <t>@mas_waa1 @yudhaNsandy @GIRLYEST Percuma kalau cuma panjang kalau nggak keras, kayak ppkm yang hanya diperpanjang tapi nggak diperkeras.</t>
  </si>
  <si>
    <t>Percuma kalau cuma panjang kalau nggak keras, kayak ppkm yang hanya diperpanjang tapi nggak diperkeras.</t>
  </si>
  <si>
    <t>@imaqueennz Ppkm:pagi pagi kita mengopi</t>
  </si>
  <si>
    <t>Ppkmagi pagi kita mengopi</t>
  </si>
  <si>
    <t>@syapeiderman hutan yang buka lagj ppkm gini dimana si?</t>
  </si>
  <si>
    <t>hutan yang buka lagj ppkm gini dimana si?</t>
  </si>
  <si>
    <t>@WagimanDeep212_ Pejabat : 
 Gaji dapat. Tunjangan dapat. 
 Tp masih kurang.
 Rakyat : 
 Pajak harus. Bantuan di potong. Kerja harian ada ppkm.
 G pake masker kena denda. 
 Enaknya jd pejabat di indonesia. Bisanya cuma ngandalin pelajaran matematika doang.</t>
  </si>
  <si>
    <t>Pejabat : Gaji dapat. Tunjangan dapat. Tp masih kurang.Rakyat : Pajak harus. Bantuan di potong. Kerja harian ada ppkm.G pake masker kena denda. Enaknya jd pejabat di indonesia. Bisanya cuma ngandalin pelajaran matematika doang.</t>
  </si>
  <si>
    <t>Haha baru ini nemu plesetan singkatan PPKM teranjing ngawur banget 🤣😭</t>
  </si>
  <si>
    <t>Haha baru ini nemu plesetan singkatan PPKM teranjing ngawur banget</t>
  </si>
  <si>
    <t>@tempodotco Bakalan diperpanjang lagi nih ppkm</t>
  </si>
  <si>
    <t>Bakalan diperpanjang lagi nih ppkm</t>
  </si>
  <si>
    <t>@iyalinut Bismillah habis ppkm gass🏃🏃🏃</t>
  </si>
  <si>
    <t>Bismillah habis ppkm gass</t>
  </si>
  <si>
    <t>@ABSetyono @kemkominfo Mantap👍 
 Semangat kerja tetap menyala meski PPKM Darurat. 
 @kemkominfo 
 @PlateJohnny</t>
  </si>
  <si>
    <t>Mantap Semangat kerja tetap menyala meski PPKM Darurat.</t>
  </si>
  <si>
    <t>Jika PPKM hanya mampu membatasi pertemuan kita,percayalah Harta mampu membatasi hubungan kita.</t>
  </si>
  <si>
    <t>PPKM
 Pelan-Pelan Kita Marhata Sinamot</t>
  </si>
  <si>
    <t>PPKMPelan-Pelan Kita Marhata Sinamot</t>
  </si>
  <si>
    <t>PPKM diperpanjang bikin ga pulang".. Huhu</t>
  </si>
  <si>
    <t>Setuju PPKM Diperpanjang, Dasco: Demi Keselamatan Rakyat
 https://t.co/QvlVVh1QAd</t>
  </si>
  <si>
    <t>Setuju PPKM Diperpanjang, Dasco: Demi Keselamatan Rakyat</t>
  </si>
  <si>
    <t>Mantap👍 
 Semangat kerja tetap menyala meski PPKM Darurat. 
 @kemkominfo 
 @PlateJohnny https://t.co/UyN1gx6LV3</t>
  </si>
  <si>
    <t>ppkm masih lama y,,,
 saya pgn siomay batagor di depan untag,,</t>
  </si>
  <si>
    <t>ppkm masih lama y,,,saya pgn siomay batagor di depan untag,,</t>
  </si>
  <si>
    <t>@Moch_herianto @Pak_JK Pak @Pak_JK sebenarnya sanggup beri donasi besar, minimal Ratusan Milyar lah kalau dari kekayaannya. Tinggal tunggu ada malaikat yg berbisik untuk menggerakan. Mungkin malaikatnya masih kena PPKM, belum bisa datang.</t>
  </si>
  <si>
    <t>"Loh nikah pas ppkm?. Awas ditindak loh dikeluarga kita ada satgas covid."
 Ya emng yang tau mas ari aja si wkwk. Liat sikonnya dulu nanti kalo banyak bgt siap2 datengin lurahnya aja sie wkwk.</t>
  </si>
  <si>
    <t>"Loh nikah pas ppkm?. Awas ditindak loh dikeluarga kita ada satgas covid."Ya emng yang tau mas ari aja si wkwk. Liat sikonnya dulu nanti kalo banyak bgt siap2 datengin lurahnya aja sie wkwk.</t>
  </si>
  <si>
    <t>@CNNIndonesia Yang dpt bansos ppkm juga gk merata apa gimana ya 😂</t>
  </si>
  <si>
    <t>Yang dpt bansos ppkm juga gk merata apa gimana ya</t>
  </si>
  <si>
    <t>PPKM tidak memutus penularan covid19,tapi memutuskan mata pencaharian... https://t.co/pUg1BFnk0I</t>
  </si>
  <si>
    <t>PPKM tidak memutus penularan covid19,tapi memutuskan mata pencaharian...</t>
  </si>
  <si>
    <t>Wakil gubernur DKI Jakarta menyatakan bahwa untuk akad nikah di wilayah DKI Jakarta, selama PPKM level 4 berlangsung,baik kedua mempelai, keluarga kedua mempelai dan tamu undangan harus wajib vaksinasi Covid-19 minimal dosis pertama dan menunjukkan kartu vaksin sebelum akad nikah</t>
  </si>
  <si>
    <t>Wakil gubernur DKI Jakarta menyatakan bahwa untuk akad nikah di wilayah DKI Jakarta, selama PPKM level berlangsung,baik kedua mempelai, keluarga kedua mempelai dan tamu undangan harus wajib vaksinasi Covid-19 minimal dosis pertama dan menunjukkan kartu vaksin sebelum akad nikah</t>
  </si>
  <si>
    <t>Sebagian orang bertanya "bagaimana kita bisa makan dalam waktu 20 menit?"
 Sebagian lagi hanya bertanya "bagaimana besok kita bisa makan?"
 Realitas PPKM.</t>
  </si>
  <si>
    <t>Sebagian orang bertanya "bagaimana kita bisa makan dalam waktu menit?"Sebagian lagi hanya bertanya "bagaimana besok kita bisa makan?"Realitas PPKM.</t>
  </si>
  <si>
    <t>Masih belum puncaknya.
 Mari kita bantu pemerintah untuk buat istilah baru pengganti PPKM.
 Karena solusinya tidak ada lain kecuali ganti istilah.
 https://t.co/c1SQ21zppv</t>
  </si>
  <si>
    <t>Masih belum puncaknya.Mari kita bantu pemerintah untuk buat istilah baru pengganti PPKM.Karena solusinya tidak ada lain kecuali ganti istilah.</t>
  </si>
  <si>
    <t>PPKM diperpanjang aja trs pusing sm PR Dp Dp kleaannn🥺 #ExpoSurabaya #expojakpus #ExpoJAKSEL 
 Mohon bersabar:’)</t>
  </si>
  <si>
    <t>PPKM diperpanjang aja trs pusing sm PR Dp Dp kleaannn Mohon bersabar</t>
  </si>
  <si>
    <t>@detikcom money is king ..intinya ..ada uang semua boleh.walau negara lagi PPKM darurat .</t>
  </si>
  <si>
    <t>money is king ..intinya ..ada uang semua boleh.walau negara lagi PPKM darurat .</t>
  </si>
  <si>
    <t>PPKM level 4
 #SalingJagaBansos #JagaPDKawalDemokrasi Vaksinasi Jaga Kesehatan #PakdeMudikAja #TenggelamkanDemokrat2024 Koruptor https://t.co/EM4Gr6QmkX</t>
  </si>
  <si>
    <t>PPKM level Vaksinasi Jaga Kesehatan Koruptor</t>
  </si>
  <si>
    <t>Sudah 26 Hari PPKM
 Indonesia masih berada di Top Tier
 Tak berdaya atau tak berguna?
 #LurahEndGame
 #LurahEndGame https://t.co/KEv0l8bk0W</t>
  </si>
  <si>
    <t>Sudah Hari PPKMIndonesia masih berada di Top TierTak berdaya atau tak berguna?</t>
  </si>
  <si>
    <t>@cathydjaya Kesadaran masyarakatnya rendah sekali untuk vaksin, makanya lelet, banyak penolakan vaksin tapi pas ada bansos antri paling depan, pspb ppkm dlsb dimainkan gak bisa makan, apalagi sekedar pakai masker</t>
  </si>
  <si>
    <t>Kesadaran masyarakatnya rendah sekali untuk vaksin, makanya lelet, banyak penolakan vaksin tapi pas ada bansos antri paling depan, pspb ppkm dlsb dimainkan gak bisa makan, apalagi sekedar pakai masker</t>
  </si>
  <si>
    <t>PPKM = Pelan Pelan Kurnia Manggala</t>
  </si>
  <si>
    <t>me before PPKM : supply barang" aesthetic ke toko souvenir dan punya consigner
 me during PPKM : tidooorrr seharian, cuma ngerjain orderan custom. kalo ada syukur, kalo kaga yaudeh bye. https://t.co/fQoRyxlyto</t>
  </si>
  <si>
    <t>me before PPKM : supply barang" aesthetic ke toko souvenir dan punya consignerme during PPKM : tidooorrr seharian, cuma ngerjain orderan custom. kalo ada syukur, kalo kaga yaudeh bye.</t>
  </si>
  <si>
    <t>Support system terbaik selama ppkm adalah makanan✨</t>
  </si>
  <si>
    <t>Support system terbaik selama ppkm adalah makanan</t>
  </si>
  <si>
    <t>Demi menuju kehidupan damai aman sentosa dan terhindar dari segala bentuk penyakit perusak bangsa ini..maka kita waspada kawal terus pemeritahan jokowi.
 Patuhui PPKM tetap jalankan Prokes..semoga Covid cepat sirna dari Negeri ini.
 Drun mati sajalah !!! https://t.co/Quu6Kg7gEZ</t>
  </si>
  <si>
    <t>Demi menuju kehidupan damai aman sentosa dan terhindar dari segala bentuk penyakit perusak bangsa ini..maka kita waspada kawal terus pemeritahan jokowi.Patuhui PPKM tetap jalankan Prokes..semoga Covid cepat sirna dari Negeri ini.Drun mati sajalah !!!</t>
  </si>
  <si>
    <t>Ppkm selesai gua pen cuddle ampe asma pokoknya🥰</t>
  </si>
  <si>
    <t>Ppkm selesai gua pen cuddle ampe asma pokoknya</t>
  </si>
  <si>
    <t>@prckll @narkoab @dlembut Yaelah ppkm ppkm</t>
  </si>
  <si>
    <t>Yaelah ppkm ppkm</t>
  </si>
  <si>
    <t>@silihungg @ezkisuyanto kalo lo baca pernyataan menkes minggu lalu, dia bilang dia bahkan ga punya kontrol. then who? might be luhut, or others. yang jelas itu kejadian ada di pulau jawa, di masa ppkm. luhut penanggungjawabnya.</t>
  </si>
  <si>
    <t>kalo lo baca pernyataan menkes minggu lalu, dia bilang dia bahkan ga punya kontrol. then who? might be luhut, or others. yang jelas itu kejadian ada di pulau jawa, di masa ppkm. luhut penanggungjawabnya.</t>
  </si>
  <si>
    <t>Pejuang Desa KU🏵️
 Mendukung PPKM: Pembangunan Pemberdayaan
 Kepentingan Masyarakat 
 @jokowi @halimiskandarnu
 @malik_haramain
  @yusradaridesa
 @taufikmadjid71
 @fachrilabalado 
 @SukoyoKasekpro
 @Brigade01Arwan1
 @tppkemendes @cik_mashuri
 @BerandadesaID @Ibnuwalidin_lpg 
 @TppLampung https://t.co/iI1J5VkUPd</t>
  </si>
  <si>
    <t>Pejuang Desa KUMendukung PPKM: Pembangunan PemberdayaanKepentingan Masyarakat</t>
  </si>
  <si>
    <t>[bgr] mau nanya, ada yang pernah naik krl pas ppkm? Nanti aku mau nanya2, makasih yaaa</t>
  </si>
  <si>
    <t>@beckobek Ketat bgt kek ppkm</t>
  </si>
  <si>
    <t>Ketat bgt kek ppkm</t>
  </si>
  <si>
    <t>@SBYudhoyono Makanya bantu pemerintah juga pak, setidaknya tiru lah partai lain yg ikut menggalakkan vaksinasi, dan bantu RS dg oksigen ventilator, mendukung PPKM spy tdk banyak lagi korban CoVid19.
 Jangan malah kadernya bikin gaduh. 
 Krn Ada aksi pasti ada reaksi!</t>
  </si>
  <si>
    <t>Makanya bantu pemerintah juga pak, setidaknya tiru lah partai lain yg ikut menggalakkan vaksinasi, dan bantu RS dg oksigen ventilator, mendukung PPKM spy tdk banyak lagi korban CoVid19.Jangan malah kadernya bikin gaduh. Krn Ada aksi pasti ada reaksi!</t>
  </si>
  <si>
    <t>Andi arief sdh kehabisan akal.rekam jejak kalian sdh terang benderang.malah gali kubur petetang peteteng.rakyat sdh sadar n waras.covid nyata ppkm hrs.mrk sadar kondisi rkyt mmang https://t.co/ooesfVHVQL demo menciptakan klaster baru mempanjang derita mrk https://t.co/VREZAFztzr</t>
  </si>
  <si>
    <t>Andi arief sdh kehabisan akal.rekam jejak kalian sdh terang benderang.malah gali kubur petetang peteteng.rakyat sdh sadar n waras.covid nyata ppkm hrs.mrk sadar kondisi rkyt mmang demo menciptakan klaster baru mempanjang derita mrk</t>
  </si>
  <si>
    <t>@fadlizon Mana buat aturan syarat perjalanan harus ada Sertifikat Vaksin. Udah banyak rakyat rugi berjuta-juta akibat aturan ini. Apalagi yang sedang berada di daerah orang. Mau vaksin terkendala syarat domisili. Mau pulang ditahan di bandara. Tiket, PCR hangus. Pekerjaan hilang. #ppkm</t>
  </si>
  <si>
    <t>Mana buat aturan syarat perjalanan harus ada Sertifikat Vaksin. Udah banyak rakyat rugi berjuta-juta akibat aturan ini. Apalagi yang sedang berada di daerah orang. Mau vaksin terkendala syarat domisili. Mau pulang ditahan di bandara. Tiket, PCR hangus. Pekerjaan hilang.</t>
  </si>
  <si>
    <t>@narkosun Tenang hidupnya mas ini.,serba kecukupan,,mau PPKM level 1,2,3,4 bahkan sampe level dewa pun Tetap Tenang ...😨</t>
  </si>
  <si>
    <t>Tenang hidupnya mas ini.,serba kecukupan,,mau PPKM level bahkan sampe level dewa pun Tetap Tenang ...</t>
  </si>
  <si>
    <t>@taspen Min, ayah saya dapat surat buat rekam data (wajah, sidik jari dll) untuk otentifikasi taspen. Kalau beliau sakit dan ada PPKM gini gimana caranya ke taspen? Ada alternatif lain?</t>
  </si>
  <si>
    <t>Min, ayah saya dapat surat buat rekam data (wajah, sidik jari dll) untuk otentifikasi taspen. Kalau beliau sakit dan ada PPKM gini gimana caranya ke taspen? Ada alternatif lain?</t>
  </si>
  <si>
    <t>@Rizmaya__ @SBYudhoyono @PDemokrat Sby merasa, pemimpin udah mulai melenceng, makanya perlu bimbingan. Dan negara udah mulai hancur, makanya perlu di selamatkan. Kasus meninggal dan yg terpapar masih tinggi, padahal ppkm darurat berlevel level. Tinggal nunggu para buzzer mati, https://t.co/5c4G2Dh6HJ</t>
  </si>
  <si>
    <t>Sby merasa, pemimpin udah mulai melenceng, makanya perlu bimbingan. Dan negara udah mulai hancur, makanya perlu di selamatkan. Kasus meninggal dan yg terpapar masih tinggi, padahal ppkm darurat berlevel level. Tinggal nunggu para buzzer mati,</t>
  </si>
  <si>
    <t>Efek PPKM 
 @Serdadutwitwar @harisXocot https://t.co/oZkKWyXGl0</t>
  </si>
  <si>
    <t>@yiyakdocx seru bgt negara lain dah konser kita masih ribut ppkm level berapa</t>
  </si>
  <si>
    <t>seru bgt negara lain dah konser kita masih ribut ppkm level berapa</t>
  </si>
  <si>
    <t>Sodara dari ayahh pada gila semua rata2 jikah dibawah umur like umur 21 woyyyy sepantaran dh nikah? Nikahnya pas ppkm gini lagi. Gilaa berani bgt. Pdhl dua2nya financialnya belom stabil woyy yqng laki kerja serabutan dan biaya nikahnya masi ditanggung orgtua si cowo. Wkwkw gilaa</t>
  </si>
  <si>
    <t>Sodara dari ayahh pada gila semua rata2 jikah dibawah umur like umur woyyyy sepantaran dh nikah? Nikahnya pas ppkm gini lagi. Gilaa berani bgt. Pdhl dua2nya financialnya belom stabil woyy yqng laki kerja serabutan dan biaya nikahnya masi ditanggung orgtua si cowo. Wkwkw gilaa</t>
  </si>
  <si>
    <t>Ppkm cepet kelar plis gue mau ke jogjaaaaaaaaaaaaa kerjaan gue biar maksimal pls😡</t>
  </si>
  <si>
    <t>Ppkm cepet kelar plis gue mau ke jogjaaaaaaaaaaaaa kerjaan gue biar maksimal pls</t>
  </si>
  <si>
    <t>@SINDOnews Yg Dibutuhkan segera BANSOS tuk PEDAGANG USAHAWAN NGANGGUR yg terdampak tersisolir PSBB/PPKM. Yg Keluar malah Tambahan TUNJANGAN UTUK PNS TNI POLRI (yg punya gaji tetap rutin) Yg dibutuhkan DANA tuk ALKES &amp;amp; PENUNJANG KESEHATAN malah yang keluar DANA PENGADAAN LAPTOP.</t>
  </si>
  <si>
    <t>Yg Dibutuhkan segera BANSOS tuk PEDAGANG USAHAWAN NGANGGUR yg terdampak tersisolir PSBB/PPKM. Yg Keluar malah Tambahan TUNJANGAN UTUK PNS TNI POLRI (yg punya gaji tetap rutin) Yg dibutuhkan DANA tuk ALKES &amp;amp; PENUNJANG KESEHATAN malah yang keluar DANA PENGADAAN LAPTOP.</t>
  </si>
  <si>
    <t>PPKM= Pagi Pagi Kita Makan
 -sarapan</t>
  </si>
  <si>
    <t>PPKM= Pagi Pagi Kita Makan-sarapan</t>
  </si>
  <si>
    <t>Ppkm kapan selese???</t>
  </si>
  <si>
    <t>@goresanlama PPKM pada discon ya, selain promo toko sama brand masa hukuman juga di discon🙃</t>
  </si>
  <si>
    <t>PPKM pada discon ya, selain promo toko sama brand masa hukuman juga di discon</t>
  </si>
  <si>
    <t>Kata pakarnya ttg PPKM.... ☝️ https://t.co/XbNCrycaxE</t>
  </si>
  <si>
    <t>Kata pakarnya ttg PPKM....</t>
  </si>
  <si>
    <t>@geloraco Rakyatmu menangis pak Prabowo,. Bonsos di korupsi,.. PPKM di perpanjang cuma ganti nama doang,... Ekonomi Smakin terpuruk,....utang rakyat semakin gede... Banyak kriminalitas yang terjadi. Dimana rasa empati bapak. 😭</t>
  </si>
  <si>
    <t>Rakyatmu menangis pak Prabowo,. Bonsos di korupsi,.. PPKM di perpanjang cuma ganti nama doang,... Ekonomi Smakin terpuruk,....utang rakyat semakin gede... Banyak kriminalitas yang terjadi. Dimana rasa empati bapak.</t>
  </si>
  <si>
    <t>@infojakarta Lagian ini jg lg pelonggaran dikit2 kok, dimulai dr yg kecil dulu udh bener kok, pasar dulu baru plaza kemudian, warteg dulu baru rumah makan baru nanti pujasera. Kalau langsung dilonggarkan semua ya gak guna itu PPKM darurat.</t>
  </si>
  <si>
    <t>Lagian ini jg lg pelonggaran dikit2 kok, dimulai dr yg kecil dulu udh bener kok, pasar dulu baru plaza kemudian, warteg dulu baru rumah makan baru nanti pujasera. Kalau langsung dilonggarkan semua ya gak guna itu PPKM darurat.</t>
  </si>
  <si>
    <t>@ganjarpranowo Insaloh di Desa kami patuh jga aman tp yg jdi kluh kesah warga petani sayur pk krna ppkm bahan bakunya mahal dari obat bibit maupun pupuk pk gub tp hsil panenya murah sekali bhkan sgat sulit untuk mngblikan modalnya krna ga bnyk yg beli pk</t>
  </si>
  <si>
    <t>Insaloh di Desa kami patuh jga aman tp yg jdi kluh kesah warga petani sayur pk krna ppkm bahan bakunya mahal dari obat bibit maupun pupuk pk gub tp hsil panenya murah sekali bhkan sgat sulit untuk mngblikan modalnya krna ga bnyk yg beli pk</t>
  </si>
  <si>
    <t>Rambutku sudah botax gaes… Karena PPKM gak jadi nunggu aqiqahan deh. Cukur rambut gak ke salon #dirumahaja #kayraaureliaafriansyah @ Kebayoran Residence, Bintaro https://t.co/3mnTUeGUiF</t>
  </si>
  <si>
    <t>Rambutku sudah botax gaes Karena PPKM gak jadi nunggu aqiqahan deh. Cukur rambut gak ke salon Kebayoran Residence, Bintaro</t>
  </si>
  <si>
    <t>Sarapan ala ppkm https://t.co/nmBdXeeW9u</t>
  </si>
  <si>
    <t>Sarapan ala ppkm</t>
  </si>
  <si>
    <t>moots aku positif c0v1d HUHAHAHAHAHAH KAGET SIE TAPI GIMANA LAGI YAUDA, sekarang cumq bisa isoman, minum vitamin, konsul dokter, dan tetep taat prokes. Aku kenanya karena one of my fam members kena, soalnya selama PPKM aku beneran cuma dirumah aja WKWKW</t>
  </si>
  <si>
    <t>@kompascom Kan udah ada PSBB, PPKM , PPKM darurat level 4 , PPKM level 5 pedas menggilas ,itu terbukti efektif dan efisien dari segi anggaran.. 🤪</t>
  </si>
  <si>
    <t>Kan udah ada PSBB, PPKM , PPKM darurat level , PPKM level pedas menggilas ,itu terbukti efektif dan efisien dari segi anggaran..</t>
  </si>
  <si>
    <t>@AntonTenabang02 Perpanjangan PPKM, membuat rakyat Pelan Pelan Kian Merana.
 #LurahEndGame</t>
  </si>
  <si>
    <t>Perpanjangan PPKM, membuat rakyat Pelan Pelan Kian Merana.</t>
  </si>
  <si>
    <t>@99XUXIBAE KOK AMIN SI? EMANG APA YG DIPERPANJANG? PPKM? JANGAN DONK 😭😭🤌</t>
  </si>
  <si>
    <t>KOK AMIN SI? EMANG APA YG DIPERPANJANG? PPKM? JANGAN DONK</t>
  </si>
  <si>
    <t>Komedi hari ini: liat tulisan "pencarian rumah penghina keluarga *** di sosial media"
 Gilz,
 Lagi pPkM sempet2nya ke luar provinsi. Wkwkwk</t>
  </si>
  <si>
    <t>Komedi hari ini: liat tulisan "pencarian rumah penghina keluarga *** di sosial media"Gilz,Lagi pPkM sempet2nya ke luar provinsi. Wkwkwk</t>
  </si>
  <si>
    <t>@txtdrkuliner Berarti temen saya ppkm dari tahun 2012
 https://t.co/C8RRW4ENT4</t>
  </si>
  <si>
    <t>Berarti temen saya ppkm dari tahun</t>
  </si>
  <si>
    <t>@astgfirullahhh ngga tau deh kalo itu, soalnya lagi ppkm juga kalo skrg</t>
  </si>
  <si>
    <t>ngga tau deh kalo itu, soalnya lagi ppkm juga kalo skrg</t>
  </si>
  <si>
    <t>PPKM 
 Pemkot Suriah : "Ah, waktu yang tepat untuk menggusur kios liar."</t>
  </si>
  <si>
    <t>PPKM Pemkot Suriah : "Ah, waktu yang tepat untuk menggusur kios liar."</t>
  </si>
  <si>
    <t>Plis lah 17 agustus kelar ppkm jawa bali. Or seenggaknya kasih kelonggaran buat transportasi udara. Sedih bgt kalo gagal resepsi, gagal juga honeymoon😢😢😢</t>
  </si>
  <si>
    <t>Plis lah agustus kelar ppkm jawa bali. Or seenggaknya kasih kelonggaran buat transportasi udara. Sedih bgt kalo gagal resepsi, gagal juga honeymoon</t>
  </si>
  <si>
    <t>Bar ppkm lah https://t.co/j3R6ZySiJU</t>
  </si>
  <si>
    <t>Bar ppkm lah</t>
  </si>
  <si>
    <t>karena PPKM, uda lama ga ketemu shinta,, sampe bilang kangen...
 kangen apanya nih shin? sampe scroll chat chat lama
 kalo pengen bilang aja,</t>
  </si>
  <si>
    <t>karena PPKM, uda lama ga ketemu shinta,, sampe bilang kangen...kangen apanya nih shin? sampe scroll chat chat lamakalo pengen bilang aja,</t>
  </si>
  <si>
    <t>PPKM level 4 https://t.co/RHOhhqXvej
 #SalingJagaBansos 
 Vaksinasi Jaga Kesehatan 
 Jakarta</t>
  </si>
  <si>
    <t>PPKM level Vaksinasi Jaga Kesehatan Jakarta</t>
  </si>
  <si>
    <t>@aiyu_asayaka Kata pakarnya ppkm.. ☝️ https://t.co/Nl2EOz4BIU</t>
  </si>
  <si>
    <t>Kata pakarnya ppkm..</t>
  </si>
  <si>
    <t>@MN_Ariefin Sikaat aja mang ga ush peduli ppkm 😂😂😂</t>
  </si>
  <si>
    <t>Sikaat aja mang ga ush peduli ppkm</t>
  </si>
  <si>
    <t>@SBYudhoyono Klo Pak SBY menjadi Presiden, kira2 apa yang akan dilakukan dalam situadi pendemic spt saat ini dan tahun lalu? Apakah sama atau berbeda inisiatifnya dg pemerintah skrg? Apakah lockdown spt negara lain, apakah PSBB/PPKM spt negara kita atau dibiarkan bebas spt tdk ada covid?</t>
  </si>
  <si>
    <t>Klo Pak SBY menjadi Presiden, kira2 apa yang akan dilakukan dalam situadi pendemic spt saat ini dan tahun lalu? Apakah sama atau berbeda inisiatifnya dg pemerintah skrg? Apakah lockdown spt negara lain, apakah PSBB/PPKM spt negara kita atau dibiarkan bebas spt tdk ada covid?</t>
  </si>
  <si>
    <t>Artinya, siklus PPKM TUTUP MENUTUP akan terus berulang. 
 Yaa siklus masyarakat koar² bangkrut akan lbh banyak dan berulang. 
 Solusinya apa, PROKES yang 5M. 
 Lindungi CONGORMU dari ludah orang lain karena NGOMONG itu NYIPRAT bos.</t>
  </si>
  <si>
    <t>Artinya, siklus PPKM TUTUP MENUTUP akan terus berulang. Yaa siklus masyarakat koar bangkrut akan lbh banyak dan berulang. Solusinya apa, PROKES yang M. Lindungi CONGORMU dari ludah orang lain karena NGOMONG itu NYIPRAT bos.</t>
  </si>
  <si>
    <t>@Sucisilviaeff Curhat dooong. Ppkm anjiirr</t>
  </si>
  <si>
    <t>Curhat dooong. Ppkm anjiirr</t>
  </si>
  <si>
    <t>PPKM cepatlah berlalu</t>
  </si>
  <si>
    <t>@decafred1 tidur dulu, siapa tau bangun tidur ppkm selesai 😄</t>
  </si>
  <si>
    <t>tidur dulu, siapa tau bangun tidur ppkm selesai</t>
  </si>
  <si>
    <t>seumpama 2019 yg menang 02, kira2 prabowo sandi dihadapkan dgn pandemi gini, sigap ,cekatan,fokus apa sama dgn yg skrg ya?, lamban, ppkm berjilid2, tiap minggu perpanjangan,....#PakdeMudikAja</t>
  </si>
  <si>
    <t>seumpama yg menang , kira2 prabowo sandi dihadapkan dgn pandemi gini, sigap ,cekatan,fokus apa sama dgn yg skrg ya?, lamban, ppkm berjilid2, tiap minggu perpanjangan,....</t>
  </si>
  <si>
    <t>@tvOneNews Ya udh jgn ada PPKM !! Ngapain pemerintah lu nyuruh orng2 PPKM.. !! Kontol jg lu ded.. !!</t>
  </si>
  <si>
    <t>Ya udh jgn ada PPKM !! Ngapain pemerintah lu nyuruh orng2 PPKM.. !! Kontol jg lu ded.. !!</t>
  </si>
  <si>
    <t>@VIVAcoid Itu PM ostrali ga tau istilah PSBB PPKM ?</t>
  </si>
  <si>
    <t>Itu PM ostrali ga tau istilah PSBB PPKM ?</t>
  </si>
  <si>
    <t>Ppkm hanya menghalangi langkahmu bukan riskimu.</t>
  </si>
  <si>
    <t>Saat ppkm begini kerja jadi enak banget cuman dateng absen nyari lapak terus tidur dah sampe pulang.</t>
  </si>
  <si>
    <t>@alfonsus73 selesai ppkm ke jakarta bro</t>
  </si>
  <si>
    <t>selesai ppkm ke jakarta bro</t>
  </si>
  <si>
    <t>Yg dihujat karena menerapkan ppkm Jokowi, yg dipuji karena ppkm berhasil menurunkan kasus covid-19 Anis.....#errorbrain🤣🤣🤣</t>
  </si>
  <si>
    <t>Yg dihujat karena menerapkan ppkm Jokowi, yg dipuji karena ppkm berhasil menurunkan kasus covid-19 Anis.....</t>
  </si>
  <si>
    <t>PPKM darurat ini akan diperpanjang atau tidak? Kalau diperpanjang, sampai kapan? https://t.co/U18arxwaeS</t>
  </si>
  <si>
    <t>PPKM darurat ini akan diperpanjang atau tidak? Kalau diperpanjang, sampai kapan?</t>
  </si>
  <si>
    <t>Gak dibolehin ikut SM mas😭 tp kalo ikut ribet juga si...😭ppkm oh ppkm. #harus tetep bersyukur🌼</t>
  </si>
  <si>
    <t>Gak dibolehin ikut SM mas tp kalo ikut ribet juga si...ppkm oh ppkm. tetep bersyukur</t>
  </si>
  <si>
    <t>@mantennyajin padahal ga ppkm tapi ga tau juga sih</t>
  </si>
  <si>
    <t>padahal ga ppkm tapi ga tau juga sih</t>
  </si>
  <si>
    <t>ppkm ngaruh ga sii, kok paket lama bgt nyampenyaaaa</t>
  </si>
  <si>
    <t>@sgblackcard Msh PPKM ya ay di daerah mu?</t>
  </si>
  <si>
    <t>Msh PPKM ya ay di daerah mu?</t>
  </si>
  <si>
    <t>kebijakan PPKM level 4 adalah untuk membatasi mobilitas orang demi mencegah penularan COVID-19. Kondisi ini harus diwaspadai, jangan sampai ledakan kasus terulang lagi.
 #RedamPandemiJagaNKRI
 https://t.co/JtXwQc9bbU</t>
  </si>
  <si>
    <t>kebijakan PPKM level adalah untuk membatasi mobilitas orang demi mencegah penularan COVID-19. Kondisi ini harus diwaspadai, jangan sampai ledakan kasus terulang lagi.://</t>
  </si>
  <si>
    <t>Salah satu tujuan memperpanjang PPKM Level 4, dari 26 Juli hingga 2 Agustus 2021. 
 yaitu untuk menekan angka kematian pasien Covid-19.
 Jaga dirimu,keluargamu,tetap patuhi aturan yg berjalan,untuk kebaikan kita semua.
 #RedamPandemiJagaNKRI https://t.co/vjmYqmjwc4</t>
  </si>
  <si>
    <t>Salah satu tujuan memperpanjang PPKM Level , dari Juli hingga Agustus . yaitu untuk menekan angka kematian pasien Covid-19.Jaga dirimu,keluargamu,tetap patuhi aturan yg berjalan,untuk kebaikan kita semua.</t>
  </si>
  <si>
    <t>Tentu saja penerapan PPKM Level 4 yg di lakukan oleh Pemerintah penuh dengan perhitungan yg matang dan mempertimbangkan aspek kesehatan ...ekonomi...dlm dinamika sosial masyarakat...
 #RedamPandemiJagaNKRI 
 Satukan tekad utk melawan kopid dan menjaga NKRI ... https://t.co/YiV0XnVJdS</t>
  </si>
  <si>
    <t>Tentu saja penerapan PPKM Level yg di lakukan oleh Pemerintah penuh dengan perhitungan yg matang dan mempertimbangkan aspek kesehatan ...ekonomi...dlm dinamika sosial masyarakat... Satukan tekad utk melawan kopid dan menjaga NKRI ...</t>
  </si>
  <si>
    <t>Euforia terhadap pelonggaran di sejumlah sektor mulai terlihat, meski kebijakan PPKM level 4 untuk membatasi mobilitas orang demi mencegah penularan COVID-19. 
 Kondisi ini harus diwaspadai, jangan sampai ledakan kasus terulang lagi,
 #RedamPandemiJagaNKRI
 https://t.co/1H09G76M1A</t>
  </si>
  <si>
    <t>Euforia terhadap pelonggaran di sejumlah sektor mulai terlihat, meski kebijakan PPKM level untuk membatasi mobilitas orang demi mencegah penularan COVID-19. Kondisi ini harus diwaspadai, jangan sampai ledakan kasus terulang lagi,://</t>
  </si>
  <si>
    <t>Sebenarnya wabah ini sudah ada jalan keluarnya. Tapi berhubung masih ada PPKM jadi belum bisa :)
 Oyi</t>
  </si>
  <si>
    <t>Sebenarnya wabah ini sudah ada jalan keluarnya. Tapi berhubung masih ada PPKM jadi belum bisa yi</t>
  </si>
  <si>
    <t>Pemerintah memperpanjang PPKM pasti sudah di perhitungkan baik dan buruknya, kita sebagai rakyat hanya harus mematuhi kebijakan yg sudah berlalu, untuk menghilangkan covit mudah, butuh kerja sama antara rakyat dn pemerintah
 #RedamPandemiJagaNKRI https://t.co/F4Rb0oR37S</t>
  </si>
  <si>
    <t>Pemerintah memperpanjang PPKM pasti sudah di perhitungkan baik dan buruknya, kita sebagai rakyat hanya harus mematuhi kebijakan yg sudah berlalu, untuk menghilangkan covit mudah, butuh kerja sama antara rakyat dn pemerintah</t>
  </si>
  <si>
    <t>Pagi Pagi Kena Marah (PPKM)</t>
  </si>
  <si>
    <t>@KutipanBuku___ Gara2 ppkm terkutuk 😭</t>
  </si>
  <si>
    <t>Gara2 ppkm terkutuk</t>
  </si>
  <si>
    <t>@mochimoio kayaknya gara gara ppkm</t>
  </si>
  <si>
    <t>kayaknya gara gara ppkm</t>
  </si>
  <si>
    <t>adanya ini wkwk jarang foto2 skrg mah🙃 btw ini sblm ppkm https://t.co/eaGISaCqlZ https://t.co/KW538zoP2k</t>
  </si>
  <si>
    <t>adanya ini wkwk jarang foto2 skrg mah btw ini sblm ppkm</t>
  </si>
  <si>
    <t>@ayylaffyyuu_ Udh berasa kek boncabe
 Pedes + bikin sesek
 Seseknya bukan krn korona, justru krn ppkm berlevel jadi nyesek :v</t>
  </si>
  <si>
    <t>Udh berasa kek boncabePedes + bikin sesekSeseknya bukan krn korona, justru krn ppkm berlevel jadi nyesek :v</t>
  </si>
  <si>
    <t>Selamat pagi dari kawasan PPKM level 4
 #SetorFotoPio 
 @piokharisma https://t.co/5w4xkWV8bj</t>
  </si>
  <si>
    <t>Selamat pagi dari kawasan PPKM level</t>
  </si>
  <si>
    <t>Aturan #ppkm tentang vaksin sebagai syarat perjalanan benar-benar menjadi penindasan terselubung bagi mereka yang terjebak di daerah orang. Tdk bisa vaksin dg alasan domisili. Tiket, PCR hangus.</t>
  </si>
  <si>
    <t>Aturan tentang vaksin sebagai syarat perjalanan benar-benar menjadi penindasan terselubung bagi mereka yang terjebak di daerah orang. Tdk bisa vaksin dg alasan domisili. Tiket, PCR hangus.</t>
  </si>
  <si>
    <t>Waktu terus berjalan Saya tidak ingin egois memaksakan untuk membangun Ponpes dengan menggalang dana ,tapi bagaimana bisa membantu saudara kita juga yg kesulitan dampak PPKM
 Setelah surat untuk nembangun Ponpes selesai saya mengajukan proposal ke pengembang perumahan https://t.co/Ik0VnDLKXC</t>
  </si>
  <si>
    <t>Waktu terus berjalan Saya tidak ingin egois memaksakan untuk membangun Ponpes dengan menggalang dana ,tapi bagaimana bisa membantu saudara kita juga yg kesulitan dampak PPKMSetelah surat untuk nembangun Ponpes selesai saya mengajukan proposal ke pengembang perumahan</t>
  </si>
  <si>
    <t>Bingung bgt orang banding2in PPKM di indo sama lockdown di negara maju. Kaga mikir emang ada tukang cilok disono? Ya emang di indo banyakan yg hari ini cari uang buat makan hari ini</t>
  </si>
  <si>
    <t>Untung PPKM ada #Olympics</t>
  </si>
  <si>
    <t>Untung PPKM ada</t>
  </si>
  <si>
    <t>Batas PPKM adalah tgl 32 Juli... mungkin maksudnya PPKM ga bakal distop yak... kwkkk 🐸🔨 https://t.co/uOvEz1nI7p</t>
  </si>
  <si>
    <t>Batas PPKM adalah tgl Juli... mungkin maksudnya PPKM ga bakal distop yak... kwkkk</t>
  </si>
  <si>
    <t>@ahla_26 Woilaaaaa, kok bisa ya ppkm ufh kyak level pedes :v</t>
  </si>
  <si>
    <t>Woilaaaaa, kok bisa ya ppkm ufh kyak level pedes :v</t>
  </si>
  <si>
    <t>Kasus2 spt ini harus diusut. Wlo terlambat. Lbh baik drpd tdk sama sekali. Terlambat sdh dipotong. Juga trlambat penyaluran. PPKM hampir selsai. Baru disalurkan. https://t.co/IHvZPnA2pO</t>
  </si>
  <si>
    <t>Kasus2 spt ini harus diusut. Wlo terlambat. Lbh baik drpd tdk sama sekali. Terlambat sdh dipotong. Juga trlambat penyaluran. PPKM hampir selsai. Baru disalurkan.</t>
  </si>
  <si>
    <t>senam ngumpul ngumpul pas lagi ppkm gblg.</t>
  </si>
  <si>
    <t>@ayylaffyyuu_ Ketindihannya gacuma 1 kali gitu, kek PPKM sampai level 4 🤣</t>
  </si>
  <si>
    <t>Ketindihannya gacuma kali gitu, kek PPKM sampai level</t>
  </si>
  <si>
    <t>PPKM Mumet....☺️☺️ https://t.co/DgPHOS7dNx</t>
  </si>
  <si>
    <t>PPKM Mumet....</t>
  </si>
  <si>
    <t>tai banget deh nunggu ppkm kelar ternyata sidang yg harusnya offline jadi online💔</t>
  </si>
  <si>
    <t>tai banget deh nunggu ppkm kelar ternyata sidang yg harusnya offline jadi online</t>
  </si>
  <si>
    <t>Pelan pelan kamu menjauh PPKM kan</t>
  </si>
  <si>
    <t>@areuhooman Udah mah jauh terus ppkm pula kan :(</t>
  </si>
  <si>
    <t>Udah mah jauh terus ppkm pula kan</t>
  </si>
  <si>
    <t>@eT3keWerNy3ng1r Kenapa nunggu esok? PPKM level kan dah mo berakhir, tp nggak tau ganti nama apalagi
 #LurahEndGame</t>
  </si>
  <si>
    <t>Kenapa nunggu esok? PPKM level kan dah mo berakhir, tp nggak tau ganti nama apalagi</t>
  </si>
  <si>
    <t>@0whaja Kelar ppkm gas yaa</t>
  </si>
  <si>
    <t>Kelar ppkm gas yaa</t>
  </si>
  <si>
    <t>@henrysubiakto Kalau dana utk memelihara buzzeRp dialihkan ke dana untuk membiayai rakyat yang kesusahan krn PPKM berjilid2 juga alangkah baiknya ya.</t>
  </si>
  <si>
    <t>Kalau dana utk memelihara buzzeRp dialihkan ke dana untuk membiayai rakyat yang kesusahan krn PPKM berjilid2 juga alangkah baiknya ya.</t>
  </si>
  <si>
    <t>Ada PPKM aja udah absurd. https://t.co/3ImY0y0p0h</t>
  </si>
  <si>
    <t>Ada PPKM aja udah absurd.</t>
  </si>
  <si>
    <t>pihaknya ingin berbagi kepada masyarakat dan memberikan dampak positif dalam kondisi PPKM ini. https://t.co/wmwRw9J53U</t>
  </si>
  <si>
    <t>pihaknya ingin berbagi kepada masyarakat dan memberikan dampak positif dalam kondisi PPKM ini.</t>
  </si>
  <si>
    <t>Pemerintah dalam Subsidi upah sebesar Rp. 500.000 per bulan diberikan selama 2 bulan, kita bisa dapatkan dalam satu kali pencarian, sehingga akan ada Rp. 1juta ditangan.
 Kalau kamu tinggal di wilayah PPKM level 3-4 kamu akan mendapatkan subsidi upah sebesar Rp. 1.000.000 https://t.co/16B1vMu4wF</t>
  </si>
  <si>
    <t>Pemerintah dalam Subsidi upah sebesar Rp. per bulan diberikan selama bulan, kita bisa dapatkan dalam satu kali pencarian, sehingga akan ada Rp. juta ditangan.Kalau kamu tinggal di wilayah PPKM level $NUMBER$ kamu akan mendapatkan subsidi upah sebesar Rp.</t>
  </si>
  <si>
    <t>Akan ada sekitar 8 juta pekerja/buruh yang akan menerima subsidi upah dari pemerintah.
 Ada bantuan subsidi upah Rp. 1 juta untuk buruh/pekerja selama PPKM berlangsung.
 Yes dapur tetap ngebul. https://t.co/B6Zho93cPy</t>
  </si>
  <si>
    <t>Akan ada sekitar juta pekerja/buruh yang akan menerima subsidi upah dari pemerintah.Ada bantuan subsidi upah Rp. juta untuk buruh/pekerja selama PPKM berlangsung.Yes dapur tetap ngebul.</t>
  </si>
  <si>
    <t>Pemerintah memberikan bantuan subsidi upah selama PPKM diharapkan bisa mengurangi beban perusahaan dan pastinya berguna banget bagi pekerja/buruh.
 Kondisi keuangan kita bisa dijamin Kemenaker dengan subsidi upah selama Pandemi. Jadi tetap giat bekerja ya tetap semangat.</t>
  </si>
  <si>
    <t>Pemerintah memberikan bantuan subsidi upah selama PPKM diharapkan bisa mengurangi beban perusahaan dan pastinya berguna banget bagi pekerja/buruh.Kondisi keuangan kita bisa dijamin Kemenaker dengan subsidi upah selama Pandemi. Jadi tetap giat bekerja ya tetap semangat.</t>
  </si>
  <si>
    <t>@clue4clue Iyaa efek ppkm melaar AA😂</t>
  </si>
  <si>
    <t>Iyaa efek ppkm melaar AA</t>
  </si>
  <si>
    <t>@helmijun @gr3xck Dih gaya ngomong ppkm😏</t>
  </si>
  <si>
    <t>Dih gaya ngomong ppkm</t>
  </si>
  <si>
    <t>Cobain pak sini positif di kampung, betapa dikucilkan nya wkwk
 #Covid_19 #DPR #PPKM #PPKMLevel4 https://t.co/sOJkY6Lssj</t>
  </si>
  <si>
    <t>Cobain pak sini positif di kampung, betapa dikucilkan nya wkwk</t>
  </si>
  <si>
    <t>@thoriq_lalu @BaGGioSastro @Purwantosastro4 @DPR_RI PPKM di Mataram, mantau harus punya srt vaksin dan test PCR..😄</t>
  </si>
  <si>
    <t>PPKM di Mataram, mantau harus punya srt vaksin dan test PCR..</t>
  </si>
  <si>
    <t>@azizahlailiaa @gr3xck Wkwkwkwk lg PPKM jaga jarak🤣🤣</t>
  </si>
  <si>
    <t>Wkwkwkwk lg PPKM jaga jarak</t>
  </si>
  <si>
    <t>Sekretaris Asosiasi Persepatuan Indonesia (Aprisindo) Jatim, Ali Mas’ud menambahkan. PPKM tersebut tidak mengganggu kegiatan operasional pabrik</t>
  </si>
  <si>
    <t>Sekretaris Asosiasi Persepatuan Indonesia (Aprisindo) Jatim, Ali Masud menambahkan. PPKM tersebut tidak mengganggu kegiatan operasional pabrik</t>
  </si>
  <si>
    <t>@FWBESS Fsmg ngeroom yuk maybe after ppkm hehehe</t>
  </si>
  <si>
    <t>Fsmg ngeroom yuk maybe after ppkm hehehe</t>
  </si>
  <si>
    <t>@SF_Community_ @smartfrenworld Aku suka pake kuota mingguan atau harian kalau khabisan kuota heheh.. 
 Soalnya PPKM kebutuhan kuota melejit dan tak terduga 😊</t>
  </si>
  <si>
    <t>Aku suka pake kuota mingguan atau harian kalau khabisan kuota heheh.. Soalnya PPKM kebutuhan kuota melejit dan tak terduga</t>
  </si>
  <si>
    <t>@ruhutsitompul Sejahtra buat para pejabat dan cukong cukong...bagi rakyat kecil menjerit dan dengan ppkm seperti skrng ini...yg real skrng seperti ini negara indonesia</t>
  </si>
  <si>
    <t>Sejahtra buat para pejabat dan cukong cukong...bagi rakyat kecil menjerit dan dengan ppkm seperti skrng ini...yg real skrng seperti ini negara indonesia</t>
  </si>
  <si>
    <t>( PPKM )
 Pak Presiden Kapan Mundur
 ( PSBB )
 Presiden Selanjutnya Bapak Baswedan
 #LurahEndGame
 #LurahEndGame</t>
  </si>
  <si>
    <t>( PPKM )Pak Presiden Kapan Mundur( PSBB )Presiden Selanjutnya Bapak Baswedan</t>
  </si>
  <si>
    <t>@Lemp3r @callBaja @july_77a @45_fifi @permata2021 @M3ChaN_1 NTT aman tentram kak... lagi jalankan PPKM level 4 disini. Semoga kita semua sehat ya kak</t>
  </si>
  <si>
    <t>NTT aman tentram kak... lagi jalankan PPKM level disini. Semoga kita semua sehat ya kak</t>
  </si>
  <si>
    <t>@catatankaqihati @FerdinandHaean3 @jokowi bukan saja presiden dan para menterinya..semua institusi pemerintah turut berjasa mengamankan dan menjalankan PPKM..termasuk kepala daerah-TNI-Polri yang sudah bekerja siang-malam untuk mensukseskan PPKM</t>
  </si>
  <si>
    <t>bukan saja presiden dan para menterinya..semua institusi pemerintah turut berjasa mengamankan dan menjalankan PPKM..termasuk kepala daerah-TNI-Polri yang sudah bekerja siang-malam untuk mensukseskan PPKM</t>
  </si>
  <si>
    <t>Ppkm dine in di kasih waktu 20 menit, klo kita keluar warung terus masuk lagi apakah dapat tambahan waktu 20 menit lagi? 🤔</t>
  </si>
  <si>
    <t>Ppkm dine in di kasih waktu menit, klo kita keluar warung terus masuk lagi apakah dapat tambahan waktu menit lagi?</t>
  </si>
  <si>
    <t>Hampir 1 bln PPKM berlangsung,
 • rakyat makin terpuruk
 • aparat dibanyak tempat mlkukan kekerasan &amp;amp; intimidasi
 • BST/BLT yg dijanjikan nilainya sangat kecil dan telat
 Pdhal sdh masuk di bln ke 17 pandemi di negeri ini...5 bln lagi sdh milad ke-2th🤔
 #RejimGagalSegalanya https://t.co/BpKgkMpN6W</t>
  </si>
  <si>
    <t>Hampir bln PPKM berlangsung, rakyat makin terpuruk aparat dibanyak tempat mlkukan kekerasan &amp;amp; intimidasi BST/BLT yg dijanjikan nilainya sangat kecil dan telatPdhal sdh masuk di bln ke pandemi di negeri ini...5 bln lagi sdh milad ke-2th</t>
  </si>
  <si>
    <t>PPKM DARURAT Bukanlah Protokol utk Menghadapi Darurat Kesehatan,
 Melainkan utk Menghadapi Darurat Kekuasaan.. #LurahEndGame
 #LurahEndGame</t>
  </si>
  <si>
    <t>PPKM DARURAT Bukanlah Protokol utk Menghadapi Darurat Kesehatan,Melainkan utk Menghadapi Darurat Kekuasaan..</t>
  </si>
  <si>
    <t>♡ 𝐓𝐈𝐏𝐒 𝐏𝐑𝐎𝐃𝐔𝐊𝐓𝐈𝐅 𝐒𝐄𝐋𝐀𝐌𝐀 𝐃𝐈𝐑𝐔𝐌𝐀𝐇 𝐀𝐉𝐀 ♡
 Selama PPKM ngerasa bosen dirumah aja? Kalian bisa melakukan hal-hal berikut yg bisa dilakukan dirumah loh!! #RUBIStayProductive #InspiringRUBI https://t.co/06Inng0bPd</t>
  </si>
  <si>
    <t>Selama PPKM ngerasa bosen dirumah aja? Kalian bisa melakukan hal-hal berikut yg bisa dilakukan dirumah loh!!</t>
  </si>
  <si>
    <t>@Marvfess Moga ppkm kelar yatuhan gue kepo banget sama sepulu cincin ini dari awal muncul</t>
  </si>
  <si>
    <t>Moga ppkm kelar yatuhan gue kepo banget sama sepulu cincin ini dari awal muncul</t>
  </si>
  <si>
    <t>@DewiAyuhhh Kok opennya pas ppkm gini, keburu di suruh tutup sama satpol pp 😜😜😜</t>
  </si>
  <si>
    <t>Kok opennya pas ppkm gini, keburu di suruh tutup sama satpol pp</t>
  </si>
  <si>
    <t>@03__nakula Mempermasalahkan hal yg sbtlnya justru untuk memperjelas, memudahkan masyarakat u melakukan substansi dr istilah abstrak PPKM level 4. Memang ada orang2 yg sll mencari2 hal ecek2 bhkn kalo tdk adapun lalu bikin fantasi/ hoax/kebohongan demi memuaskan rasa kebenciannya kpd Jokowi.</t>
  </si>
  <si>
    <t>Mempermasalahkan hal yg sbtlnya justru untuk memperjelas, memudahkan masyarakat u melakukan substansi dr istilah abstrak PPKM level . Memang ada orang2 yg sll mencari2 hal ecek2 bhkn kalo tdk adapun lalu bikin fantasi/ hoax/kebohongan demi memuaskan rasa kebenciannya kpd Jokowi.</t>
  </si>
  <si>
    <t>Pemberlakukan Pembatasan Kegiatan Masyarakat ( PPKM ) oleh pengusaha dinilai tidak menghambat kegiatan bisnis terutama untuk kinerja ekspor</t>
  </si>
  <si>
    <t>@CommuterLine Min, ada persyaratan naik KRL dari Jakarta tujuan Bogor dalam masa PPKM untuk keperluan pekerjaan?</t>
  </si>
  <si>
    <t>Min, ada persyaratan naik KRL dari Jakarta tujuan Bogor dalam masa PPKM untuk keperluan pekerjaan?</t>
  </si>
  <si>
    <t>@cetaims sm aj kan ppkm😛😛😂</t>
  </si>
  <si>
    <t>sm aj kan ppkm</t>
  </si>
  <si>
    <t>@kompascom Iya pastilah, wong cara menanganinya cuma ganti nama doang, dr psbb,ppkm, ppkm level 4 dll tp ngga ada terobosan cr baru yg sinifikan bs menghambat penyebaran covid, ganti presiden br bener nih negara..#PakdeMudikAja #presidentolol</t>
  </si>
  <si>
    <t>Iya pastilah, wong cara menanganinya cuma ganti nama doang, dr psbb,ppkm, ppkm level dll tp ngga ada terobosan cr baru yg sinifikan bs menghambat penyebaran covid, ganti presiden br bener nih negara..</t>
  </si>
  <si>
    <t>Kebijakan PPKM Darurat Tak Ganggu Kinerja Ekspor Jatim</t>
  </si>
  <si>
    <t>@infomalang mhon info min&amp;amp;follower,,penyekatan/penutupan masuk kota malang dari utara(singosari), di karanglo..itu jam brp saja y selama PPKM ini? atau random?suwun,,</t>
  </si>
  <si>
    <t>mhon info min&amp;amp;follower,,penyekatan/penutupan masuk kota malang dari utara(singosari), di karanglo..itu jam brp saja y selama PPKM ini? atau random?suwun,,</t>
  </si>
  <si>
    <t>Cara menyikapi hoax di masa PPKM level 4 https://t.co/QjckguYq6d</t>
  </si>
  <si>
    <t>Cara menyikapi hoax di masa PPKM level</t>
  </si>
  <si>
    <t>@callmeARAbby Iya ppkm cuma bisa menyengsarakan rakyat kecil</t>
  </si>
  <si>
    <t>Iya ppkm cuma bisa menyengsarakan rakyat kecil</t>
  </si>
  <si>
    <t>Pertanyaan esai bobot nilai 40% ttg pengetahuan umum. 
 1. Kepanjangan dari PPKM
 2. Hi apakabar Kamu? 
 3. Nama Gubernur Aceh t. 2016
 4. Berat sama dijinjing (lanjutkan pribahasa tersebut diatas) 
 5. Ular berkembang biak dgn cara?
 Jelaskan &amp;amp; lengkapi pertanyaan tersebut di atas.</t>
  </si>
  <si>
    <t>Pertanyaan esai bobot nilai % ttg pengetahuan umum. . Kepanjangan dari PPKM2. Hi apakabar Kamu? . Nama Gubernur Aceh t. . Berat sama dijinjing (lanjutkan pribahasa tersebut diatas) . Ular berkembang biak dgn cara?Jelaskan &amp;amp; lengkapi pertanyaan tersebut di atas.</t>
  </si>
  <si>
    <t>Hikmah dari uang yang masih nyisa banyak akibat dari PPKM https://t.co/p1Z4oULGo9</t>
  </si>
  <si>
    <t>Hikmah dari uang yang masih nyisa banyak akibat dari PPKM</t>
  </si>
  <si>
    <t>Ppkm sedikit aneh, adakan dilarang olahraga</t>
  </si>
  <si>
    <t>PPKM keknya nggak ngaruh buat anak rumahan. :'</t>
  </si>
  <si>
    <t>Aku saat mengamati penerapan PPKM https://t.co/O56tmus06h</t>
  </si>
  <si>
    <t>Aku saat mengamati penerapan PPKM</t>
  </si>
  <si>
    <t>Kapan ppkm udahan, jadwal di bulan Juni Kemaren , jadi ke tunda terus</t>
  </si>
  <si>
    <t>Dasco: Mari Kita Dukung Perpanjangan PPKM, Ini Demi Keselamatan Rakyat!
 https://t.co/M6pzK2wPvC Satu NusaBangsa Indonesia</t>
  </si>
  <si>
    <t>Dasco: Mari Kita Dukung Perpanjangan PPKM, Ini Demi Keselamatan Rakyat! Satu NusaBangsa Indonesia</t>
  </si>
  <si>
    <t>Rusaknya Mentalitas Penguasa Sekuler di Masa PPKM
 Oleh: Rizki Eka Manurung
 (Aktivis Muslimah)
  https://t.co/VB8wmVEVhb</t>
  </si>
  <si>
    <t>Rusaknya Mentalitas Penguasa Sekuler di Masa PPKMOleh: Rizki Eka Manurung(Aktivis Muslimah)</t>
  </si>
  <si>
    <t>@decafred1 pernah kesini bareng doi sebelum PPKM, tempatnya bagus tapi doi ku yg jelek, dia selingkuh😢</t>
  </si>
  <si>
    <t>pernah kesini bareng doi sebelum PPKM, tempatnya bagus tapi doi ku yg jelek, dia selingkuh</t>
  </si>
  <si>
    <t>@jaelanyyy_08 Kan PPKm, jadi di batesin cuma 20 menit aja</t>
  </si>
  <si>
    <t>Kan PPKm, jadi di batesin cuma menit aja</t>
  </si>
  <si>
    <t>@Prambors PPKM diperpanjang tapi tidak dengan kontrak kerja.
 Pengeluaran masih konstan tapi tidak dengan pemasukan.</t>
  </si>
  <si>
    <t>PPKM diperpanjang tapi tidak dengan kontrak kerja.Pengeluaran masih konstan tapi tidak dengan pemasukan.</t>
  </si>
  <si>
    <t>Katanya aturan PPKM makan di resto maksimal 20 menit, ya? 
 Makan 20 menit gak susah kok. Kalo makannya sepiring berdua. Kamu sih, dua piring masih sendirian. 😁😁</t>
  </si>
  <si>
    <t>Katanya aturan PPKM makan di resto maksimal menit, ya? Makan menit gak susah kok. Kalo makannya sepiring berdua. Kamu sih, dua piring masih sendirian.</t>
  </si>
  <si>
    <t>Alhamdulillah, semenjak PPKM ga ada ambulance mondar mandir.</t>
  </si>
  <si>
    <t>Mendukung penerapan PPKM level 4 untuk melindungi kesehatan Rakyat dan cegah lonjakan COVID-19 https://t.co/P9WnQApsTm</t>
  </si>
  <si>
    <t>Mendukung penerapan PPKM level untuk melindungi kesehatan Rakyat dan cegah lonjakan COVID-19</t>
  </si>
  <si>
    <t>@CNNIndonesia Nama : DR.H Varian Delta (+) S.E, M.pd
 Umur : Beberapa Hari
 Jenis : (BIG FAMILY) Covid 19
 TTL : ? (UNKNOWN)
 WN : ? (UNKNOWN)
 Biografi : "Aku adalah anak bungsu, aku lahir untuk membuat kacau suatu negara dengan menciptakan PSBB, PPKM, dll."</t>
  </si>
  <si>
    <t>Nama : DR.H Varian Delta (+) S.E, M.pdUmur : Beberapa HariJenis : (BIG FAMILY) Covid TTL : ? (UNKNOWN)WN : ? (UNKNOWN)Biografi : "Aku adalah anak bungsu, aku lahir untuk membuat kacau suatu negara dengan menciptakan PSBB, PPKM, dll."</t>
  </si>
  <si>
    <t>Aku ga berani nanya ke klinik ini kapan bisa mulai kalopun udah diterima magang langsung...... Karena kemaren ngomongnya ppkm dulu, ternyata ppkmnya diperpanjang gatau sampe kapan, ganti nama apa lagi.</t>
  </si>
  <si>
    <t>Baru sadar pocket-Al Quran gw ngilang.. kemane ya tuh al quran kecil gemes bngt gw bawa kemana2 pas blm ppkm 😂😂
 Yaudala saatnya beli baru</t>
  </si>
  <si>
    <t>Baru sadar pocket-Al Quran gw ngilang.. kemane ya tuh al quran kecil gemes bngt gw bawa kemana2 pas blm ppkm Yaudala saatnya beli baru</t>
  </si>
  <si>
    <t>PPKM pagi pagi kangen mybestie https://t.co/wCz73HamQ4</t>
  </si>
  <si>
    <t>PPKM pagi pagi kangen mybestie</t>
  </si>
  <si>
    <t>gw bosen bgd ppkm</t>
  </si>
  <si>
    <t>@VICE_ID PPKM, usaha &amp;amp; duit nipis, malah jadian 😑</t>
  </si>
  <si>
    <t>PPKM, usaha &amp;amp; duit nipis, malah jadian</t>
  </si>
  <si>
    <t>@stuckinyoun hayu, kalo main kerumh juga beres ppkm?</t>
  </si>
  <si>
    <t>hayu, kalo main kerumh juga beres ppkm?</t>
  </si>
  <si>
    <t>@AntonTenabang02 PPKM tidak cocok buat yg mayoritas msh dibawah 
 #LurahEndGame
 #LurahEndGame</t>
  </si>
  <si>
    <t>PPKM tidak cocok buat yg mayoritas msh dibawah</t>
  </si>
  <si>
    <t>@decafred1 PPKM gini buka gk sih?</t>
  </si>
  <si>
    <t>PPKM gini buka gk sih?</t>
  </si>
  <si>
    <t>Pagi, dengan PPKM yang masih berlanjut dan angka-angka korban pandemi yang masih melaju, juga segala tingkah kekonyolan dan kelucuan yang lahir bukan dari para pelawak.</t>
  </si>
  <si>
    <t>Dampak psbb,lockdown,ppkm untuk kalian apa sih? Dan share cara menghadapi/survive kalian selama ini🙏</t>
  </si>
  <si>
    <t>Dampak psbb,lockdown,ppkm untuk kalian apa sih? Dan share cara menghadapi/survive kalian selama ini</t>
  </si>
  <si>
    <t>Jadi para pekerja/buruh di sektor industri barang konsumsi, perdagangan &amp;amp; jasa, transportasi, aneka industri, properti dan real estate yg gajinya Rp3,5 juta di bawah akan mendapatkan bantuan subsidi upah Rp 1juta selama PPKM ini! InsyaaAllah dapur tetap ngebul! https://t.co/C60mGlTWPx</t>
  </si>
  <si>
    <t>Jadi para pekerja/buruh di sektor industri barang konsumsi, perdagangan &amp;amp; jasa, transportasi, aneka industri, properti dan real estate yg gajinya Rp3,5 juta di bawah akan mendapatkan bantuan subsidi upah Rp juta selama PPKM ini! InsyaaAllah dapur tetap ngebul!</t>
  </si>
  <si>
    <t>Kamis terakhir di bulan Juli,
 Tersenyum manis di pagi hari.
 Ada kabar gembira,
 Selamat Pagi Indonesia.
 🔊 Untuk masyarakat yg berada di wilayah PPKM level 3 dan 4, Pemerintah melalui @KemnakerRI akan memberikan bantuan subsidi upah/gaji 🤩 https://t.co/Oudz5EIB5g</t>
  </si>
  <si>
    <t>Kamis terakhir di bulan Juli,Tersenyum manis di pagi hari.Ada kabar gembira,Selamat Pagi Indonesia. Untuk masyarakat yg berada di wilayah PPKM level dan , Pemerintah melalui akan memberikan bantuan subsidi upah/gaji</t>
  </si>
  <si>
    <t>@cilachia itu yg lg rame adain birthday party pas ppkm</t>
  </si>
  <si>
    <t>itu yg lg rame adain birthday party pas ppkm</t>
  </si>
  <si>
    <t>@KuliDollarEuro1 Wkwkwkwkwkwkwk stresss gara" pPkM</t>
  </si>
  <si>
    <t>Wkwkwkwkwkwkwk stresss gara" pPkM</t>
  </si>
  <si>
    <t>#RedamPandemiJagaNKRI 
 Yuk taati PPKM di daerahmu. 
 PPKM diberlakukan semata2 tuk menyelamatkanmu dan keluargamu.
 Jangan pernah abaikan prokes https://t.co/xtQkPNUYyG</t>
  </si>
  <si>
    <t>Yuk taati PPKM di daerahmu. PPKM diberlakukan semata2 tuk menyelamatkanmu dan keluargamu.Jangan pernah abaikan prokes</t>
  </si>
  <si>
    <t>@indomyfess Tp kan ppkm,gk boleh berkerumun😌</t>
  </si>
  <si>
    <t>Tp kan ppkm,gk boleh berkerumun</t>
  </si>
  <si>
    <t>PPKM terbukti menekan angka Covid yg signifikan. Mari tetap patuhi PPKM yg telah di perpanjangan hingga 2 Agustus nanti, Semoga Indonesia kita lekas pulih seperti sediakala. 
 #RedamPandemiJagaNKRI https://t.co/dXfwoEHKoY</t>
  </si>
  <si>
    <t>PPKM terbukti menekan angka Covid yg signifikan. Mari tetap patuhi PPKM yg telah di perpanjangan hingga Agustus nanti, Semoga Indonesia kita lekas pulih seperti sediakala.</t>
  </si>
  <si>
    <t>#RedamPandemiJagaNKRI
 Mari tuips bersama kita trs usaha pemerintah dlm penanganan Covid19. Jgn lupa untuk taat prokes n ikut vaksinasi jika mendapat kesempatan. Dibutuhkan kerjasama n disiplin Masyarakat agar PPKM Level 4 ini sukses n berhasil menekan penyebaran Covid19 🙏 https://t.co/Td1SG7MvhF</t>
  </si>
  <si>
    <t>tuips bersama kita trs usaha pemerintah dlm penanganan Covid19. Jgn lupa untuk taat prokes n ikut vaksinasi jika mendapat kesempatan. Dibutuhkan kerjasama n disiplin Masyarakat agar PPKM Level ini sukses n berhasil menekan penyebaran Covid19</t>
  </si>
  <si>
    <t>#RedamPandemiJagaNKRI
 Mari jadi warganegara yg taat aturan. Stop untuk menghasut ato sebar hoax tentang Pandemi Covid19. Saatny bersatu bantu Indonesia melawan Covid19. Yuk taat aturan PPKM, disiplin Prokes serta ikut vaksinasi. 
 Save Indonesia berarti save kamu juga loh! https://t.co/ubGNPUR7oY</t>
  </si>
  <si>
    <t>jadi warganegara yg taat aturan. Stop untuk menghasut ato sebar hoax tentang Pandemi Covid19. Saatny bersatu bantu Indonesia melawan Covid19. Yuk taat aturan PPKM, disiplin Prokes serta ikut vaksinasi. Save Indonesia berarti save kamu juga loh!</t>
  </si>
  <si>
    <t>Dukung PPKM LV4, walau berat keputusan ini harus di ambil, untuk menekan penyebaran Covit, walau pahit kita harus lakukan, demi kesehatan rakyat 
 #RedamPandemiJagaNKRI https://t.co/4K3FCMX7U4</t>
  </si>
  <si>
    <t>Dukung PPKM LV4, walau berat keputusan ini harus di ambil, untuk menekan penyebaran Covit, walau pahit kita harus lakukan, demi kesehatan rakyat</t>
  </si>
  <si>
    <t>@pandemictalksID ppkm luar jawa dibikin lebih longgar oleh pemda… daerah zona merah masih ada yg sekolah tatap muka dg alasan desa/kelurahan masih zona hijau dalam kriteria ppkm mikro.</t>
  </si>
  <si>
    <t>ppkm luar jawa dibikin lebih longgar oleh pemda daerah zona merah masih ada yg sekolah tatap muka dg alasan desa/kelurahan masih zona hijau dalam kriteria ppkm mikro.</t>
  </si>
  <si>
    <t>Mari kita dukung program pemerintah yang memperpanjang PPKM level 4 demi keselamatan bersama dan wajib memakai ProKes ya.
 #RedamPandemiJagaNKRI https://t.co/p9dxMZsouu</t>
  </si>
  <si>
    <t>Mari kita dukung program pemerintah yang memperpanjang PPKM level demi keselamatan bersama dan wajib memakai ProKes ya.</t>
  </si>
  <si>
    <t>Kelanjutan PPKM menjadi level 4 tentu saja utk menekan angka kematian akibat tersuspend wabah kopid-19....
 Kita ingin wabah ini berahkir...tdk ada lagi korban" berikutnya...
 Mari kita : #RedamPandemiJagaNKRI 
 Kita akan menang sobat...yakin dan optimis... https://t.co/2ovoxLkr9M</t>
  </si>
  <si>
    <t>Kelanjutan PPKM menjadi level tentu saja utk menekan angka kematian akibat tersuspend wabah kopid-19....Kita ingin wabah ini berahkir...tdk ada lagi korban" berikutnya...Mari kita : Kita akan menang sobat...yakin dan optimis...</t>
  </si>
  <si>
    <t>Assalamualaikum wr wb
 Met pagi warga TL met beraktivitas tetap disipilin prokes, taati PPKM, dg Semangat MERAH PUTIH✊✊✊ https://t.co/8Fyk30EyRF</t>
  </si>
  <si>
    <t>Assalamualaikum wr wbMet pagi warga TL met beraktivitas tetap disipilin prokes, taati PPKM, dg Semangat MERAH PUTIH</t>
  </si>
  <si>
    <t>Penerapan PPKM level 4 tentunya sudah melalui banyak pertimbangan. Sukses kan !!
 #RedamPandemiJagaNKRI https://t.co/BbIsu6Ut3C</t>
  </si>
  <si>
    <t>Penerapan PPKM level tentunya sudah melalui banyak pertimbangan. Sukses kan !!</t>
  </si>
  <si>
    <t>#RedamPandemiJagaNKRI
 Dukung perpanjangan PPKM level 4 untuk menurunkan kasus Kovid -19 https://t.co/akZ47x7Kkj</t>
  </si>
  <si>
    <t>perpanjangan PPKM level untuk menurunkan kasus Kovid</t>
  </si>
  <si>
    <t>#RedamPandemiJagaNKRI
 Dukung terus pemerintah perpanjang PPKM level 4 https://t.co/w0DgQqCbTE</t>
  </si>
  <si>
    <t>terus pemerintah perpanjang PPKM level</t>
  </si>
  <si>
    <t>@billydmwly ohh yang itu yg ppkm</t>
  </si>
  <si>
    <t>ohh yang itu yg ppkm</t>
  </si>
  <si>
    <t>Mungkin, jika ada seseorang bertanya pada Hassan al bashri pada saat ini begini, "ya imam, kami punya persoalan ppkm dll yang tidak kunjung selesai" jawaban beliau adalah "istighfar"</t>
  </si>
  <si>
    <t>@Julharry @muannas_alaidid @DivHumas_Polri Selalu bikin kluster baru adalh pengacau .
 Kluster lebaran sdh panen n blm kelar2.
 Kluster demo ppkm dibandung blm dipanen.
 Mau bikin kluster lg hari ini...kpn indo berhenti panen??
 Jgn mimpi lh covid akn turun</t>
  </si>
  <si>
    <t>Selalu bikin kluster baru adalh pengacau .Kluster lebaran sdh panen n blm kelar2.Kluster demo ppkm dibandung blm dipanen.Mau bikin kluster lg hari ini...kpn indo berhenti panen??Jgn mimpi lh covid akn turun</t>
  </si>
  <si>
    <t>pgn gue tonjok”in gatau lg ppkm apa https://t.co/TaoYNzk9Cg</t>
  </si>
  <si>
    <t>pgn gue tonjokin gatau lg ppkm apa</t>
  </si>
  <si>
    <t>@PT_Transjakarta @AstrapayID Min, PPKM sampai kapan ya?</t>
  </si>
  <si>
    <t>Min, PPKM sampai kapan ya?</t>
  </si>
  <si>
    <t>Yg gk paham, knp demo di lakukan yg rencnnya hari ini??
 Knp gk pas waktu selsai diumumkan Bpk Jokowi tgl 21 Juli kmern klo di perpanjang sd 25 Juli'21? Spontan kyk mang2 ojol.
 Padhal bsk sdh hari terakhir perpanjangn PPKM. Mau bikin klaster baru?! Smg otak demo ini ditndk tegas.</t>
  </si>
  <si>
    <t>Yg gk paham, knp demo di lakukan yg rencnnya hari ini??Knp gk pas waktu selsai diumumkan Bpk Jokowi tgl Juli kmern klo di perpanjang sd Juli'21? Spontan kyk mang2 ojol.Padhal bsk sdh hari terakhir perpanjangn PPKM. Mau bikin klaster baru?! Smg otak demo ini ditndk tegas.</t>
  </si>
  <si>
    <t>@Andiarief__ PPKM sudah gagal total krn disemua negara cuman di negara kita yg alergi dgn lockdown yg alasan sebenarnya adlh ngak ada duit soalnya habis buat infrastruktur yg lbh sarat dgn nafsu pencitraan agar dikenang sbg pemimpin yg kerja2 kerja namun tak pernah berpikir hasilnya ya ambyar</t>
  </si>
  <si>
    <t>PPKM sudah gagal total krn disemua negara cuman di negara kita yg alergi dgn lockdown yg alasan sebenarnya adlh ngak ada duit soalnya habis buat infrastruktur yg lbh sarat dgn nafsu pencitraan agar dikenang sbg pemimpin yg kerja2 kerja namun tak pernah berpikir hasilnya ya ambyar</t>
  </si>
  <si>
    <t>@woIfbbit kamu wfh ada yg di kerjain , tetep di gajih ... lah aku ?? 😌 toko tutup selama ppkm 🤧🤧</t>
  </si>
  <si>
    <t>kamu wfh ada yg di kerjain , tetep di gajih ... lah aku ?? toko tutup selama ppkm</t>
  </si>
  <si>
    <t>@meveisz mungkin kuotanya tbtb abis pas mau beli gabisa karna ppkm</t>
  </si>
  <si>
    <t>mungkin kuotanya tbtb abis pas mau beli gabisa karna ppkm</t>
  </si>
  <si>
    <t>@kompascom Inilah indonesia, kasus awal kn korban pmukulan mslh PPKM nha sllu si lawan mncari² ksalahan musuh yg laen hahahaha bak anak kecil saling balas membalas😅</t>
  </si>
  <si>
    <t>Inilah indonesia, kasus awal kn korban pmukulan mslh PPKM nha sllu si lawan mncari ksalahan musuh yg laen hahahaha bak anak kecil saling balas membalas</t>
  </si>
  <si>
    <t>@GOAL_ID Gak usah mikir tropi Son . Penting perpanjang kontrak dapet duit, yaaa lagi kondisi ppkm gini susah cari kerja . Gud dil 😌</t>
  </si>
  <si>
    <t>Gak usah mikir tropi Son . Penting perpanjang kontrak dapet duit, yaaa lagi kondisi ppkm gini susah cari kerja . Gud dil</t>
  </si>
  <si>
    <t>Ga mampu bikin sejahtera rakyat, bisanya buat aturan PPKM tapi rakyat ga dikasi makan.... mending
 #PakdeMundurSaja</t>
  </si>
  <si>
    <t>Ga mampu bikin sejahtera rakyat, bisanya buat aturan PPKM tapi rakyat ga dikasi makan.... mending</t>
  </si>
  <si>
    <t>@bagiwang @albert_kristian @FathanPlayz1 @invsbleuser @ainunnajib kwkwkkw..lockdown bekasi aja deh..mampus rakyatnya bekasi yg cuman seumit, tau arti lockdown gak??melarang apapun masuk, loe mau makan apa tong??🤣🤣🤣,baru PPKM aja dah guling2 bilang gak makan🤣🤣</t>
  </si>
  <si>
    <t>kwkwkkw..lockdown bekasi aja deh..mampus rakyatnya bekasi yg cuman seumit, tau arti lockdown gak??melarang apapun masuk, loe mau makan apa tong??,baru PPKM aja dah guling2 bilang gak makan</t>
  </si>
  <si>
    <t>Wah manfaatin waktu luang selama PPKM buat berkarya yuk... ikut Lomba Penulisan Cerpen BPJS Kesehatan ajah guysss
 https://t.co/IA7vKKb8bX
  #BPJSKesehatan
 #BPJSMelayani #GotongRoyongSemuaTertolong #JKNHadirUntukRakyat https://t.co/1b4dFjcm0p</t>
  </si>
  <si>
    <t>Wah manfaatin waktu luang selama PPKM buat berkarya yuk... ikut Lomba Penulisan Cerpen BPJS Kesehatan ajah guysss</t>
  </si>
  <si>
    <t>@taufiq_agsa @angga_fzn Nah, ini yg menjadi problem di negara kita, penanganan covid terkesan tidak berbasis pada kemanusiaan. Banyak pakar ahli yg menyayangkan ini. Seperti PPKM yg sungguh mengecewakan dll.</t>
  </si>
  <si>
    <t>Nah, ini yg menjadi problem di negara kita, penanganan covid terkesan tidak berbasis pada kemanusiaan. Banyak pakar ahli yg menyayangkan ini. Seperti PPKM yg sungguh mengecewakan dll.</t>
  </si>
  <si>
    <t>PERNYATAAN DUA KAKI. |
 Prof, demo itu pasti berkerumun sambil teriak-teriak &amp;amp; memaki, seharusnya tdk mengeluarkan pernyataan seperti ini karena sama halnya dgn memberi angin segar pada pendemo.
 Saya paham soal hak konstitusi, tapi apa maknanya PPKM diterapkan.
 @mohmahfudmd 
 📌 https://t.co/eR7zTKHmyG</t>
  </si>
  <si>
    <t>PERNYATAAN DUA KAKI. |Prof, demo itu pasti berkerumun sambil teriak-teriak &amp;amp; memaki, seharusnya tdk mengeluarkan pernyataan seperti ini karena sama halnya dgn memberi angin segar pada pendemo.Saya paham soal hak konstitusi, tapi apa maknanya PPKM diterapkan.</t>
  </si>
  <si>
    <t>@IrutPagut Lockdown aja lah sekalian ppkm psbb g ada perubahan virusnya tambah ningkat coba deh lokcdown d coba dong lokcdown</t>
  </si>
  <si>
    <t>Lockdown aja lah sekalian ppkm psbb g ada perubahan virusnya tambah ningkat coba deh lokcdown d coba dong lokcdown</t>
  </si>
  <si>
    <t>Mau tanya,,,
 Kebaikan apa yg di dapat dr ppkm yg di perpanjang????
 Tolong yg mendukung ppkm termasuk kiyai,jawab pertanyaan saya</t>
  </si>
  <si>
    <t>Mau tanya,,,Kebaikan apa yg di dapat dr ppkm yg di perpanjang????Tolong yg mendukung ppkm termasuk kiyai,jawab pertanyaan saya</t>
  </si>
  <si>
    <t>@democrazymedia @Syifazzzzzzz Gmn Bisa gembira,main gak bisa,,yg mo dimakan susah akibat PPKM</t>
  </si>
  <si>
    <t>Gmn Bisa gembira,main gak bisa,,yg mo dimakan susah akibat PPKM</t>
  </si>
  <si>
    <t>@Krisbiy43518284 @SempakBolon9 @cool_mamble @Jogja_Sex_Art @buatyanglain @PromoteAbdul @Noname289595sky Amin ,semoga ppkm berkhir besok🤗🙏</t>
  </si>
  <si>
    <t>Amin ,semoga ppkm berkhir besok</t>
  </si>
  <si>
    <t>@Xavier90245159 @BloonGebuk @opelFNZ @duckconfit_ @idnkeras Ppkm : pelan pelan kamu masukin</t>
  </si>
  <si>
    <t>Ppkm : pelan pelan kamu masukin</t>
  </si>
  <si>
    <t>@FaU31863657 @kompascom Kita di Sumatera ga separah kasus di Jawa yg RS2 nya hrs buat RS Darurat, Ruangan penuh, Oksigen susah didapat, sakit susah berobat. Vaksin dan prokes,spy kasus covid19 menurun,PPKM cepat dilonggarkan dan kita beraktivitas seperti biasa https://t.co/uvZ281pfOO</t>
  </si>
  <si>
    <t>Kita di Sumatera ga separah kasus di Jawa yg RS2 nya hrs buat RS Darurat, Ruangan penuh, Oksigen susah didapat, sakit susah berobat. Vaksin dan prokes,spy kasus covid19 menurun,PPKM cepat dilonggarkan dan kita beraktivitas seperti biasa</t>
  </si>
  <si>
    <t>Pengen bubur ayam tp ppkm anjing.</t>
  </si>
  <si>
    <t>UU kekarantinaan kesehatan bener² menyuruh semua orang tidak keluar rumah termasuk hewan ternak dan hewan peliharaan dan kebutuhan hidup ditanggung oleh negara. 
 Lha pake alasan PPKM level sekian. 
 Pake acara usir, ngotot dan baku pukul
 Apaan kamu ini!!</t>
  </si>
  <si>
    <t>UU kekarantinaan kesehatan bener menyuruh semua orang tidak keluar rumah termasuk hewan ternak dan hewan peliharaan dan kebutuhan hidup ditanggung oleh negara. Lha pake alasan PPKM level sekian. Pake acara usir, ngotot dan baku pukulApaan kamu ini!!</t>
  </si>
  <si>
    <t>@bertanyarl ppkm say</t>
  </si>
  <si>
    <t>ppkm say</t>
  </si>
  <si>
    <t>-rek ppkm diperpanjang gak rek kiro2?</t>
  </si>
  <si>
    <t>@jalutajam Wakakaka keras dampak ppkm😂</t>
  </si>
  <si>
    <t>Wakakaka keras dampak ppkm</t>
  </si>
  <si>
    <t>@ddoubl_u PPKM ihh ai maneh</t>
  </si>
  <si>
    <t>PPKM ihh ai maneh</t>
  </si>
  <si>
    <t>Onigashima masuk zona ppkm level 4 bang makanya libur https://t.co/MJY91DfTPj</t>
  </si>
  <si>
    <t>Onigashima masuk zona ppkm level bang makanya libur</t>
  </si>
  <si>
    <t>Tapi skrng masih PPKM</t>
  </si>
  <si>
    <t>@bertanyarl 1. Takutnya crushnya suka tmnmu
 2. Takutnya temenmu tersinggung, kan kmu ngajak dia keluar knpa bawa crush
 3. Ppkm anjir</t>
  </si>
  <si>
    <t>. Takutnya crushnya suka tmnmu2. Takutnya temenmu tersinggung, kan kmu ngajak dia keluar knpa bawa crush3. Ppkm anjir</t>
  </si>
  <si>
    <t>@STAERRYNITES berarti lu PPKM</t>
  </si>
  <si>
    <t>berarti lu PPKM</t>
  </si>
  <si>
    <t>@yazid_fadhlan Wabah yg bgm? Ini jelas merugikan rakyat,,ap solusinya dg membuat ppkm??? Ap mw ngsh mkn rakyatnya?</t>
  </si>
  <si>
    <t>Wabah yg bgm? Ini jelas merugikan rakyat,,ap solusinya dg membuat ppkm??? Ap mw ngsh mkn rakyatnya?</t>
  </si>
  <si>
    <t>@bertanyarl ppkm nder, di rumah aj</t>
  </si>
  <si>
    <t>ppkm nder, di rumah aj</t>
  </si>
  <si>
    <t>Kegiatan kamu selama ppkm apa?
 Kerja
 Kerja
 Kerja
 Swab
 Dah gitu aja muter terus gak kelar kelar.</t>
  </si>
  <si>
    <t>Kegiatan kamu selama ppkm apa?KerjaKerjaKerjaSwabDah gitu aja muter terus gak kelar kelar.</t>
  </si>
  <si>
    <t>PPKM = Pengen Peluk Kamu Mbak</t>
  </si>
  <si>
    <t>@bertanyarl Gausah, lagian ppkm hey mau kmn anda</t>
  </si>
  <si>
    <t>Gausah, lagian ppkm hey mau kmn anda</t>
  </si>
  <si>
    <t>@03Kembara Beberapa langkah lebih maju dr pd ppkm donk</t>
  </si>
  <si>
    <t>Beberapa langkah lebih maju dr pd ppkm donk</t>
  </si>
  <si>
    <t>@addiems Efek dari ppkm retangga ya? 🤦‍♂️</t>
  </si>
  <si>
    <t>Efek dari ppkm retangga ya?</t>
  </si>
  <si>
    <t>Rumah tangga aq waktu PPKM Darurat : https://t.co/yRdQuC48v9</t>
  </si>
  <si>
    <t>Rumah tangga aq waktu PPKM Darurat :</t>
  </si>
  <si>
    <t>PPKM = Pelan-Pelan Kamu Menghilang</t>
  </si>
  <si>
    <t>@DiajengLrst nanti, ketika tuyul-tuyul piaraan ruang geraknya ngga kehalang ppkm.</t>
  </si>
  <si>
    <t>nanti, ketika tuyul-tuyul piaraan ruang geraknya ngga kehalang ppkm.</t>
  </si>
  <si>
    <t>Alasannya PPKM, WFH dan Sistem Baru
 Selucu itu perusahaan ini 😂😂😂</t>
  </si>
  <si>
    <t>Alasannya PPKM, WFH dan Sistem BaruSelucu itu perusahaan ini</t>
  </si>
  <si>
    <t>@tweeterkuy @TeddyGusnaidi Koar2 lokdan lokdon sekarang minta hentikan PPKM. Vaksin nggak mau, nggak taat prokes, kluyuran kesana kemari, dilarang nggak mau.
 Trus maunya apa??? Jokowi lengser… trus dimasa susah pandemi yg bisa gantiin siapa???
 Lha wong kepala2 daerah aja pd cari slamet..!</t>
  </si>
  <si>
    <t>Koar2 lokdan lokdon sekarang minta hentikan PPKM. Vaksin nggak mau, nggak taat prokes, kluyuran kesana kemari, dilarang nggak mau.Trus maunya apa??? Jokowi lengser trus dimasa susah pandemi yg bisa gantiin siapa???Lha wong kepala2 daerah aja pd cari slamet..!</t>
  </si>
  <si>
    <t>Setelah menganggap virus covid19 sama dengan virus flu biasa. 
 Kini melakukan LOCKDOWN.
 Saran dari Indonesia, gak perlu LOCKDOWN, cukup terapkan PPKM level PEDAS. https://t.co/pVzjn2w4Dj</t>
  </si>
  <si>
    <t>Setelah menganggap virus covid19 sama dengan virus flu biasa. Kini melakukan LOCKDOWN.Saran dari Indonesia, gak perlu LOCKDOWN, cukup terapkan PPKM level PEDAS.</t>
  </si>
  <si>
    <t>@bdngfess Biasanya di pmi jalan aceh 24 jam setiap hari nder, mereka sistemnya shift shiftan, tapi karena lagi ppkm bukanya kaya jam kerja orang biasa tutup jam 9 nan kalau gak salah</t>
  </si>
  <si>
    <t>Biasanya di pmi jalan aceh jam setiap hari nder, mereka sistemnya shift shiftan, tapi karena lagi ppkm bukanya kaya jam kerja orang biasa tutup jam nan kalau gak salah</t>
  </si>
  <si>
    <t>@MSApunya @PutraWadapi PPKM=Pembatasan Pergerakan Kekuatan Mahasiswa</t>
  </si>
  <si>
    <t>PPKMembatasan Pergerakan Kekuatan Mahasiswa</t>
  </si>
  <si>
    <t>@Bukelapak @Gerakarus @Recht_Reo @ainunnajib Lah. Opini ente ini ringkes amat kaya pendemo PPKM entu ama Terkesan terBuru". Ente mo Siap" pegih demo nih yak?</t>
  </si>
  <si>
    <t>Lah. Opini ente ini ringkes amat kaya pendemo PPKM entu ama Terkesan terBuru". Ente mo Siap" pegih demo nih yak?</t>
  </si>
  <si>
    <t>@diniroswati Kwkwkw, ingattt.. PPKM 😜</t>
  </si>
  <si>
    <t>Kwkwkw, ingattt.. PPKM</t>
  </si>
  <si>
    <t>PSBB, PPKM dan apapun istilahnya hanya mengaburkan dari UU karatina dengan segala konsekuensi dan tanggung jawab Pemerintah. Sangat wajar apabila masyarakat nya membandel, aparatur nya tidak tegas lha dasar hukumnya saja tidak ada.</t>
  </si>
  <si>
    <t>@AYU_PROM0TE @albertocung @TeddyWoga @adies___ @prasetyotien94 @Adjie08Novi @bunga_lao @FarahNathan24 @Momogizele2 @KellyCyntia4 @21kayyenz @devi_sriana @KaredokLeunca__ @NissaBella17 @evandyalovely @lettachantik @Mellyme05 @mypinky818 Assalamualaikum kk
 Selamat pagi yaa
 Sdh hr sabtu lg..
 PPKM n salam sehat yaa</t>
  </si>
  <si>
    <t>Assalamualaikum kkSelamat pagi yaaSdh hr sabtu lg..PPKM n salam sehat yaa</t>
  </si>
  <si>
    <t>@Askrlfess Lagi ppkm nder,, makanya sendiri" 😅</t>
  </si>
  <si>
    <t>Lagi ppkm nder,, makanya sendiri"</t>
  </si>
  <si>
    <t>Salah satu pedagang yg berjualan di mal bdg Electronik City ( BEC ) , Putra ( 28 ) mengatakan, doi sngt merugi dg pemberlakukan PPKM yg berlangsung pada 3 Juli hingga dua puluh Juli #BongkarBiangRusuh https://t.co/VArjmkYzFP</t>
  </si>
  <si>
    <t>Salah satu pedagang yg berjualan di mal bdg Electronik City ( BEC ) , Putra ( ) mengatakan, doi sngt merugi dg pemberlakukan PPKM yg berlangsung pada Juli hingga dua puluh Juli</t>
  </si>
  <si>
    <t>Budak! Singkawang ndk ppkm agik?
 Cr: PM https://t.co/DpkSeOzqlo</t>
  </si>
  <si>
    <t>Budak! Singkawang ndk ppkm agik?Cr: PM</t>
  </si>
  <si>
    <t>@bertanyarl kan ppkm</t>
  </si>
  <si>
    <t>@maspiyuaja PPKM =Pembatasan Pergerakan Kekuatan Mahasiswa</t>
  </si>
  <si>
    <t>PPKM embatasan Pergerakan Kekuatan Mahasiswa</t>
  </si>
  <si>
    <t>PPKM Pak @jokowi, harusnya terpadu FOKUS melakukan 4 hal ini :
 Membasmi Covid : Karantina Wilayah
 Priventif Covid : Vaksinasi, Tracing, Tasting, 
 5M. 
 Kuratif : Pelayanan, Peralatan, Obat dan Ketersediaan Rumah Sakit. 
 Rehabilitatif : Membiasakan hidup sehat dgn prokes.</t>
  </si>
  <si>
    <t>PPKM Pak , harusnya terpadu FOKUS melakukan hal ini :Membasmi Covid : Karantina WilayahPriventif Covid : Vaksinasi, Tracing, Tasting, M. Kuratif : Pelayanan, Peralatan, Obat dan Ketersediaan Rumah Sakit. Rehabilitatif : Membiasakan hidup sehat dgn prokes.</t>
  </si>
  <si>
    <t>Penolakan PPKM di bdg iniih krna kbijakan tersebut sngt merugikan dr segi ekonomi. #BongkarBiangRusuh https://t.co/M3wRyXP72W</t>
  </si>
  <si>
    <t>Penolakan PPKM di bdg iniih krna kbijakan tersebut sngt merugikan dr segi ekonomi.</t>
  </si>
  <si>
    <t>nonton si, lagi ppkm juga kan https://t.co/EGwH45jnFb</t>
  </si>
  <si>
    <t>nonton si, lagi ppkm juga kan</t>
  </si>
  <si>
    <t>BUMN Disuntik Dana Saat Pandemi
 PPKM Darurat Jawa-Bali resmi diperpanjang.Di tengah krisis seperti ini,dana bansos dinilai lambat penyalurannya.Sementara itu, banyak anggaran negara justru dialokasikan untuk insentif,terutama pada 12 perusahaan pelat merah https://t.co/Kr0NqeBVFa</t>
  </si>
  <si>
    <t>BUMN Disuntik Dana Saat PandemiPPKM Darurat Jawa-Bali resmi diperpanjang.Di tengah krisis seperti ini,dana bansos dinilai lambat penyalurannya.Sementara itu, banyak anggaran negara justru dialokasikan untuk insentif,terutama pada perusahaan pelat merah</t>
  </si>
  <si>
    <t>Udh capek² cari kerja apalagi pas keadaan PPKM gini sepi gaada yang buka loker🙃 giliran nemu loker, terus udh bikin lamaran eh ternyata yang diutamakan yang bisa fashion sama suka skincare😊
 Gini banget yaa😢</t>
  </si>
  <si>
    <t>Udh capek cari kerja apalagi pas keadaan PPKM gini sepi gaada yang buka loker giliran nemu loker, terus udh bikin lamaran eh ternyata yang diutamakan yang bisa fashion sama suka skincareGini banget yaa</t>
  </si>
  <si>
    <t>Sebelumnya, ratusan orang terdiri dari pedagang, pengemudi ojek online (ojol), hingga mahasiswa turun ke jalan menyuarakan penolakan perpanjangan Pemberlakukan Pembatasan Kegiatan Masyarakat (PPKM) hingga 25 Juli 2021 di Bandung #BongkarBiangRusuh https://t.co/v9xkS7kHE0</t>
  </si>
  <si>
    <t>Sebelumnya, ratusan orang terdiri dari pedagang, pengemudi ojek online (ojol), hingga mahasiswa turun ke jalan menyuarakan penolakan perpanjangan Pemberlakukan Pembatasan Kegiatan Masyarakat (PPKM) hingga Juli di Bandung</t>
  </si>
  <si>
    <t>Perpanjangan pemberlakuan pembatasan kegiatan masyarakat (PPKM) darurat membuat sebagian pihak kecewa loh!</t>
  </si>
  <si>
    <t>kalo psbb/ppkm diprotes ya buka aja, stop vaksin, stop bansos dll. yg sakit after that biarin aja ga usah diobatin...kan mau mereka seperti itu, bebas...sak geleme dewe 😂</t>
  </si>
  <si>
    <t>kalo psbb/ppkm diprotes ya buka aja, stop vaksin, stop bansos dll. yg sakit after that biarin aja ga usah diobatin...kan mau mereka seperti itu, bebas...sak geleme dewe</t>
  </si>
  <si>
    <t>Guys.. Jaga kesehatan ya, prokes dikencengin, ppkm dipatuhi. Subuh ini beberapa chat ga kuat sama sakitnya, sisanya masih oke. Kemarin habis antar obat dan asupan ke yg isoman karena painful emang rasanya. Tapi.. Ada yg udah membaik dan beraktivitas. Udah banyak teman yang kena..</t>
  </si>
  <si>
    <t>Ada yg tadinya ribut minta lockdown, skrg tau2 mau demo PPKM. Wes siap tanggung jawab dunia akhirat? 
 Mbok ya kilau duniawi jangan bikin hilang fokus. Fokus nyiapin bekal pulang kepadaNya.</t>
  </si>
  <si>
    <t>Ada yg tadinya ribut minta lockdown, skrg tau2 mau demo PPKM. Wes siap tanggung jawab dunia akhirat? Mbok ya kilau duniawi jangan bikin hilang fokus. Fokus nyiapin bekal pulang kepadaNya.</t>
  </si>
  <si>
    <t>@njusJR Buat kasih ke orang dimasa PPKM gini bang</t>
  </si>
  <si>
    <t>Buat kasih ke orang dimasa PPKM gini bang</t>
  </si>
  <si>
    <t>@kostanalter Lagi ppkm</t>
  </si>
  <si>
    <t>@Innayaputri72 Ppkm atau apapun namanya byk yg dukung, kata ulama tlah sesuai dgn syariat menghadapi wabah.
 Tp negara harus nanggung pangan rakyat tak mampu...</t>
  </si>
  <si>
    <t>Ppkm atau apapun namanya byk yg dukung, kata ulama tlah sesuai dgn syariat menghadapi wabah.Tp negara harus nanggung pangan rakyat tak mampu...</t>
  </si>
  <si>
    <t>@Andiarief__ PPKM itu salah satu upaya pemerintah mengendalikan wabah covid-19. Harusnya di dukung bukanya di degradasi. Otak kalau kebanyakan nyabu dan ngantor mengakibatkan gigi ompong dan pikiran halu. Kalau ngak punya malu jaga kemaluan Su Asu.</t>
  </si>
  <si>
    <t>PPKM itu salah satu upaya pemerintah mengendalikan wabah covid-19. Harusnya di dukung bukanya di degradasi. Otak kalau kebanyakan nyabu dan ngantor mengakibatkan gigi ompong dan pikiran halu. Kalau ngak punya malu jaga kemaluan Su Asu.</t>
  </si>
  <si>
    <t>Sepanjang jalan, dengar opini soal PPKM, soal JOKOWI yg ga becus jd presiden
 Ampun deh, bgm pola pikir mereka ini. 
 PPKM ini ada karna kalian masyarakat bebal yg ga taat Prokes!!, ga mau pake masker, ga mau vaksin, giliran sakit nyusahin org banyak 😠😠😠</t>
  </si>
  <si>
    <t>Sepanjang jalan, dengar opini soal PPKM, soal JOKOWI yg ga becus jd presidenAmpun deh, bgm pola pikir mereka ini. PPKM ini ada karna kalian masyarakat bebal yg ga taat Prokes!!, ga mau pake masker, ga mau vaksin, giliran sakit nyusahin org banyak</t>
  </si>
  <si>
    <t>@Andiarief__ Partaimya Penghasil Koruptor &amp;amp; Mangkrak (PPKM), 
 dan
 Pendukung Partainya Kondomis &amp;amp; Menyabu (PPKM)
 😂😂😂😂</t>
  </si>
  <si>
    <t>Partaimya Penghasil Koruptor &amp;amp; Mangkrak (PPKM), danPendukung Partainya Kondomis &amp;amp; Menyabu (PPKM)</t>
  </si>
  <si>
    <t>@Luthfandhany @IndiHome Maaf saya sedang isoman dan mengikuti aturan ppkm (blsan operator indihome)</t>
  </si>
  <si>
    <t>Maaf saya sedang isoman dan mengikuti aturan ppkm (blsan operator indihome)</t>
  </si>
  <si>
    <t>Habis ppkm pelukan sampe asma</t>
  </si>
  <si>
    <t>Ppkm bikin pusing 😡</t>
  </si>
  <si>
    <t>Ppkm bikin pusing</t>
  </si>
  <si>
    <t>@pembayun75 @ainunnajib Justru yg chaos tuh yg model ppkm bgini,nyuruh orang ttep dirumah tp kaga ngasih apa2</t>
  </si>
  <si>
    <t>Justru yg chaos tuh yg model ppkm bgini,nyuruh orang ttep dirumah tp kaga ngasih apa2</t>
  </si>
  <si>
    <t>@iwan_jovi3 mampir ke Padang bg jo 
 nanti dikasih oleh2 rendang ala PPKM😂😂</t>
  </si>
  <si>
    <t>mampir ke Padang bg jo nanti dikasih oleh2 rendang ala PPKM</t>
  </si>
  <si>
    <t>@titingYS Sementara gt dulu, msh PPKM Soale,,
 Sabar</t>
  </si>
  <si>
    <t>Sementara gt dulu, msh PPKM Soale,,Sabar</t>
  </si>
  <si>
    <t>Ppkm dah lv 4 aja 🤯</t>
  </si>
  <si>
    <t>Ppkm dah lv aja</t>
  </si>
  <si>
    <t>@_Oceannia Yaampun aq aja gk tau kalo ini weekend 😭saking lamanya ppkm 🤣</t>
  </si>
  <si>
    <t>Yaampun aq aja gk tau kalo ini weekend saking lamanya ppkm</t>
  </si>
  <si>
    <t>PPKM : "pelan-pelan kamu melupakanku"</t>
  </si>
  <si>
    <t>@sandiuno Saya mau dong pak pengen beli kucing tapi gk mampu karna ada PPKM</t>
  </si>
  <si>
    <t>Saya mau dong pak pengen beli kucing tapi gk mampu karna ada PPKM</t>
  </si>
  <si>
    <t>PPKM
 Pernah " p " Kemudian Minggat !</t>
  </si>
  <si>
    <t>PPKMPernah " p " Kemudian Minggat !</t>
  </si>
  <si>
    <t>@amflife @zoelfick Berbagai PPKM dan lain-lain nama yang dibuat pemerintah intinya adalah LD tanpa keluar uang untuk menyantuni masyatakat. Katanya dana tak ada. Sementara proyek infrastruktur terus jalan. Karena proyek ini dinikmati inner circle rezim. Banyak datanya.</t>
  </si>
  <si>
    <t>Berbagai PPKM dan lain-lain nama yang dibuat pemerintah intinya adalah LD tanpa keluar uang untuk menyantuni masyatakat. Katanya dana tak ada. Sementara proyek infrastruktur terus jalan. Karena proyek ini dinikmati inner circle rezim. Banyak datanya.</t>
  </si>
  <si>
    <t>Giliran butuhh part timee malah ppkm, kmrn wktu gk ppkm ditanyain muluu dahal bisa pt apa engga tapi guanya gk bsa mulu krna bentrok kuliah:(</t>
  </si>
  <si>
    <t>Giliran butuhh part timee malah ppkm, kmrn wktu gk ppkm ditanyain muluu dahal bisa pt apa engga tapi guanya gk bsa mulu krna bentrok kuliah</t>
  </si>
  <si>
    <t>lebih suka ppkm tanpa "pp"</t>
  </si>
  <si>
    <t>@hahaha_3x emng doi dom mana?susah juga kalo kya gini lg ppkm</t>
  </si>
  <si>
    <t>emng doi dom mana?susah juga kalo kya gini lg ppkm</t>
  </si>
  <si>
    <t>@engkauu_ @banjarbase Bujur aja bro, tp fenomena skrg kd semua kepala daerah satu komando dg pusat. Jadi ada beberapa daerah yg keberatan jua kalo ppkm diadakan. Karena katanya kurang maksimal penerapannya, dan malah kurang solutif bagi masy. kelompok menengah ke bawah hehe.</t>
  </si>
  <si>
    <t>Bujur aja bro, tp fenomena skrg kd semua kepala daerah satu komando dg pusat. Jadi ada beberapa daerah yg keberatan jua kalo ppkm diadakan. Karena katanya kurang maksimal penerapannya, dan malah kurang solutif bagi masy. kelompok menengah ke bawah hehe.</t>
  </si>
  <si>
    <t>- Jokowi wajib mundur atau dilengserkan utk selamatkan rakyat !
 - Hari ini 24 Juli jokowi ditumbangkan ! Alhamdulillah Allahuakbar!
 - Mahasiswa, ojol n rakyat bergerak tolak PPKM n gulingkan jokowi !
 #TumbangkanJokowi
 #BebaskanIBHRSdkk
 #PulangkanTKAcina 
 https://t.co/cF1MGCx0vP</t>
  </si>
  <si>
    <t>- Jokowi wajib mundur atau dilengserkan utk selamatkan rakyat !- Hari ini Juli jokowi ditumbangkan ! Alhamdulillah Allahuakbar!- Mahasiswa, ojol n rakyat bergerak tolak PPKM n gulingkan jokowi !</t>
  </si>
  <si>
    <t>@alisyarief Gonta ganti nama bukan solusi psbb,ppkm mau apalagi namanya tdk akan ada pengaruh....pemerintah gagal menangulangi darurat kesehatan...malah mengeluarkan darurat militer... Kan aneh 👎</t>
  </si>
  <si>
    <t>Gonta ganti nama bukan solusi psbb,ppkm mau apalagi namanya tdk akan ada pengaruh....pemerintah gagal menangulangi darurat kesehatan...malah mengeluarkan darurat militer... Kan aneh</t>
  </si>
  <si>
    <t>Bahkan WHO turut menyarankan PPKM di Indonesia harus diperketat . https://t.co/3C1JhtSPww</t>
  </si>
  <si>
    <t>Bahkan WHO turut menyarankan PPKM di Indonesia harus diperketat .</t>
  </si>
  <si>
    <t>@radenrauf Tadi nya bulan2 skrng mau nikah tpi karna ppkm jdi di undur dlu 😔</t>
  </si>
  <si>
    <t>Tadi nya bulan2 skrng mau nikah tpi karna ppkm jdi di undur dlu</t>
  </si>
  <si>
    <t>ngga paham ama tetangga yg keukeuh ngadain syukuran khitanan pas ppkm. Alesannya udah ijin ke kelurahan. 
 Ah anying, emang sia kagedean gengsi we eta mah. Saukur babagi besek teu kudu ngundang jalema kan bisa. Kehed.</t>
  </si>
  <si>
    <t>ngga paham ama tetangga yg keukeuh ngadain syukuran khitanan pas ppkm. Alesannya udah ijin ke kelurahan. Ah anying, emang sia kagedean gengsi we eta mah. Saukur babagi besek teu kudu ngundang jalema kan bisa. Kehed.</t>
  </si>
  <si>
    <t>@XiaomiIndonesia @atytse Peluncuran hp ini dan redmi book keren, bisa menyesuaikan kondisi yang sedang ppkm. #RedmiNote10T5G #Redmibook15</t>
  </si>
  <si>
    <t>Peluncuran hp ini dan redmi book keren, bisa menyesuaikan kondisi yang sedang ppkm.</t>
  </si>
  <si>
    <t>@nanasyi_ kmna tpi kan ppkm</t>
  </si>
  <si>
    <t>kmna tpi kan ppkm</t>
  </si>
  <si>
    <t>@lagilagifanta PPKM: Pagi-Pagi Kangen kaMu 😆</t>
  </si>
  <si>
    <t>PPKM: Pagi-Pagi Kangen kaMu</t>
  </si>
  <si>
    <t>Kl ppkm kelar mam sushi yokk. Bm bgtttt</t>
  </si>
  <si>
    <t>PPKM. Pagi Pagi Kangen Mantan</t>
  </si>
  <si>
    <t>@87CALAMITY Dibatalin gara2 ppkm. Jadinya donasi full ke unicef sm nakes</t>
  </si>
  <si>
    <t>Dibatalin gara2 ppkm. Jadinya donasi full ke unicef sm nakes</t>
  </si>
  <si>
    <t>@iqbalpujawira @sajjanacaritaa Kalo itu serasa ppkm level 5 bal</t>
  </si>
  <si>
    <t>Kalo itu serasa ppkm level bal</t>
  </si>
  <si>
    <t>@PutraWadapi @chikiWell_ Kalo PPkM kan cukup kasih 300 k perbulan per KK,itupun gak perlu seluruh KK,bayangin kalo karantina,yg di kasih makan perkepala,makan paling murah 15k di kali 3 jadi 45 k di kali 30 hari jadi 1350 k,......hemaaaaatt.....cuaaaan</t>
  </si>
  <si>
    <t>Kalo PPkM kan cukup kasih k perbulan per KK,itupun gak perlu seluruh KK,bayangin kalo karantina,yg di kasih makan perkepala,makan paling murah k di kali jadi k di kali hari jadi k,......hemaaaaatt.....cuaaaan</t>
  </si>
  <si>
    <t>Di daerah w PPKM level 3, tapi cari informasi tentang vaksin susah bener. Bahkan wilayah tetangga bisa kerjasama sama aplikasi yg gampang diakses lewat HP. Apakah berarti emang pemerintah di daerah w belum melek teknologi ya 😓😓</t>
  </si>
  <si>
    <t>Di daerah w PPKM level , tapi cari informasi tentang vaksin susah bener. Bahkan wilayah tetangga bisa kerjasama sama aplikasi yg gampang diakses lewat HP. Apakah berarti emang pemerintah di daerah w belum melek teknologi ya</t>
  </si>
  <si>
    <t>PPKM: Pagi-Pagi Kamu Meresahkan😶</t>
  </si>
  <si>
    <t>PPKM: Pagi-Pagi Kamu Meresahkan</t>
  </si>
  <si>
    <t>pagi² emosi bgt, lagi ppkm gini malah ngumpul mana lebih dari 20 orang 😭 kapan masuk sekolah gueeeeeee</t>
  </si>
  <si>
    <t>pagi emosi bgt, lagi ppkm gini malah ngumpul mana lebih dari orang kapan masuk sekolah gueeeeeee</t>
  </si>
  <si>
    <t>@bacotanhawaa @banjarbase Mau ppkm atau engga tetep aja nongkrong skrg mah 😅 org" Udah jenuh kayanya. Jd mau zona merah kek atau apa, nongkrong aja. Jgn ikutan nongkrong ya :) jaga kesehatan diri sendiri</t>
  </si>
  <si>
    <t>Mau ppkm atau engga tetep aja nongkrong skrg mah org" Udah jenuh kayanya. Jd mau zona merah kek atau apa, nongkrong aja. Jgn ikutan nongkrong ya jaga kesehatan diri sendiri</t>
  </si>
  <si>
    <t>@ainunnajib Lockdown utk menyelamatkan rakyatnya, psbb/ppkm/lvl1-4 menyelamatkan oligarki.</t>
  </si>
  <si>
    <t>Lockdown utk menyelamatkan rakyatnya, psbb/ppkm/lvl1-4 menyelamatkan oligarki.</t>
  </si>
  <si>
    <t>HELPSPKWKDK MAMAH NYARI SATE GAADA ADA MAU NYARI KE PUNCAK KATANYA BANGKEEEEEEEEEE PPKM GINI 😭</t>
  </si>
  <si>
    <t>HELPSPKWKDK MAMAH NYARI SATE GAADA ADA MAU NYARI KE PUNCAK KATANYA BANGKEEEEEEEEEE PPKM GINI</t>
  </si>
  <si>
    <t>@Sunda_Fess PPKM level karet merah 3 ini mah, gawat.</t>
  </si>
  <si>
    <t>PPKM level karet merah ini mah, gawat.</t>
  </si>
  <si>
    <t>Mau ketemu pacar aja susah banget gegara PPKM. 😔</t>
  </si>
  <si>
    <t>Mau ketemu pacar aja susah banget gegara PPKM.</t>
  </si>
  <si>
    <t>LBP mngapresiasi kerja Anies.
 Lalu @adearmando1 @FerdinandHaean3 dan bajingan yg lain pada kepanasan.Bangsat lu.Mestinya bantu rakyat yg terdampak PPKM jilid4. https://t.co/LIlJPHv3AM</t>
  </si>
  <si>
    <t>LBP mngapresiasi kerja Anies.Lalu dan bajingan yg lain pada kepanasan.Bangsat lu.Mestinya bantu rakyat yg terdampak PPKM jilid4.</t>
  </si>
  <si>
    <t>@Dzawinur Ppkm bang</t>
  </si>
  <si>
    <t>Ppkm bang</t>
  </si>
  <si>
    <t>Org yg mendukung ppkm adlh org2 yg koplak,,menyengsarakan rakyat kecil,,
 Menghambat aktifitas rakyat dlm menjemput rejeki Allah..
 Dosa tau!!!</t>
  </si>
  <si>
    <t>Org yg mendukung ppkm adlh org2 yg koplak,,menyengsarakan rakyat kecil,,Menghambat aktifitas rakyat dlm menjemput rejeki Allah..Dosa tau!!!</t>
  </si>
  <si>
    <t>Besok ppkm terakhir yaa</t>
  </si>
  <si>
    <t>"Miskinnya dari zaman Soeharto, yang disalahkan PPKM Darurat yang hanya 2 minggu."
 @TeddyGusnaidi quote
 #BongkarBiangRusuh #KamiPercayaJokowi
 #JokowiAtasiPandemi https://t.co/TcemJL2IbB</t>
  </si>
  <si>
    <t>"Miskinnya dari zaman Soeharto, yang disalahkan PPKM Darurat yang hanya minggu." quote</t>
  </si>
  <si>
    <t>Good Morning Yang Lagi Pada Nungguin PPKM Selesai....😁</t>
  </si>
  <si>
    <t>Good Morning Yang Lagi Pada Nungguin PPKM Selesai....</t>
  </si>
  <si>
    <t>di tempat baru diberlakuin ppkm, tetangga gue malah ngadain hajatan. luar biasa manusia didunia ini.</t>
  </si>
  <si>
    <t>@txtfromshark ppkm bawell 😫</t>
  </si>
  <si>
    <t>ppkm bawell</t>
  </si>
  <si>
    <t>@detikcom Gimana mbah Uti. Masak gak tau sedang PPKM</t>
  </si>
  <si>
    <t>Gimana mbah Uti. Masak gak tau sedang PPKM</t>
  </si>
  <si>
    <t>@mbambanghutomo Ppkm hanyalah mitos wkwk tetep disuruh masuk. Gatau nih di jalan disuruh puter balik apa engga</t>
  </si>
  <si>
    <t>Ppkm hanyalah mitos wkwk tetep disuruh masuk. Gatau nih di jalan disuruh puter balik apa engga</t>
  </si>
  <si>
    <t>Bagaimana bisa disebut bijak jika penjual bubur didenda 5 juta atau kurungan penjara dengan aturan PPKM rasa karantina wilayah tapi minus jaminan kesejahteraan sedangkan para pejabatnya berebut rangkap komisaris?</t>
  </si>
  <si>
    <t>Bagaimana bisa disebut bijak jika penjual bubur didenda juta atau kurungan penjara dengan aturan PPKM rasa karantina wilayah tapi minus jaminan kesejahteraan sedangkan para pejabatnya berebut rangkap komisaris?</t>
  </si>
  <si>
    <t>@Andiarief__ dengan adanya PPKM bisa menyelamatkan nyawa manusia juga rief.sekarang tanggung jawab moral lo apa selama ini ?, selain hanya koar2 mbacot nggak karuan di medsos,ada arahan dari bapak pembina ya ?😁</t>
  </si>
  <si>
    <t>dengan adanya PPKM bisa menyelamatkan nyawa manusia juga rief.sekarang tanggung jawab moral lo apa selama ini ?, selain hanya koar2 mbacot nggak karuan di medsos,ada arahan dari bapak pembina ya ?</t>
  </si>
  <si>
    <t>Kalo ppkm diperpanjang yg ldr bisa apa</t>
  </si>
  <si>
    <t>#RingkusAktorCovidiot
 Politisi Hitam biarpun putih kulitnya gemuk badannya &amp;amp; biru bajunya
 Jelas BUKAN NEGARAWAN
 Covid 19 adalah Pandemi
 PPKM, vaksinasi, Prokes 5 M adalah solusi
 Bukan menghasut untuk menurunkan si pembuat kebijakan
 🤦
 pandemi diatasi
 bukan di POLITISASI https://t.co/4EOqV2qStH</t>
  </si>
  <si>
    <t>Hitam biarpun putih kulitnya gemuk badannya &amp;amp; biru bajunyaJelas BUKAN NEGARAWANCovid adalah PandemiPPKM, vaksinasi, Prokes M adalah solusiBukan menghasut untuk menurunkan si pembuat kebijakanpandemi diatasibukan di POLITISASI</t>
  </si>
  <si>
    <t>@geloraco PPKM tuh cuma ketololan yang luar biasa.</t>
  </si>
  <si>
    <t>PPKM tuh cuma ketololan yang luar biasa.</t>
  </si>
  <si>
    <t>Sudah dengar belum larangan dr Gubernur yaitu Jabar dan DKI tentang demo yang akan dlakukan hari ini, apa kabarnya PPKM?
 Mana sandiwara sok tegas kalian tentang penekanan angka penderita covid?
 Ayo dong bacot😌</t>
  </si>
  <si>
    <t>Sudah dengar belum larangan dr Gubernur yaitu Jabar dan DKI tentang demo yang akan dlakukan hari ini, apa kabarnya PPKM?Mana sandiwara sok tegas kalian tentang penekanan angka penderita covid?Ayo dong bacot</t>
  </si>
  <si>
    <t>Tiba tiba kangen jalan jalan gitu -___ 
 Yok bisa yok abis ppkm kita pergi :)</t>
  </si>
  <si>
    <t>Tiba tiba kangen jalan jalan gitu -___ Yok bisa yok abis ppkm kita pergi</t>
  </si>
  <si>
    <t>💭 4lfam4rt kab. bogor ngeberlakuin ppkm ga? tutup jam 8 kan? aku ada observasi toko tpi dapet shift 2, klo pulang jam 11 takut smpe rumah jam 1 malem krna jauh bgt..</t>
  </si>
  <si>
    <t>lfam4rt kab. bogor ngeberlakuin ppkm ga? tutup jam kan? aku ada observasi toko tpi dapet shift , klo pulang jam takut smpe rumah jam malem krna jauh bgt..</t>
  </si>
  <si>
    <t>@fadliaprillia13 @mejajangmyeon Masih disuruh PPKM sama hokage https://t.co/iOYO2qB5hb</t>
  </si>
  <si>
    <t>Masih disuruh PPKM sama hokage</t>
  </si>
  <si>
    <t>Bandung lagi..
 Jabar lagi....Duuh 🤦
 150 demonstran, yang di antaranya pelajar SMP-SMA, diamankan polisi dalam aksi unjuk rasa tolak PPKM Darurat.
 .
 .
 #RingkusAktorCovidiot
 #KitaPercayaJokowi
 https://t.co/toFDPm7UMF</t>
  </si>
  <si>
    <t>Bandung lagi..Jabar lagi....Duuh demonstran, yang di antaranya pelajar SMP-SMA, diamankan polisi dalam aksi unjuk rasa tolak PPKM Darurat...://</t>
  </si>
  <si>
    <t>pas di turki ada pembatasan sekala nasional pas pulang ke indo dapet ppkm lv 4.. gini amat cara semesta memaksa untuk jadi kaum rebahan..</t>
  </si>
  <si>
    <t>pas di turki ada pembatasan sekala nasional pas pulang ke indo dapet ppkm lv .. gini amat cara semesta memaksa untuk jadi kaum rebahan..</t>
  </si>
  <si>
    <t>@gakbliblidotcom @dimasawarga @Bg_puak @TengkuKhadafi @martabk_manis @YNTKTS908206 @idnkeras @hibooran Ga ada yg sempurna,kau ajukan lah ke RT/lurah mu. Yg pasti PPKM ini spy ga lumpuh faskes. Aku jg punya usaha, omset turun drastis, ada karyawan yg kerja disitu,cukup biaya operasional &amp;amp; gaji aja udh syukur. Prokes&amp;amp;vaksin ya,cuma itu cara spy kasus covid turun https://t.co/e7ydOHjMsy</t>
  </si>
  <si>
    <t>Ga ada yg sempurna,kau ajukan lah ke RT/lurah mu. Yg pasti PPKM ini spy ga lumpuh faskes. Aku jg punya usaha, omset turun drastis, ada karyawan yg kerja disitu,cukup biaya operasional &amp;amp; gaji aja udh syukur. Prokes&amp;amp;vaksin ya,cuma itu cara spy kasus covid turun</t>
  </si>
  <si>
    <t>Pagi semua! Hp ku rusakk ges semalem 😭😭 tbtb mati pdahal batre full, kirain pgi ini bakal dah bisa nyala ternyata ngga 😭 yang dom tangerang tau ga si mall mana aja yg masi buka ppkm gini ?? Bingung banget 😭😭</t>
  </si>
  <si>
    <t>Pagi semua! Hp ku rusakk ges semalem tbtb mati pdahal batre full, kirain pgi ini bakal dah bisa nyala ternyata ngga yang dom tangerang tau ga si mall mana aja yg masi buka ppkm gini ?? Bingung banget</t>
  </si>
  <si>
    <t>Baru 25 hari udah 100GB
 Efek PPKM dirumah terus 🙃</t>
  </si>
  <si>
    <t>Baru hari udah GBEfek PPKM dirumah terus</t>
  </si>
  <si>
    <t>masih PPKM bu @KhofifahIP ndak usah kemana2 apalagi melewati penyekatan di Waru depan pintu keluar Terminal Purabaya, bukan begitu netizen @e100ss https://t.co/Gmyew52l3D</t>
  </si>
  <si>
    <t>masih PPKM bu ndak usah kemana2 apalagi melewati penyekatan di Waru depan pintu keluar Terminal Purabaya, bukan begitu netizen</t>
  </si>
  <si>
    <t>@collegemenfess @imurbbyygurl libur 1 bulan, eh kepotong ppkm</t>
  </si>
  <si>
    <t>libur bulan, eh kepotong ppkm</t>
  </si>
  <si>
    <t>pasar lemah kena ppkm</t>
  </si>
  <si>
    <t>@Akun_Galih Iya tgl 26 bang, bjm jua bakalan ppkm 😅</t>
  </si>
  <si>
    <t>Iya tgl bang, bjm jua bakalan ppkm</t>
  </si>
  <si>
    <t>Airlangga Minta Kiai, Habib, Ulama Dukung PPKM Darurat
 Masih butuh ya dg para Kiai, Habib dan Ulama, selama ini kenapa ada kesan membenci mereka, bahkan berusaha mendiskreditkan
 Rezim aneh kalian ini https://t.co/rn0QzCzAP4</t>
  </si>
  <si>
    <t>Airlangga Minta Kiai, Habib, Ulama Dukung PPKM DaruratMasih butuh ya dg para Kiai, Habib dan Ulama, selama ini kenapa ada kesan membenci mereka, bahkan berusaha mendiskreditkanRezim aneh kalian ini</t>
  </si>
  <si>
    <t>@Michellkenji Belooom tunggu ppkm beres dulu biar gausah test pcr 🤣 mahal kak</t>
  </si>
  <si>
    <t>Belooom tunggu ppkm beres dulu biar gausah test pcr mahal kak</t>
  </si>
  <si>
    <t>@BerandaJogja minta info dulur, kalau sim habis saat PPKM perpanjangan dimana ya? sim jogja (sleman) nuwun</t>
  </si>
  <si>
    <t>minta info dulur, kalau sim habis saat PPKM perpanjangan dimana ya? sim jogja (sleman) nuwun</t>
  </si>
  <si>
    <t>Tempat refleksi buka ga sih lagi ppkm gini pegel bener nih badan</t>
  </si>
  <si>
    <t>Tesnya termasuk syarat perjalanan atau yang untuk tracing kasus? Kalau yg syarat perjalanan dimasukkan di angka ini ya itu bisa jadi nunjukin PPKM Darurat kemarin gak optimal. Kl angka tes ini fokus di tracing Puskesmas, seharusnya angka penularan dan kematian bisa ditekan. Piye? https://t.co/Z1uVLchXbI</t>
  </si>
  <si>
    <t>Tesnya termasuk syarat perjalanan atau yang untuk tracing kasus? Kalau yg syarat perjalanan dimasukkan di angka ini ya itu bisa jadi nunjukin PPKM Darurat kemarin gak optimal. Kl angka tes ini fokus di tracing Puskesmas, seharusnya angka penularan dan kematian bisa ditekan. Piye?</t>
  </si>
  <si>
    <t>@__imsournoelle yaampun ku kira nyate sama keluarga 😭 sabar yaa bntr lagi selesai ppkm nya😢</t>
  </si>
  <si>
    <t>yaampun ku kira nyate sama keluarga sabar yaa bntr lagi selesai ppkm nya</t>
  </si>
  <si>
    <t>kalo ga ppkm kalo saturday gni pst main2</t>
  </si>
  <si>
    <t>@jokowi pak Jokowi
 Terimakasih selama PPKM
 Saya sudah terima BPUM dari BRI
 MOGA BAPAK dan sekeluarga sehat slalu.</t>
  </si>
  <si>
    <t>pak JokowiTerimakasih selama PPKMSaya sudah terima BPUM dari BRIMOGA BAPAK dan sekeluarga sehat slalu.</t>
  </si>
  <si>
    <t>@almagentia369 Hmm, kali-kali posting foto orang yang kecapean dijalan karena dagangan nggak laku efek PPKM, atau pedagang yang lagi ditutup paksa karena tetap berdagang demi mengais rejeki (kek)..</t>
  </si>
  <si>
    <t>Hmm, kali-kali posting foto orang yang kecapean dijalan karena dagangan nggak laku efek PPKM, atau pedagang yang lagi ditutup paksa karena tetap berdagang demi mengais rejeki (kek)..</t>
  </si>
  <si>
    <t>@Hasbil_Lbs @henrysubiakto Aaa klu gini aja gmn .. Yg kalah bayar 500jt, diserahkan ke masyarakat yg paling berat terdampak covid atau ppkm sableng itu</t>
  </si>
  <si>
    <t>Aaa klu gini aja gmn .. Yg kalah bayar jt, diserahkan ke masyarakat yg paling berat terdampak covid atau ppkm sableng itu</t>
  </si>
  <si>
    <t>- Mahasiswa, ojol n rakyat bergerak tolak PPKM n gulingkan jokowi !
 - Agenda MPR lakukan Sidang Istinewa gulingkan jokowi. Alhamdulillah. Aamiin !
 - Pelanggaran tecela jokowi terkini !
 #TumbangkanJokowi
 #BebaskanIBHRSdkk
 #PulangkanTKAcina 
 https://t.co/bnnCALFTFw</t>
  </si>
  <si>
    <t>- Mahasiswa, ojol n rakyat bergerak tolak PPKM n gulingkan jokowi !- Agenda MPR lakukan Sidang Istinewa gulingkan jokowi. Alhamdulillah. Aamiin !- Pelanggaran tecela jokowi terkini !</t>
  </si>
  <si>
    <t>@infojogja minta info dulur, kalau sim habis saat PPKM perpanjangan dimana ya? sim jogja (sleman) nuwun</t>
  </si>
  <si>
    <t>@endlessattack @CintaJaka @ichadoni @na_dirs Kerja apaan njiiiiiiing?
 Usaha - usaha pada ditutupin dan jalan juga demikian sejak PPKM, ni juga ada PPKM Level 4 kayak glGame On Line ajee yee, ngakaaaaaak 🤣🤣🤣🤣</t>
  </si>
  <si>
    <t>Kerja apaan njiiiiiiing?Usaha - usaha pada ditutupin dan jalan juga demikian sejak PPKM, ni juga ada PPKM Level kayak glGame On Line ajee yee, ngakaaaaaak</t>
  </si>
  <si>
    <t>Kekecewaan warga selama PPKM harusnya ditujukan pada Kepala Daerah, bukan Pemerintah Pusat.
 Adanya Kepala Daerah yg nilep anggaran Bansos dari Pusat sudah bukan rahasia lagi, oleh karena itu jangan selalu menuding Pempus atas semua kebobrokan &amp;amp; kebiadaban yg terjadi di daerah. https://t.co/lsk7Qiul5p</t>
  </si>
  <si>
    <t>Kekecewaan warga selama PPKM harusnya ditujukan pada Kepala Daerah, bukan Pemerintah Pusat.Adanya Kepala Daerah yg nilep anggaran Bansos dari Pusat sudah bukan rahasia lagi, oleh karena itu jangan selalu menuding Pempus atas semua kebobrokan &amp;amp; kebiadaban yg terjadi di daerah.</t>
  </si>
  <si>
    <t>@ChoneeyLm Aamiin mksh supportnya say
 Oya buku dr kamis sdh kirim dr penerbit Bandung mngkn krn ppkm jd lambat pengiriman🙏😊</t>
  </si>
  <si>
    <t>Aamiin mksh supportnya sayOya buku dr kamis sdh kirim dr penerbit Bandung mngkn krn ppkm jd lambat pengiriman</t>
  </si>
  <si>
    <t>@gloriahermawan Ppkm aja baru lepel 4</t>
  </si>
  <si>
    <t>Ppkm aja baru lepel</t>
  </si>
  <si>
    <t>@adamendra Yuk gas PPKM</t>
  </si>
  <si>
    <t>Yuk gas PPKM</t>
  </si>
  <si>
    <t>PPKM (pelan pelan kami meninggal) - plecon 2021</t>
  </si>
  <si>
    <t>PPKM (pelan pelan kami meninggal) - plecon</t>
  </si>
  <si>
    <t>@Gerakarus @Recht_Reo @ainunnajib Lah. Di-PPKM-in berlevel" dg disuguhin bansos ajah ente udah pd demo menta dibebasin ajah. Apalagi lokdong....</t>
  </si>
  <si>
    <t>Lah. Di-PPKM-in berlevel" dg disuguhin bansos ajah ente udah pd demo menta dibebasin ajah. Apalagi lokdong....</t>
  </si>
  <si>
    <t>mau nyate tp masi ppkm</t>
  </si>
  <si>
    <t>Bukankah sedari awal memang sudah gagal ? . Pemakaian kata karantina diganti dengan istilah psbb,ppkm. Mensahkan UU omnibuslaw ditengah Pandemi. Korupsi bansos, mana katanya mau dihukum mati ? . 
 86 juta rakyat yang mendukung mu itu asli atau hanya manipulasi ?
 #PakdeMundurSaja https://t.co/jE0nh2t1gW</t>
  </si>
  <si>
    <t>Bukankah sedari awal memang sudah gagal ? . Pemakaian kata karantina diganti dengan istilah psbb,ppkm. Mensahkan UU omnibuslaw ditengah Pandemi. Korupsi bansos, mana katanya mau dihukum mati ? . juta rakyat yang mendukung mu itu asli atau hanya manipulasi ?</t>
  </si>
  <si>
    <t>@Askrlfess Y gpp. Ttpppp kan ppkm....</t>
  </si>
  <si>
    <t>Y gpp. Ttpppp kan ppkm....</t>
  </si>
  <si>
    <t>@Nubrondonglover Terhalang ppkm😆</t>
  </si>
  <si>
    <t>Terhalang ppkm</t>
  </si>
  <si>
    <t>Petugas ppkm pungli</t>
  </si>
  <si>
    <t>@mellywardini bjb-bjb ppkm lv 4</t>
  </si>
  <si>
    <t>bjb-bjb ppkm lv</t>
  </si>
  <si>
    <t>.
 SEMANGAT PPKM !
 SELAMAT WIKEND !
 .
 #GROUPFRIENDSHIPSTUDIO 
 LAMA GAK UP PHOTO GUYS
 . @ Hangout Bersama https://t.co/9hSgWtGJC2</t>
  </si>
  <si>
    <t>.SEMANGAT PPKM !SELAMAT WIKEND !. LAMA GAK UP PHOTO GUYS. Hangout Bersama</t>
  </si>
  <si>
    <t>Lucunya walau terkesan cuma cari follower &amp;amp; subscriber. Youtuber &amp;amp; Selebgram malah banyak yg lebih peduli rakyat yg terdampak PPKM. Hmm.. Seandainya para pejabat punya akun youtube mungkinkah mereka jadi lebih peduli walau pun cuma sekedar cari suara? #PPKMDaruratBerdampakBaik</t>
  </si>
  <si>
    <t>Lucunya walau terkesan cuma cari follower &amp;amp; subscriber. Youtuber &amp;amp; Selebgram malah banyak yg lebih peduli rakyat yg terdampak PPKM. Hmm.. Seandainya para pejabat punya akun youtube mungkinkah mereka jadi lebih peduli walau pun cuma sekedar cari suara?</t>
  </si>
  <si>
    <t>@MisbahWiyono @irfan_nuruddin Lha sebelum PPKM mengendap dimana?</t>
  </si>
  <si>
    <t>Lha sebelum PPKM mengendap dimana?</t>
  </si>
  <si>
    <t>Sekarang dah tanggal 24 yh
 Ppkm dah selesai belom sie</t>
  </si>
  <si>
    <t>Sekarang dah tanggal yhPpkm dah selesai belom sie</t>
  </si>
  <si>
    <t>Sarapan bubur Manado kita,ppkm hari ini hayuuuu.....neng @Rainirainn @delzitaz mang @aseppasduabelas wa haji @Biano64 om @is_pelssy ....biar imun ttep bgs https://t.co/4tfod4M3qU</t>
  </si>
  <si>
    <t>Sarapan bubur Manado kita,ppkm hari ini hayuuuu.....neng mang wa haji om ....biar imun ttep bgs</t>
  </si>
  <si>
    <t>@bagusharyobint4 Bayangin terus, smpe PPKM gk di perpanjang</t>
  </si>
  <si>
    <t>Bayangin terus, smpe PPKM gk di perpanjang</t>
  </si>
  <si>
    <t>Kematian Corona Rekor Lagi, Epidemiolog Tak Setuju PPKM Dilonggarkan https://t.co/A5JoeMvrE0 
 Ibarat main catur, seharusnya dulu pada saat langkah awal merupakan langkah yang krusial. Salah langkah di awal, akan menyebabkan Indonesia saat ini berada di posisi pilihan yang sulit.</t>
  </si>
  <si>
    <t>Kematian Corona Rekor Lagi, Epidemiolog Tak Setuju PPKM Dilonggarkan Ibarat main catur, seharusnya dulu pada saat langkah awal merupakan langkah yang krusial. Salah langkah di awal, akan menyebabkan Indonesia saat ini berada di posisi pilihan yang sulit.</t>
  </si>
  <si>
    <t>Dapet spoiler tentang ppkm dari pa ardian bikin mood menjelang agustus ku buyar</t>
  </si>
  <si>
    <t>Capek sama PPKM dan PSBB #PakdeMundurSaja</t>
  </si>
  <si>
    <t>Capek sama PPKM dan PSBB</t>
  </si>
  <si>
    <t>Harusnya dibuatkan undang2
 Bilamana sedang PPKM , dilarang untuk berdemo , jika melanggar maka 
 aparat wajib tembak ditempat para pendemo.
 Kan pasti pada mikir yang mau demo 
 Seumpama......
 😅🙏✌️</t>
  </si>
  <si>
    <t>Harusnya dibuatkan undang2Bilamana sedang PPKM , dilarang untuk berdemo , jika melanggar maka aparat wajib tembak ditempat para pendemo.Kan pasti pada mikir yang mau demo Seumpama......</t>
  </si>
  <si>
    <t>@sociotalker @Mukaertopo yg belum PSBB return, ama PPKM reborn, entah kapan, menjelang 2024 kaleee hauhauhau</t>
  </si>
  <si>
    <t>yg belum PSBB return, ama PPKM reborn, entah kapan, menjelang kaleee hauhauhau</t>
  </si>
  <si>
    <t>@recehtapisayng respect buat ente bro, banyak yang komen "klo laper makanlah dan gak punya uang kerja" katanya tapi tu otak di pantat 🤣, mau makan mau kerja gimana lah suruh ppkm 🤣</t>
  </si>
  <si>
    <t>respect buat ente bro, banyak yang komen "klo laper makanlah dan gak punya uang kerja" katanya tapi tu otak di pantat , mau makan mau kerja gimana lah suruh ppkm</t>
  </si>
  <si>
    <t>@aifplane aku ga suka ppkm</t>
  </si>
  <si>
    <t>aku ga suka ppkm</t>
  </si>
  <si>
    <t>Bansos ppkm tni polri 💪💪 https://t.co/hMZghD9vVX</t>
  </si>
  <si>
    <t>Bansos ppkm tni polri</t>
  </si>
  <si>
    <t>@aiek_esthreem Ya skrg sprti itu perusahaan yg ada atau tdk ada hub sm cina.. resto aja yg di mall2 bnyk yg jd terpaksa di vaksin.. krn kalau gk trhalang di jln ttg ppkm.. ya pemilik resto mewajibkan hal itu pd karyawan ny.</t>
  </si>
  <si>
    <t>Ya skrg sprti itu perusahaan yg ada atau tdk ada hub sm cina.. resto aja yg di mall2 bnyk yg jd terpaksa di vaksin.. krn kalau gk trhalang di jln ttg ppkm.. ya pemilik resto mewajibkan hal itu pd karyawan ny.</t>
  </si>
  <si>
    <t>@MhSukmana @FerdinandHaean3 Kok sama pendemo minta PPKM dicabut, Pemerintah kayaknya takut banget sih ?, ya udah cabut aja itu PPKM yang bener2 menyengsarakan rakyat kecil, jadi gak perlu demo2 lagi !!!</t>
  </si>
  <si>
    <t>Kok sama pendemo minta PPKM dicabut, Pemerintah kayaknya takut banget sih ?, ya udah cabut aja itu PPKM yang bener2 menyengsarakan rakyat kecil, jadi gak perlu demo2 lagi !!!</t>
  </si>
  <si>
    <t>pPKM pelan-pelan kita mati..
 Promo potongan nyawa ERA 
 Mukidi..
 Smg Allah melindungi Rakyat Indonesia dari kedzaliman pemimpinya sendiri,aamiin https://t.co/J1ihD5WKFI</t>
  </si>
  <si>
    <t>pPKM pelan-pelan kita mati..Promo potongan nyawa ERA Mukidi..Smg Allah melindungi Rakyat Indonesia dari kedzaliman pemimpinya sendiri,aamiin</t>
  </si>
  <si>
    <t>@J15Juyeon Ppkm, maka.a staycation</t>
  </si>
  <si>
    <t>Ppkm, maka.a staycation</t>
  </si>
  <si>
    <t>@idhamf93 wkwkw masi ppkm</t>
  </si>
  <si>
    <t>wkwkw masi ppkm</t>
  </si>
  <si>
    <t>day 9: https://t.co/ANzs7fImJK
 in a nutshell: ilmuwan UK lg kumpulin data penyebaran covid di event2 terbuka, dan meski mulai nemu insight² baru, masih kesulitan krn suka telat kerja sama dg EO²-nya dan pemerintah kek gegabah—datanya blum rampung eh udh longgar2in PPKM aja.</t>
  </si>
  <si>
    <t>day : a nutshell: ilmuwan UK lg kumpulin data penyebaran covid di event2 terbuka, dan meski mulai nemu insight baru, masih kesulitan krn suka telat kerja sama dg EO-nya dan pemerintah kek gegabahdatanya blum rampung eh udh longgar2in PPKM aja.</t>
  </si>
  <si>
    <t>@sociotalker @FaisalBasri PPKM = Peraatuan Sepakbola Kampung Melayu 😬</t>
  </si>
  <si>
    <t>PPKM = Peraatuan Sepakbola Kampung Melayu</t>
  </si>
  <si>
    <t>@galgurls Otewe PPKM level naga 🤙🏻</t>
  </si>
  <si>
    <t>Otewe PPKM level naga</t>
  </si>
  <si>
    <t>@bareksacom Mantul nih kinerja PPKM berdampak positif terhadap iklim investasi. Mulai ada geliatnya investor asing borong saham kita. 
 .</t>
  </si>
  <si>
    <t>Mantul nih kinerja PPKM berdampak positif terhadap iklim investasi. Mulai ada geliatnya investor asing borong saham kita. .</t>
  </si>
  <si>
    <t>@naisyuuu Jgn mas, ppkm haha</t>
  </si>
  <si>
    <t>Jgn mas, ppkm haha</t>
  </si>
  <si>
    <t>PPKM diperpanjang sampai kamu jadi milik aku😋</t>
  </si>
  <si>
    <t>PPKM diperpanjang sampai kamu jadi milik aku</t>
  </si>
  <si>
    <t>@Recht_Reo @ainunnajib Statuta aja diubah. Ini tentu lebih mudah. Tinggal kasih aja, istilah2, PSBB, PPKM, dll.</t>
  </si>
  <si>
    <t>Statuta aja diubah. Ini tentu lebih mudah. Tinggal kasih aja, istilah2, PSBB, PPKM, dll.</t>
  </si>
  <si>
    <t>Para pedagang berpangku tangan,ketika masa pandemi saja mereka sdh tidak jarang pembeli..,sekarang masa ppkm boro2 kerumunan,yg ada kaya kuburan lapak mereka.
 Pertanyaan nya adalah kenapa mereka ditutup?</t>
  </si>
  <si>
    <t>Para pedagang berpangku tangan,ketika masa pandemi saja mereka sdh tidak jarang pembeli..,sekarang masa ppkm boro2 kerumunan,yg ada kaya kuburan lapak mereka.Pertanyaan nya adalah kenapa mereka ditutup?</t>
  </si>
  <si>
    <t>PPKM
 Pengen Peluk KM.</t>
  </si>
  <si>
    <t>PPKMPengen Peluk KM.</t>
  </si>
  <si>
    <t>@Sofy_Beeeeee Beeegh hujan² tweetnya bikin...PPKM...PGN Peluk Kamu Mbak😁</t>
  </si>
  <si>
    <t>Beeegh hujan tweetnya bikin...PPKM...PGN Peluk Kamu Mbak</t>
  </si>
  <si>
    <t>Ppkm memberi kesempatan kpd sy nonton serial sinetron ikatan cinta.'
 Ngooookaaaaayyyy. https://t.co/Yfslt23EcK</t>
  </si>
  <si>
    <t>Ppkm memberi kesempatan kpd sy nonton serial sinetron ikatan cinta.'Ngooookaaaaayyyy.</t>
  </si>
  <si>
    <t>Pjabat enak-enak manfatkan masa PPKM dgn santai dan nonton sinetron dirumah. 
 Rakyat kecil lagi megap-megap cari nafkah utk sekedar bertahan hidup, itupun terbentur dgn PPKM yg ketat.
 pemrintah tdk memberi kompensasi merata pd warga yg terdampak. https://t.co/AET9RRPsk8</t>
  </si>
  <si>
    <t>Pjabat enak-enak manfatkan masa PPKM dgn santai dan nonton sinetron dirumah. Rakyat kecil lagi megap-megap cari nafkah utk sekedar bertahan hidup, itupun terbentur dgn PPKM yg ketat.pemrintah tdk memberi kompensasi merata pd warga yg terdampak.</t>
  </si>
  <si>
    <t>Tahun 2019, 700 lebih Petugas KPPS Wafat.
 Tahun 2021, 60.000 lebih Rakyat Wafat.
 Sementara pemberlakuan PPKM membuat Rakyat semakin sekarat.
 Mampu dan arogan mengurung Rakyat, tapi tak mampu memberi makan untuk Rakyat.
 #opposite6890 https://t.co/L1FpklIoF0</t>
  </si>
  <si>
    <t>Tahun , lebih Petugas KPPS Wafat.Tahun , lebih Rakyat Wafat.Sementara pemberlakuan PPKM membuat Rakyat semakin sekarat.Mampu dan arogan mengurung Rakyat, tapi tak mampu memberi makan untuk Rakyat.</t>
  </si>
  <si>
    <t>Rakyat tidak punya pilihan lain utk hidup, ditekan..ditekan..akhirnya melawan, rakyat perlu jaminan sosial dalam ppkm.. bansos utk siapa?,,, https://t.co/SS011cic2k</t>
  </si>
  <si>
    <t>Rakyat tidak punya pilihan lain utk hidup, ditekan..ditekan..akhirnya melawan, rakyat perlu jaminan sosial dalam ppkm.. bansos utk siapa?,,,</t>
  </si>
  <si>
    <t>PPKM MENGHANCURKAN SEMUA PLAN EKONOMI SAYA! Tekan semene PAHAM po rak? https://t.co/jfarmK3CK1</t>
  </si>
  <si>
    <t>PPKM MENGHANCURKAN SEMUA PLAN EKONOMI SAYA! Tekan semene PAHAM po rak?</t>
  </si>
  <si>
    <t>@gkduluuuu Bukannya masi ppkm</t>
  </si>
  <si>
    <t>Bukannya masi ppkm</t>
  </si>
  <si>
    <t>@iqbalNerazzurri @Sofy_Beeeeee Aku di kabari teman. Selama ppkm katanya angka kehamilan meningkat. Terus aku bilg itu kabar bagus.. Klu perlu kira tingkatkan terus.</t>
  </si>
  <si>
    <t>Aku di kabari teman. Selama ppkm katanya angka kehamilan meningkat. Terus aku bilg itu kabar bagus.. Klu perlu kira tingkatkan terus.</t>
  </si>
  <si>
    <t>PPKM memberi kesempatan kepada saya utk menonton sinetron tingkah pejabat wakanda.
 Asyik jg sih. Tapi pemahaman mrk ttg empati tdk tepat. Dan ini mencerminkan hati. Hati mencerminkan aura wajah.
 Menghitam &amp;amp; makin gosong.
 ☕Glek</t>
  </si>
  <si>
    <t>PPKM memberi kesempatan kepada saya utk menonton sinetron tingkah pejabat wakanda.Asyik jg sih. Tapi pemahaman mrk ttg empati tdk tepat. Dan ini mencerminkan hati. Hati mencerminkan aura wajah.Menghitam &amp;amp; makin gosong.Glek</t>
  </si>
  <si>
    <t>@KompasTV Kalao pemerintah berniat mau menghancurkan ekonomi rakyat, perpanjang terus PPKM</t>
  </si>
  <si>
    <t>Kalao pemerintah berniat mau menghancurkan ekonomi rakyat, perpanjang terus PPKM</t>
  </si>
  <si>
    <t>@Al_Mksn Terus lawan Rakyat Di PPKM warga cina bebas masuk</t>
  </si>
  <si>
    <t>Terus lawan Rakyat Di PPKM warga cina bebas masuk</t>
  </si>
  <si>
    <t>ppkm trus https://t.co/n4riL33cD2</t>
  </si>
  <si>
    <t>ppkm trus</t>
  </si>
  <si>
    <t>Sampai kapan ppkm? https://t.co/U0a8pGgRWm</t>
  </si>
  <si>
    <t>Sampai kapan ppkm?</t>
  </si>
  <si>
    <t>@mdewipuspita Emang uda paling bener ngelamar kerja jadi pejabat! Bebas no ppkm 🤣</t>
  </si>
  <si>
    <t>Emang uda paling bener ngelamar kerja jadi pejabat! Bebas no ppkm</t>
  </si>
  <si>
    <t>@6undul0h @TofaTofa_id Alih alih PPKM itu program pemerintah keinginan masyarakat malah menjadi program pemerintah kesusahannya masyarakat
 IRONIS!!!</t>
  </si>
  <si>
    <t>Alih alih PPKM itu program pemerintah keinginan masyarakat malah menjadi program pemerintah kesusahannya masyarakatIRONIS!!!</t>
  </si>
  <si>
    <t>@PutraWadapi Padahal selama PPKM ini banyak kejadian2 yg bersinggungan dengan hukum. Knp gak ngasih concern sm hal seperti itu? Malah concern sm kejadian hukum dalan sinetron. Betul2 capek sm pejabat indo 😔</t>
  </si>
  <si>
    <t>Padahal selama PPKM ini banyak kejadian2 yg bersinggungan dengan hukum. Knp gak ngasih concern sm hal seperti itu? Malah concern sm kejadian hukum dalan sinetron. Betul2 capek sm pejabat indo</t>
  </si>
  <si>
    <t>@SuryoWi57951879 Ic lahi kagak ada ppkm bang, g kenal covid juga di sinetronnya...</t>
  </si>
  <si>
    <t>Ic lahi kagak ada ppkm bang, g kenal covid juga di sinetronnya...</t>
  </si>
  <si>
    <t>@mohmahfudmd TNI dan Polri sudah mengambil langkah Persuasif dalam menyikapi PPKM di Lapangan...Karena setiap Peraturan akan dijalankan oleh petugas dilapangan dan hanya Orang Lapangan yang bisa mengetahui bagaimana cara menjalankannya supaya bisa berjalan sesuai perintah</t>
  </si>
  <si>
    <t>TNI dan Polri sudah mengambil langkah Persuasif dalam menyikapi PPKM di Lapangan...Karena setiap Peraturan akan dijalankan oleh petugas dilapangan dan hanya Orang Lapangan yang bisa mengetahui bagaimana cara menjalankannya supaya bisa berjalan sesuai perintah</t>
  </si>
  <si>
    <t>@jowoshitpost @neebbles wkwkwkkw ppkm ga berlaku buat yg lagi bucin</t>
  </si>
  <si>
    <t>wkwkwkkw ppkm ga berlaku buat yg lagi bucin</t>
  </si>
  <si>
    <t>Disuruh prokes 5 M gk mau,mengeluh PPKM tp kl beli rokok,makan",quota,nongkrong",sok tajir dpn selingkuhan doyan aplg kl ngebokep diam" tdk pd mengeluh kan??gendeng loe" pada kelakuan spt itu,malu sm gw yg selalu d blng kafir oleh para pemilik kunci surga</t>
  </si>
  <si>
    <t>Disuruh prokes M gk mau,mengeluh PPKM tp kl beli rokok,makan",quota,nongkrong",sok tajir dpn selingkuhan doyan aplg kl ngebokep diam" tdk pd mengeluh kan??gendeng loe" pada kelakuan spt itu,malu sm gw yg selalu d blng kafir oleh para pemilik kunci surga</t>
  </si>
  <si>
    <t>@liputan6dotcom Bebas melanggar PPKM..jualan gak boleh lalu ngater2 boleh..eaa</t>
  </si>
  <si>
    <t>Bebas melanggar PPKM..jualan gak boleh lalu ngater2 boleh..eaa</t>
  </si>
  <si>
    <t>@ceritatehfidy kalo aku jd pejabat yg walau dengan PPKM gaji dan tunjangan2ku tetap mengalir lancar keknya bakal maraton nonton tayangan favorit juga sih tapi yo nggak terang2an dipost di medsos juga , udah tau keadaan rakyat lg prihatin kok gak ada empati2nya</t>
  </si>
  <si>
    <t>kalo aku jd pejabat yg walau dengan PPKM gaji dan tunjangan2ku tetap mengalir lancar keknya bakal maraton nonton tayangan favorit juga sih tapi yo nggak terang2an dipost di medsos juga , udah tau keadaan rakyat lg prihatin kok gak ada empati2nya</t>
  </si>
  <si>
    <t>hai min @mandiricare sya mau buka rekening mandiri, tapi diproses secara online bisa ngga?mengingat skrg sedang ppkm</t>
  </si>
  <si>
    <t>hai min sya mau buka rekening mandiri, tapi diproses secara online bisa ngga?mengingat skrg sedang ppkm</t>
  </si>
  <si>
    <t>@sygfess Ga kmn2 soalnya ppkm</t>
  </si>
  <si>
    <t>Ga kmn2 soalnya ppkm</t>
  </si>
  <si>
    <t>Ini Satpol-PP lagi PPKM gini malah kek anjing yang ga dikasi tulang sama majikannya</t>
  </si>
  <si>
    <t>Para guru besar itu rata2 tidak paham realitas dilapangan pak @jokowi 
 Pak Luhut turunlah kelapangan, lihat realita yg ada. Dgn PPKM darurat mungkin kematian karena covid akan turun, tapi mati kelaparan dan mati ngenes mikir cicilan akan naik https://t.co/G2e4teXAkv</t>
  </si>
  <si>
    <t>Para guru besar itu rata2 tidak paham realitas dilapangan pak Pak Luhut turunlah kelapangan, lihat realita yg ada. Dgn PPKM darurat mungkin kematian karena covid akan turun, tapi mati kelaparan dan mati ngenes mikir cicilan akan naik</t>
  </si>
  <si>
    <t>@LimaDasarr @pinkiniknip @txtdrpemerintah Ibarat keramaian itu buntut ular, dan pedagang adalah kepalanya
 Kalo kita mau bunuh ular, ya harus potong kepalanya.
 Ya gitu maksud mereka, gua gak membenarkan PPKM itu bagus untuk seluruh masyarakat.
 Y emang pahit, gua sendiri pedagang makanan dan harus tutup, stress tentunya👍🏿</t>
  </si>
  <si>
    <t>Ibarat keramaian itu buntut ular, dan pedagang adalah kepalanyaKalo kita mau bunuh ular, ya harus potong kepalanya.Ya gitu maksud mereka, gua gak membenarkan PPKM itu bagus untuk seluruh masyarakat.Y emang pahit, gua sendiri pedagang makanan dan harus tutup, stress tentunya</t>
  </si>
  <si>
    <t>@tiwi_lestari @capekgw1 @jefrinaldi @dr_tompi ga sadar tuh dia. 
 Yg penting potong gaji,titik.
 Kenapa ga ada yg bilang, Ayo mari kita jaga Prokes,kita saling menjaga,agar kasus Covid19 turun,PPKM cepat selesai dan pandemi ini berlalu.</t>
  </si>
  <si>
    <t>ga sadar tuh dia. Yg penting potong gaji,titik.Kenapa ga ada yg bilang, Ayo mari kita jaga Prokes,kita saling menjaga,agar kasus Covid19 turun,PPKM cepat selesai dan pandemi ini berlalu.</t>
  </si>
  <si>
    <t>@HukumDan Contoh pejabat negara yg tak pantas ditiru ! Sempatnya mikirin sinetron disaat rakyatnya kena ppkm</t>
  </si>
  <si>
    <t>Contoh pejabat negara yg tak pantas ditiru ! Sempatnya mikirin sinetron disaat rakyatnya kena ppkm</t>
  </si>
  <si>
    <t>@IvoneHall @TehKitaAja Apalagi situasi ppkm gini dijamin lebih bringas 😂😂😂🤭🙈,</t>
  </si>
  <si>
    <t>Apalagi situasi ppkm gini dijamin lebih bringas ,</t>
  </si>
  <si>
    <t>PPKM = Pagi Pagi Kok Mules</t>
  </si>
  <si>
    <t>@jokowi Bapak presiden yang terhormat,katanya pancasila harga mati,trus keadilan sosial bagi seluruh rakyat,itu larinya ke mana ya,kok penjual kopi yang mencari nafkah untuk bertahan hidup kok di pidana penjara gara" langgar PPKM,bapak mah enak duduk di rumah udah dapet gaji</t>
  </si>
  <si>
    <t>Bapak presiden yang terhormat,katanya pancasila harga mati,trus keadilan sosial bagi seluruh rakyat,itu larinya ke mana ya,kok penjual kopi yang mencari nafkah untuk bertahan hidup kok di pidana penjara gara" langgar PPKM,bapak mah enak duduk di rumah udah dapet gaji</t>
  </si>
  <si>
    <t>Pagi pagi baca berita, berita covid dah pasti lagi rame, menteri yg bilang nya covid terkendali skr jadi tidak terkendali, yang jualan kopi dipenjara karena melanggar PPKM, orang KPK yg ngurusin korupsi bansos kena sanksi etika, haaaaaa tarik nafas dlm”</t>
  </si>
  <si>
    <t>Pagi pagi baca berita, berita covid dah pasti lagi rame, menteri yg bilang nya covid terkendali skr jadi tidak terkendali, yang jualan kopi dipenjara karena melanggar PPKM, orang KPK yg ngurusin korupsi bansos kena sanksi etika, haaaaaa tarik nafas dlm</t>
  </si>
  <si>
    <t>@mohmahfudmd Pak, Anda boleh saja mengilustrasikan pehamaman hukm dr sebuah sintron. Tp apakah pantas pejabat negara menulis hal² sperti itu pada masa pandemi ini ? Tulisan Anda bisa diasumsikan rakyat bahwa Anda sedang menikmati PPKM sebagai liburan. Rakyat kecil di luar san lapar pak....</t>
  </si>
  <si>
    <t>Pak, Anda boleh saja mengilustrasikan pehamaman hukm dr sebuah sintron. Tp apakah pantas pejabat negara menulis hal sperti itu pada masa pandemi ini ? Tulisan Anda bisa diasumsikan rakyat bahwa Anda sedang menikmati PPKM sebagai liburan. Rakyat kecil di luar san lapar pak....</t>
  </si>
  <si>
    <t>Negeri yang Aneh, apa beda nya Lock Down dengan PSBB dan PPKM.
 Beda nama tapi fungsi nya sama Hokage muncul lah</t>
  </si>
  <si>
    <t>Negeri yang Aneh, apa beda nya Lock Down dengan PSBB dan PPKM.Beda nama tapi fungsi nya sama Hokage muncul lah</t>
  </si>
  <si>
    <t>@mohmahfudmd Pejabat Bisa duduk santai menikmati PPKM sambil nonton sinetron,sementara itu diujung dunia lain RAKYATNYA Kelaparan Susah cari Makan Imbas PPKM yg Gak Mikirin Perut Rakyatnya</t>
  </si>
  <si>
    <t>Pejabat Bisa duduk santai menikmati PPKM sambil nonton sinetron,sementara itu diujung dunia lain RAKYATNYA Kelaparan Susah cari Makan Imbas PPKM yg Gak Mikirin Perut Rakyatnya</t>
  </si>
  <si>
    <t>Taati Prokes dan PPKM Tekan Penyebaran Covid-19 https://t.co/UFyapLJPwE</t>
  </si>
  <si>
    <t>Taati Prokes dan PPKM Tekan Penyebaran Covid-19</t>
  </si>
  <si>
    <t>@kompascom Ppkm bangke</t>
  </si>
  <si>
    <t>Ppkm bangke</t>
  </si>
  <si>
    <t>@mohmahfudmd PPKM memberi kesempatan kpd sy untuk menonton serial berita Ikatan Pandemi. Serem juga sih, meski kebijakan juga muter-muter.</t>
  </si>
  <si>
    <t>PPKM memberi kesempatan kpd sy untuk menonton serial berita Ikatan Pandemi. Serem juga sih, meski kebijakan juga muter-muter.</t>
  </si>
  <si>
    <t>@detikcom Lah, jadi kemarin keputusan PPKM darurat tidak melibatkan ahli epidemi?</t>
  </si>
  <si>
    <t>Lah, jadi kemarin keputusan PPKM darurat tidak melibatkan ahli epidemi?</t>
  </si>
  <si>
    <t>@curlynotion @aan__ @sociotalker Betul kak, rs langsung seperti ketakutan dan cepat cepat suruh kk saya ttd daan setelah itu mereka blg gratis, saya cuma via tlp kak 😭 kami di kaltim tidak bs dtg krna ppkm 😭😭😭 hati sudah patah sepatah patahnya.</t>
  </si>
  <si>
    <t>Betul kak, rs langsung seperti ketakutan dan cepat cepat suruh kk saya ttd daan setelah itu mereka blg gratis, saya cuma via tlp kak kami di kaltim tidak bs dtg krna ppkm hati sudah patah sepatah patahnya.</t>
  </si>
  <si>
    <t>@tirta_hudhi Sebenernya menurut undang-undang ada kewajiban pemerintah gak sih guna mengcover kebutuhan mereka yang terdampak selama karantina?
 Sering liat asumsi liar kalo namanya sengaja dibuat jadi PPKM alih-alih pake nama lockdown guna menghindari kewajiban memenuhi kebutuhan pokok itu.</t>
  </si>
  <si>
    <t>Sebenernya menurut undang-undang ada kewajiban pemerintah gak sih guna mengcover kebutuhan mereka yang terdampak selama karantina?Sering liat asumsi liar kalo namanya sengaja dibuat jadi PPKM alih-alih pake nama lockdown guna menghindari kewajiban memenuhi kebutuhan pokok itu.</t>
  </si>
  <si>
    <t>Sementara...orang bertahan dari PPKM.Gue bertahan dari pengen gelut sama sekolah anak2 gue.Ciaaaaaaaattttttt</t>
  </si>
  <si>
    <t>@SINDOnews Orang gaji bulanan dukung2 aja PPKM diperpanjang,
 Gimana yg gaji harian? Uda dapat bantuan sosial belum</t>
  </si>
  <si>
    <t>Orang gaji bulanan dukung2 aja PPKM diperpanjang,Gimana yg gaji harian? Uda dapat bantuan sosial belum</t>
  </si>
  <si>
    <t>@medisal24jam 
 Keberhasilan PPKM udha nyampek mana yah?</t>
  </si>
  <si>
    <t>Keberhasilan PPKM udha nyampek mana yah?</t>
  </si>
  <si>
    <t>Bbrp kali banyak temen2 yg ngajak diskusi ttg ppkm, covid, dan segala perintilannya.
 Wkwkwk
 Ya Allah, tolong jaga warga +62 ya dan pemerintahnya jg biar jujur &amp;amp; TULUS aamiin</t>
  </si>
  <si>
    <t>Bbrp kali banyak temen2 yg ngajak diskusi ttg ppkm, covid, dan segala perintilannya.WkwkwkYa Allah, tolong jaga warga +62 ya dan pemerintahnya jg biar jujur &amp;amp; TULUS aamiin</t>
  </si>
  <si>
    <t>PPKM tinggal 4 hari lagi ni gaes
 Yuhuuuuuuu</t>
  </si>
  <si>
    <t>PPKM tinggal hari lagi ni gaesYuhuuuuuuu</t>
  </si>
  <si>
    <t>logikanya, org tdk akan mau mendatangi tempat yg ada penyakitnya. ini para TKA asal China berduyun² masuk Indonesia malah pd saat PPKM Darurat.
 pertanyaannya:
 adakah maksud terselubung dibalik itu?🤔</t>
  </si>
  <si>
    <t>logikanya, org tdk akan mau mendatangi tempat yg ada penyakitnya. ini para TKA asal China berduyun masuk Indonesia malah pd saat PPKM Darurat.pertanyaannya:adakah maksud terselubung dibalik itu?</t>
  </si>
  <si>
    <t>@YanHarahap Padahal uang bayar spp dan sks anak-anak harus jalan terus.. Nggak ada tuh "PPKM Biaya Pendidikan".. Coba deh.. Discount setengahnya gitu.. Belum biaya praktek lapangan, biaya ujian semester, biaya daftar ulang.. Tapi biarlah.. Semoga Allah SWT memberikan rejeki pada kita semua..</t>
  </si>
  <si>
    <t>Padahal uang bayar spp dan sks anak-anak harus jalan terus.. Nggak ada tuh "PPKM Biaya Pendidikan".. Coba deh.. Discount setengahnya gitu.. Belum biaya praktek lapangan, biaya ujian semester, biaya daftar ulang.. Tapi biarlah.. Semoga Allah SWT memberikan rejeki pada kita semua..</t>
  </si>
  <si>
    <t>Kalo ppkm diperpanjang lah aku ke solo lewat mana 😅</t>
  </si>
  <si>
    <t>Kalo ppkm diperpanjang lah aku ke solo lewat mana</t>
  </si>
  <si>
    <t>@mohmahfudmd Bisa2 nya bapak santai nonton sinetron pada saat ppkm smentara rakyat sbgian nganggur, kelaparan, mati... 👏🏻👏🏻👏🏻</t>
  </si>
  <si>
    <t>Bisa2 nya bapak santai nonton sinetron pada saat ppkm smentara rakyat sbgian nganggur, kelaparan, mati...</t>
  </si>
  <si>
    <t>PPKM pagi pagi kangen marklee</t>
  </si>
  <si>
    <t>mereka kaum kiri menolak ppkm, tp slalu mengkritik pemerintah atas banyaknya kasus covid....</t>
  </si>
  <si>
    <t>@cigaretteswit emng di turki ada ppkm juga?</t>
  </si>
  <si>
    <t>emng di turki ada ppkm juga?</t>
  </si>
  <si>
    <t>@mohmahfudmd Memang enak ya pak ppkm bagi kaum atas ppkm merenungi sinetron, rakyat kecil merenungi nasib anak mereka gimana caranya bisa makan dan sekolah dengan keadaan yang serba sulit. Apakah ada bapak renungkan pak nasib kami rakyat kecil ?</t>
  </si>
  <si>
    <t>Memang enak ya pak ppkm bagi kaum atas ppkm merenungi sinetron, rakyat kecil merenungi nasib anak mereka gimana caranya bisa makan dan sekolah dengan keadaan yang serba sulit. Apakah ada bapak renungkan pak nasib kami rakyat kecil ?</t>
  </si>
  <si>
    <t>@mohmahfudmd Tanpa logistik, rakyat tak bs berpikir logis: tak keluar rumah slm ppkm. Dan gonta ganti istilah agar rakyat di rumah aja itu hy kelabui konstitusi, dan ujud rezim pelit kpd rakyat: tak mau keluarkan dana buat wajib pajak.</t>
  </si>
  <si>
    <t>Tanpa logistik, rakyat tak bs berpikir logis: tak keluar rumah slm ppkm. Dan gonta ganti istilah agar rakyat di rumah aja itu hy kelabui konstitusi, dan ujud rezim pelit kpd rakyat: tak mau keluarkan dana buat wajib pajak.</t>
  </si>
  <si>
    <t>PPKM
  pelan pelan ku merindukanmu</t>
  </si>
  <si>
    <t>PPKM pelan pelan ku merindukanmu</t>
  </si>
  <si>
    <t>Ternyata pandemi tertangani dengan baik, buktinya mentri nya aja lagi santai menikmati ppkm ,
 TRAGIS https://t.co/V2cecmrIyc</t>
  </si>
  <si>
    <t>Ternyata pandemi tertangani dengan baik, buktinya mentri nya aja lagi santai menikmati ppkm ,TRAGIS</t>
  </si>
  <si>
    <t>@bertanyarl Gue pake 3 , 35gb 80ribu .
 30gb buat sebulan perhari nya 1gb 
 5gb sebulan. Yang 5gb ini cepet habis karna pemakaian juga apalagi lagi ppkm gini kan . Biasa nya kalo lagi kerja gitu, kuota ini awet sekali . Tapi aku lagi pengen ganti kuota yg unlimited twitter gt ada ga ya?</t>
  </si>
  <si>
    <t>Gue pake , gb ribu .30gb buat sebulan perhari nya gb gb sebulan. Yang gb ini cepet habis karna pemakaian juga apalagi lagi ppkm gini kan . Biasa nya kalo lagi kerja gitu, kuota ini awet sekali . Tapi aku lagi pengen ganti kuota yg unlimited twitter gt ada ga ya?</t>
  </si>
  <si>
    <t>@fadlizon @jokowi Tidak smua org yg menyikapi PPKM Darurat dgn bisa santai, sperti dlakukan para pjabat dan pegawai BUMN.
 di dunia nyata rakyat kecil sedang berjibaku antara bertahan hidup atau mati.
 pjabatnya asik mengulas cerita sinetron yg sandiwara dongeng semata.
 https://t.co/nAfvuKP2rt</t>
  </si>
  <si>
    <t>Tidak smua org yg menyikapi PPKM Darurat dgn bisa santai, sperti dlakukan para pjabat dan pegawai BUMN.di dunia nyata rakyat kecil sedang berjibaku antara bertahan hidup atau mati.pjabatnya asik mengulas cerita sinetron yg sandiwara dongeng semata.</t>
  </si>
  <si>
    <t>ppkm.
 pengen pacarin kim mingyu https://t.co/eqLmpLmcko</t>
  </si>
  <si>
    <t>ppkm.pengen pacarin kim mingyu</t>
  </si>
  <si>
    <t>@detikcom ppkm mas, jangan keluyuran malam malam.</t>
  </si>
  <si>
    <t>ppkm mas, jangan keluyuran malam malam.</t>
  </si>
  <si>
    <t>@lely_viki Ppkm curr</t>
  </si>
  <si>
    <t>Ppkm curr</t>
  </si>
  <si>
    <t>Pada berangkat pagi buat menghindari PPKM, sama aja kan yha. Hmmm.
 🤷</t>
  </si>
  <si>
    <t>Pada berangkat pagi buat menghindari PPKM, sama aja kan yha. Hmmm.</t>
  </si>
  <si>
    <t>@Barlov5 @Upik1610 @detikcom aturan UUD Karantina emang begitu kawan, apabila suatu daerah di karantina, kebutuhan pangan dan kebutuhan hewan ternak menjadi tanggung jawab pemerintah pusat. ya skrg pekerja harian kalau ga kerja ga makan bagaimana nasibnya bila ppkm tapi tak terjamin</t>
  </si>
  <si>
    <t>aturan UUD Karantina emang begitu kawan, apabila suatu daerah di karantina, kebutuhan pangan dan kebutuhan hewan ternak menjadi tanggung jawab pemerintah pusat. ya skrg pekerja harian kalau ga kerja ga makan bagaimana nasibnya bila ppkm tapi tak terjamin</t>
  </si>
  <si>
    <t>Satpol PP disaat PPKM
 bisa jadi Satpol PP PPKM🤭</t>
  </si>
  <si>
    <t>Satpol PP disaat PPKMbisa jadi Satpol PP PPKM</t>
  </si>
  <si>
    <t>@mazzini_gsp Alahkah baiknya jika mau menerapkan ppkm dari pihak petugas memberi peringatan secara baik mengucap salam secara sopan. maaf ibu bapa ganggu waktunya kami sedang bertugas menerapkan ppkm in i surat tugasnya. waktunya sudah habis yah.. kami kasih waktu 5/10 menit untuk tutup.</t>
  </si>
  <si>
    <t>Alahkah baiknya jika mau menerapkan ppkm dari pihak petugas memberi peringatan secara baik mengucap salam secara sopan. maaf ibu bapa ganggu waktunya kami sedang bertugas menerapkan ppkm in i surat tugasnya. waktunya sudah habis yah.. kami kasih waktu /10 menit untuk tutup.</t>
  </si>
  <si>
    <t>@VIVAcoid Meskipun saya dukung Anies, tapi Berita capres &amp;amp; politik di masa PPKM gini gak usah diup deh, gak penting &amp;amp; gak etis, apalagi 2024 masih lama, ya kalo Indonesia masih ada.</t>
  </si>
  <si>
    <t>Meskipun saya dukung Anies, tapi Berita capres &amp;amp; politik di masa PPKM gini gak usah diup deh, gak penting &amp;amp; gak etis, apalagi masih lama, ya kalo Indonesia masih ada.</t>
  </si>
  <si>
    <t>@ELFARAFM @Pandutndut @ferryroelz Hai selamat pagi mimin dan penyiar. Gamau lah min masi ppkm gini haha. Mau request lagu Terlukis Indah - Rizky Febian, Ziva Magnolya. Puterin yaa hehe, thankyou #witm</t>
  </si>
  <si>
    <t>Hai selamat pagi mimin dan penyiar. Gamau lah min masi ppkm gini haha. Mau request lagu Terlukis Indah - Rizky Febian, Ziva Magnolya. Puterin yaa hehe, thankyou</t>
  </si>
  <si>
    <t>Alhamdulillah sampai saat ini, aku masih termasuk golongan yang sangat beruntung. Tapi coba bayangin teman2 kita yang lain, yang gak bisa usaha dan gak bisa cari duit krn ppkm ini? Mau makan apa mereka?</t>
  </si>
  <si>
    <t>Sejak PPKM.
 Kegiatan di rumah, 
 Cuci Baju, Setrika, Bersihin Tanaman², 
 Si Hitam jarang dicuci..
 Bank WFH, Notaris pada Tutup..
 Alhamdulillah masih bisa cari makan buat Anak² semuanya..
 🤲😊🤲</t>
  </si>
  <si>
    <t>Sejak PPKM.Kegiatan di rumah, Cuci Baju, Setrika, Bersihin Tanaman, Si Hitam jarang dicuci..Bank WFH, Notaris pada Tutup..Alhamdulillah masih bisa cari makan buat Anak semuanya..</t>
  </si>
  <si>
    <t>@Kimi58486332 betul pak...
 warga yg terdampak itu akan patuh bila kebutuhan sehari-hari nya tercukupi,.seperti saya sehari minimal untuk makan sekeluarga butuh 50rb..klu dikalikan sebulan 1,5jt..blm biaya lainnya bayar listrik dan air..lha ini udah PPKM,gk dikasih bantuan,jelas BERONTAK...</t>
  </si>
  <si>
    <t>betul pak...warga yg terdampak itu akan patuh bila kebutuhan sehari-hari nya tercukupi,.seperti saya sehari minimal untuk makan sekeluarga butuh rb..klu dikalikan sebulan jt..blm biaya lainnya bayar listrik dan air..lha ini udah PPKM,gk dikasih bantuan,jelas BERONTAK...</t>
  </si>
  <si>
    <t>@mohmahfudmd Yg ppkm mah rakyat pak, bapak mah tetep kerja</t>
  </si>
  <si>
    <t>Yg ppkm mah rakyat pak, bapak mah tetep kerja</t>
  </si>
  <si>
    <t>PPKM : Putuskan Pacarmu Kembalilah Mencintaiku</t>
  </si>
  <si>
    <t>harusnya kalo ppkm gini warganya dijamin kebutuhan pokoknya ya, tapi yg kubenci bisa-bisanya dikorupsi, sangat keterlaluan https://t.co/i9u2gcda1n</t>
  </si>
  <si>
    <t>harusnya kalo ppkm gini warganya dijamin kebutuhan pokoknya ya, tapi yg kubenci bisa-bisanya dikorupsi, sangat keterlaluan</t>
  </si>
  <si>
    <t>Ppkm = pelan pelan kita mati https://t.co/DJEg4jJ0Kz</t>
  </si>
  <si>
    <t>Ppkm = pelan pelan kita mati</t>
  </si>
  <si>
    <t>@mohmahfudmd Mahfud , semenjak PPKM banyak sekali serial yg saya tonton, temen yang kelaparan, temen yang dagangannya disita, wanita hamil yang dipukul satpol PP, masjid ditutup, semua hanya ada di PPKM, terima kasih PPKM</t>
  </si>
  <si>
    <t>Mahfud , semenjak PPKM banyak sekali serial yg saya tonton, temen yang kelaparan, temen yang dagangannya disita, wanita hamil yang dipukul satpol PP, masjid ditutup, semua hanya ada di PPKM, terima kasih PPKM</t>
  </si>
  <si>
    <t>Pak wali @hendrarprihadi kok PPKM jadinya blokir2 jalan? Kasihan pekerja sektor essential harus bingung nyari rute... 
 Harusnya yg ditutup dng benar itu pusat tarikan pergerakan jgn jln nya.. #laporhendi</t>
  </si>
  <si>
    <t>Pak wali kok PPKM jadinya blokir2 jalan? Kasihan pekerja sektor essential harus bingung nyari rute... Harusnya yg ditutup dng benar itu pusat tarikan pergerakan jgn jln nya..</t>
  </si>
  <si>
    <t>@tirta_hudhi Dari pada bikin PPKM gini mending atasi itu hoax di masyarakat, endors kerahkan tokoh2 masyarakat mulai dari kyai, tokoh2 warkop , preman, mbak2 seles rokok, seles oppo</t>
  </si>
  <si>
    <t>Dari pada bikin PPKM gini mending atasi itu hoax di masyarakat, endors kerahkan tokoh2 masyarakat mulai dari kyai, tokoh2 warkop , preman, mbak2 seles rokok, seles oppo</t>
  </si>
  <si>
    <t>Yang super PUNYA teriak PPKM prokes.
 sadarlah, banyak diantara kita.
 Yang harus berkeringat-berdarah dulu untuk sesuap nasi.
 #bantu jangan cuma bacod !!!</t>
  </si>
  <si>
    <t>Yang super PUNYA teriak PPKM prokes.sadarlah, banyak diantara kita.Yang harus berkeringat-berdarah dulu untuk sesuap nasi. jangan cuma bacod !!!</t>
  </si>
  <si>
    <t>Ppkm, rakyat dibantu dikasih beras, lah terus rakyatnya beli lauknya pake apa? Belum lg beli gas, sabun cuci piring juga. Harusnya dipikir smpe sana.</t>
  </si>
  <si>
    <t>@korantempo @axdwin PPKM Darurat gagal mencegah lonjakan covid,utk menghindari tanggungjawab pemerintah thdp rakyatnya jk menggunakan istilah lockdown,mari kita bantu pak @jokowi utk menemukan istilah2 berikutnya yg bs digunakan:
 1. PPKM Nano
 2. PPKM Ultra Darurat
 3. Partial lockdown 
 4. ....
 5. ...</t>
  </si>
  <si>
    <t>PPKM Darurat gagal mencegah lonjakan covid,utk menghindari tanggungjawab pemerintah thdp rakyatnya jk menggunakan istilah lockdown,mari kita bantu pak utk menemukan istilah2 berikutnya yg bs digunakan:1. PPKM Nano2. PPKM Ultra Darurat3. Partial lockdown . ....5. ...</t>
  </si>
  <si>
    <t>@sigitraditya_ Siiip.. Ppkm dulu</t>
  </si>
  <si>
    <t>Siiip.. Ppkm dulu</t>
  </si>
  <si>
    <t>@iamvsmymind Ppkm gup pelan pelan kita miskin</t>
  </si>
  <si>
    <t>Ppkm gup pelan pelan kita miskin</t>
  </si>
  <si>
    <t>Ga kerasa 4 hari lagi ppkm selesai, setelah ppkm nanti ganti biologi~ 😊</t>
  </si>
  <si>
    <t>Ga kerasa hari lagi ppkm selesai, setelah ppkm nanti ganti biologi~</t>
  </si>
  <si>
    <t>Miris banget baca berita² selama ppkm ini</t>
  </si>
  <si>
    <t>Miris banget baca berita selama ppkm ini</t>
  </si>
  <si>
    <t>@SakiinaQhiCO_33 Pelanggar PPKM kena sanksi</t>
  </si>
  <si>
    <t>Pelanggar PPKM kena sanksi</t>
  </si>
  <si>
    <t>@VIVAcoid Kan lagi ppkm kok bapak ini malah keluyuran sih???</t>
  </si>
  <si>
    <t>Kan lagi ppkm kok bapak ini malah keluyuran sih???</t>
  </si>
  <si>
    <t>@banjarbase Kena ppkm. Hahaha</t>
  </si>
  <si>
    <t>Kena ppkm. Hahaha</t>
  </si>
  <si>
    <t>Nanya.
 Kalau Pak Hakim yg memutuskan untuk bebas, bisa gak sih?
 Gak perlu menuhin penjara dengan warga negara yg melanggar aturan PPKM semacam ini.
 Apa dampak baiknya untuk mengatasi pandemi? https://t.co/DtH73tLIc6</t>
  </si>
  <si>
    <t>Nanya.Kalau Pak Hakim yg memutuskan untuk bebas, bisa gak sih?Gak perlu menuhin penjara dengan warga negara yg melanggar aturan PPKM semacam ini.Apa dampak baiknya untuk mengatasi pandemi?</t>
  </si>
  <si>
    <t>@schfess anak '21 di sekolah aku ngadain prom sih, tapi udah dari mei. sebelum ppkm udah ngadain, dan harus swab dulu kalau mau ikut.</t>
  </si>
  <si>
    <t>anak '21 di sekolah aku ngadain prom sih, tapi udah dari mei. sebelum ppkm udah ngadain, dan harus swab dulu kalau mau ikut.</t>
  </si>
  <si>
    <t>@AREAJULID mengtolol, orang disuruh ppkm dirumah aja nahan laper, lu terbang2.</t>
  </si>
  <si>
    <t>mengtolol, orang disuruh ppkm dirumah aja nahan laper, lu terbang2.</t>
  </si>
  <si>
    <t>Saya pun tegaskan kesungguhan @mohmahfudmd tangani Covid-19. Karena bisa nonton sinetron saat PPKM Darurat. https://t.co/CPXy0nKxvL</t>
  </si>
  <si>
    <t>Saya pun tegaskan kesungguhan tangani Covid-19. Karena bisa nonton sinetron saat PPKM Darurat.</t>
  </si>
  <si>
    <t>@ChusnulCh__ @MurtadhaOne1 Sebut juga dong serbuan para TKA cina yg datang masuk ke indon di masa PPKM darurat.. Ehh gak mungkin lah TKA cina itu kan idolanya buzzerp 😂😂😂</t>
  </si>
  <si>
    <t>Sebut juga dong serbuan para TKA cina yg datang masuk ke indon di masa PPKM darurat.. Ehh gak mungkin lah TKA cina itu kan idolanya buzzerp</t>
  </si>
  <si>
    <t>@CNNIndonesia Ngeluarin keputusan PPKM harusnya didukung anggaran untuk efeknya, bukan diperkuat para arogan2 dilapangan, akhirnya kepercayaan rakyat akan menjadi lemah</t>
  </si>
  <si>
    <t>Ngeluarin keputusan PPKM harusnya didukung anggaran untuk efeknya, bukan diperkuat para arogan2 dilapangan, akhirnya kepercayaan rakyat akan menjadi lemah</t>
  </si>
  <si>
    <t>@dody_hasan @brandalsantri45 Pejabat negara masih sempat nonton sinetron dari pada mikirkan kesusahan rakyatnya yg kena ppkm.. ajaib !</t>
  </si>
  <si>
    <t>Pejabat negara masih sempat nonton sinetron dari pada mikirkan kesusahan rakyatnya yg kena ppkm.. ajaib !</t>
  </si>
  <si>
    <t>@detikcom ppkm mas jangan keluyuran malam2.</t>
  </si>
  <si>
    <t>ppkm mas jangan keluyuran malam2.</t>
  </si>
  <si>
    <t>@AcehSelatanSatu PPKM....katanya...</t>
  </si>
  <si>
    <t>PPKM....katanya...</t>
  </si>
  <si>
    <t>Good morning, gimana hari ke-14 PPKM nya ?</t>
  </si>
  <si>
    <t>PPKM memberi kesempatan kpd sy nonton serial sinetron JODOH WASIAT BAPAK.. Asyik jg sih, meski agak muter-muter. Tp pemahaman penulis cerita kurang pas...masak bapaknya yg udah meninggal..tiba2 hidup lagi gara2 kucing hitam melangkahi mayat si bapak...aneh kan...?</t>
  </si>
  <si>
    <t>@karinyoo Di sini istilahnya PPKM biar ga keluar duit makan buat rakyat kan, Pak @jokowi? Cemen. Pemilu ga mau kalah tapi yang kayak gini mau mau aja.</t>
  </si>
  <si>
    <t>Di sini istilahnya PPKM biar ga keluar duit makan buat rakyat kan, Pak ? Cemen. Pemilu ga mau kalah tapi yang kayak gini mau mau aja.</t>
  </si>
  <si>
    <t>@tr4nsky @Irfanmramdhan @manuponthehiII @detikcom Ya kalo penangannya cuma psbb,ppkm,adalah lagi ppkm darurat ,keburu virus dah terbang ke pelosok2 negri,</t>
  </si>
  <si>
    <t>Ya kalo penangannya cuma psbb,ppkm,adalah lagi ppkm darurat ,keburu virus dah terbang ke pelosok2 negri,</t>
  </si>
  <si>
    <t>@habibthink Klo dari sisi saya sih bkn mslh setuju atau tidaknya bang tetapi setelah selesai ppkm nya apakah masyarakat nya akan ttp patuh pada prokes atau malah balik lagi kyk sblmnya.
 Akan ada lagi ppkm2 lanjutkan klo seperti itu..</t>
  </si>
  <si>
    <t>Klo dari sisi saya sih bkn mslh setuju atau tidaknya bang tetapi setelah selesai ppkm nya apakah masyarakat nya akan ttp patuh pada prokes atau malah balik lagi kyk sblmnya.Akan ada lagi ppkm2 lanjutkan klo seperti itu..</t>
  </si>
  <si>
    <t>@mohmahfudmd PKKM memberi saya kesempatan KPD sy nonton satpol PP memukul wanita hamil TERIMA KASIH PPKM!!!!</t>
  </si>
  <si>
    <t>PKKM memberi saya kesempatan KPD sy nonton satpol PP memukul wanita hamil TERIMA KASIH PPKM!!!!</t>
  </si>
  <si>
    <t>Ditempat saya,
 Warga Yang isoman lebih banyak, daripada warga yg terdampak PPKM Darurat.
 Bansos beras 10ltr, untuk siapa?
 "Pak RT, : untuk yg sudah terdata sejak awal pandemi" (data warga yg terdampak).
 Trus yg skr ISOMAN bagaimana Pak? (Pak RT diem seribu bahasa).</t>
  </si>
  <si>
    <t>Ditempat saya,Warga Yang isoman lebih banyak, daripada warga yg terdampak PPKM Darurat.Bansos beras ltr, untuk siapa?"Pak RT, : untuk yg sudah terdata sejak awal pandemi" (data warga yg terdampak).Trus yg skr ISOMAN bagaimana Pak? (Pak RT diem seribu bahasa).</t>
  </si>
  <si>
    <t>PPKM
 Pagi-pagi Kita Membingungkan</t>
  </si>
  <si>
    <t>PPKMPagi-pagi Kita Membingungkan</t>
  </si>
  <si>
    <t>Di daerah sini bebas aja ada pawai so called ritual atau apalah yang ngumpul ratusan orang lalu pada jalan rame2 di jalanan.
 Katanya ppkm katanya prokes. Entahlah.</t>
  </si>
  <si>
    <t>Di daerah sini bebas aja ada pawai so called ritual atau apalah yang ngumpul ratusan orang lalu pada jalan rame2 di jalanan.Katanya ppkm katanya prokes. Entahlah.</t>
  </si>
  <si>
    <t>Rakyat di bawah lg susah krn PPKM, gabisa kerja, susah makan
 Eh kok ada menteri malah ngetwit gini ?
 Bener" nggak punya empati, nggak etis https://t.co/CCoaymLEqG</t>
  </si>
  <si>
    <t>Rakyat di bawah lg susah krn PPKM, gabisa kerja, susah makanEh kok ada menteri malah ngetwit gini ?Bener" nggak punya empati, nggak etis</t>
  </si>
  <si>
    <t>Perpanjangan PPKM darurat tidak akan bisa selesaikan wabah. Pilihannya seperti buah simalakama, mati karna wabah atau mati karena kelaparan.</t>
  </si>
  <si>
    <t>@detikcom SIMBOLIS doang,, napa gak smuanya di kasih pak,, warga bapak bukan itu aja yg terdampak PPKM,, 😥😥</t>
  </si>
  <si>
    <t>SIMBOLIS doang,, napa gak smuanya di kasih pak,, warga bapak bukan itu aja yg terdampak PPKM,,</t>
  </si>
  <si>
    <t>@delhafiz_ @tirta_hudhi Biaya tanggung kbutuha PPKm perhari ,minimal 18 triliun perhari bosq,klo 2 Minggu sja ngara sdah bngkrut</t>
  </si>
  <si>
    <t>Biaya tanggung kbutuha PPKm perhari ,minimal triliun perhari bosq,klo Minggu sja ngara sdah bngkrut</t>
  </si>
  <si>
    <t>Kayak gini mau minta tambahan insentif, bukan malah membantu pemerintah malah, haaaah sudahlah. Sebenarnya MUI ini makhluk apa si....
 Protes PPKM Darurat, MUI Sumbar Izinkan Salat Id di Lapangan https://t.co/ld45Ikxn14</t>
  </si>
  <si>
    <t>Kayak gini mau minta tambahan insentif, bukan malah membantu pemerintah malah, haaaah sudahlah. Sebenarnya MUI ini makhluk apa si....Protes PPKM Darurat, MUI Sumbar Izinkan Salat Id di Lapangan</t>
  </si>
  <si>
    <t>@RAbdinyo @MurtadhaOne Pikir aja..klo Jokowi turun tangan sendiri artinya ga ada satupun pejabat daerah yg inisiatif melakukan hal ini, Jokowi buat ini utk nampar mereka semua. Dana udah turun tp ga ada yg beneran kerja utk memastikan PPKM berjalan baik, malah mengerahkan satpol PP yg kurang edukasi.</t>
  </si>
  <si>
    <t>Pikir aja..klo Jokowi turun tangan sendiri artinya ga ada satupun pejabat daerah yg inisiatif melakukan hal ini, Jokowi buat ini utk nampar mereka semua. Dana udah turun tp ga ada yg beneran kerja utk memastikan PPKM berjalan baik, malah mengerahkan satpol PP yg kurang edukasi.</t>
  </si>
  <si>
    <t>Propinsi Do It Yourself melakukan penutupan jalan dan mematikan lampu penerangan jalan apa untuk memeriahkan PPKM biar terlihat daruratkah? Mungkin korona takut kegelapan.. hesssjan... puter walik maneh...</t>
  </si>
  <si>
    <t>@PWT_kotasatria Engga perlu, terbukti kok PPKM tidak menurunkan angka kematian dan angka yg positif, harusnya cari solusi lain bkn malah di perpanjang</t>
  </si>
  <si>
    <t>Engga perlu, terbukti kok PPKM tidak menurunkan angka kematian dan angka yg positif, harusnya cari solusi lain bkn malah di perpanjang</t>
  </si>
  <si>
    <t>Seberapa sanggup bapak membagikan sembako itu kerumah rumah???
 Kalau bapak peduli ,kerahkan TNI POLRI untuk mengantarkan langsung keseluruh rumah yg terdampak PPKM. KARENA SUDAH HAK RAKYAT MENDAPATKAN BANTUAN PANGAN, DAN WAJIB PEMERINTAH MEMBERI MAKAN . PAAHAAAM..</t>
  </si>
  <si>
    <t>Seberapa sanggup bapak membagikan sembako itu kerumah rumah???Kalau bapak peduli ,kerahkan TNI POLRI untuk mengantarkan langsung keseluruh rumah yg terdampak PPKM. KARENA SUDAH HAK RAKYAT MENDAPATKAN BANTUAN PANGAN, DAN WAJIB PEMERINTAH MEMBERI MAKAN . PAAHAAAM..</t>
  </si>
  <si>
    <t>Astaghfirullah... Perpanjangan ppkm sampe 2 agustus 😭😭. Tega bener sih.</t>
  </si>
  <si>
    <t>Astaghfirullah... Perpanjangan ppkm sampe agustus . Tega bener sih.</t>
  </si>
  <si>
    <t>kemudian bergerak menuju Posko PPKM darurat COVID-19 di Desa Beji, Kecamatan Jenu</t>
  </si>
  <si>
    <t>@Dennysiregar7 Klo pas mereka mau kerja buat cari uang dan makan dibataai kayak gini??? 
 Tolong bantu evaluasi petugas ppkm yg dibawah supaya lebih humanis</t>
  </si>
  <si>
    <t>Klo pas mereka mau kerja buat cari uang dan makan dibataai kayak gini??? Tolong bantu evaluasi petugas ppkm yg dibawah supaya lebih humanis</t>
  </si>
  <si>
    <t>PPKM : Pandai Pandai Kamu Memutar (golek dalan liyane)🥲</t>
  </si>
  <si>
    <t>PPKM : Pandai Pandai Kamu Memutar (golek dalan liyane)</t>
  </si>
  <si>
    <t>Habis ppkm mau minta dipeluk temen 19 detik.</t>
  </si>
  <si>
    <t>Habis ppkm mau minta dipeluk temen detik.</t>
  </si>
  <si>
    <t>@PHPaspNet @Anonymous_2024 @ully_alattas Bukan ppkm aja sumatra melawan apa lagi ppkm kayak di jawa bali pasti lebih kami lawan</t>
  </si>
  <si>
    <t>Bukan ppkm aja sumatra melawan apa lagi ppkm kayak di jawa bali pasti lebih kami lawan</t>
  </si>
  <si>
    <t>Baru saja mengirim foto @ PPKM https://t.co/kvF12dNeq9</t>
  </si>
  <si>
    <t>Baru saja mengirim foto PPKM</t>
  </si>
  <si>
    <t>PPKM, Para Penduduk Kalian Mati</t>
  </si>
  <si>
    <t>@hariankompas @dahliairawati Hidup dalam ketidakpastian. Kita gak tau grand desain dari penanganan pandemi ini. Kurang sosialisasi, kenapa harus ppkm? Kenapa mau ditambah 6minggu? Setelah itu apa? Kurang sosialisasi. 
 Cukong WNA malah menunjukkan sikap yg tidak sejalan.</t>
  </si>
  <si>
    <t>Hidup dalam ketidakpastian. Kita gak tau grand desain dari penanganan pandemi ini. Kurang sosialisasi, kenapa harus ppkm? Kenapa mau ditambah minggu? Setelah itu apa? Kurang sosialisasi. Cukong WNA malah menunjukkan sikap yg tidak sejalan.</t>
  </si>
  <si>
    <t>@mohmahfudmd Bapa waras?
 Krna ppkm bnyak wrga rusuh dan kelaparan 
 Tp anda mlh nulis sprti ini 
 Scra tdk lngsung anda sdng curcol sdng menari" diatas pnderitaan rakyat</t>
  </si>
  <si>
    <t>Bapa waras?Krna ppkm bnyak wrga rusuh dan kelaparan Tp anda mlh nulis sprti ini Scra tdk lngsung anda sdng curcol sdng menari" diatas pnderitaan rakyat</t>
  </si>
  <si>
    <t>Emangnya kyk si Mukidi? Kerja g becus! TKA Cina dibiarin masuk 🇮🇩, PPKM Darurat pedagang yg kena imbas jd korban arogansi aparat, pimpinan PPKM Darurat jg ga becus! Masa covid dibilang terkendali? Klo terkendali, apa ad buktinya? Bkn ny terkendali, ini malah bnyk yg kena &amp;amp; mati! https://t.co/9Aegb8K8Bl</t>
  </si>
  <si>
    <t>Emangnya kyk si Mukidi? Kerja g becus! TKA Cina dibiarin masuk , PPKM Darurat pedagang yg kena imbas jd korban arogansi aparat, pimpinan PPKM Darurat jg ga becus! Masa covid dibilang terkendali? Klo terkendali, apa ad buktinya? Bkn ny terkendali, ini malah bnyk yg kena &amp;amp; mati!</t>
  </si>
  <si>
    <t>@PutraWadapi Kan udah bisa di kendalikan berkat PPKM.</t>
  </si>
  <si>
    <t>Kan udah bisa di kendalikan berkat PPKM.</t>
  </si>
  <si>
    <t>Happy Birthday DiDi visual kebanggannya auspa, sehat sehat ya budak corporate wkwk see you after PPKM ya sisss 💕💕💕
 @mamiyedam #HappyDiyasBirthday https://t.co/YkIVo4StIv</t>
  </si>
  <si>
    <t>Happy Birthday DiDi visual kebanggannya auspa, sehat sehat ya budak corporate wkwk see you after PPKM ya sisss</t>
  </si>
  <si>
    <t>@aiek_esthreem Smga yg tempat lain nyusul.. 
 Bentar lagi harus bayar cicilan, bayar listrik air, kebutuhan dapur.
 Ini bbrp hari benar-benar tak ada pemasukan krn PPKM
 Pemerintah mana mau tahu? 
 Ini kucing2 sejak lahir di masa pandemi tdk pernah pake masker, tdk jaga jarak tapi mrk sehat2 saja https://t.co/d7qbToGJDZ</t>
  </si>
  <si>
    <t>Smga yg tempat lain nyusul.. Bentar lagi harus bayar cicilan, bayar listrik air, kebutuhan dapur.Ini bbrp hari benar-benar tak ada pemasukan krn PPKMPemerintah mana mau tahu? Ini kucing2 sejak lahir di masa pandemi tdk pernah pake masker, tdk jaga jarak tapi mrk sehat2 saja</t>
  </si>
  <si>
    <t>@jaemo0ds Iya kangen bangettt huhu, ppkm sampe bulan depan soalnya:(</t>
  </si>
  <si>
    <t>Iya kangen bangettt huhu, ppkm sampe bulan depan soalnya</t>
  </si>
  <si>
    <t>@akunkesebelas pemenuhan kebutuhan saat ppkm untuk masyrakat menengah ke bawah gak dipikirin</t>
  </si>
  <si>
    <t>pemenuhan kebutuhan saat ppkm untuk masyrakat menengah ke bawah gak dipikirin</t>
  </si>
  <si>
    <t>Masih model ya blusukan malem2? Bantuannya udah merata belum buat semua rakyat/pekerja harian terdampak ppkm? Laporan itu yg penting kita tahu. Bukan seremoni beginian https://t.co/5CZ9cGpVSk</t>
  </si>
  <si>
    <t>Masih model ya blusukan malem2? Bantuannya udah merata belum buat semua rakyat/pekerja harian terdampak ppkm? Laporan itu yg penting kita tahu. Bukan seremoni beginian</t>
  </si>
  <si>
    <t>@Andiarief__ Siapa kah dulu minta lockdown kalau ppkm ajaasih banyak yang protes🤔🤔🤔🤔</t>
  </si>
  <si>
    <t>Siapa kah dulu minta lockdown kalau ppkm ajaasih banyak yang protes</t>
  </si>
  <si>
    <t>PPKM = Gabisa kemanamana = Diam di Rumah = Ga ada duwit = Jadi Pikiran = Depresi, Stress = Gering
 PPKM = Pigeringeun</t>
  </si>
  <si>
    <t>PPKM = Gabisa kemanamana = Diam di Rumah = Ga ada duwit = Jadi Pikiran = Depresi, Stress = GeringPPKM = Pigeringeun</t>
  </si>
  <si>
    <t>bb naik lagi gara gara ppkm makan terus haduh</t>
  </si>
  <si>
    <t>@rita_tj Ngga kerja masih ppkm :')</t>
  </si>
  <si>
    <t>Ngga kerja masih ppkm :')</t>
  </si>
  <si>
    <t>gue liat-liat walaupun lagi ppkm masih ada aja ya yg keluar gak pake masker 🙂 mau lu apa gitu loh https://t.co/sVJZvu4Va4</t>
  </si>
  <si>
    <t>gue liat-liat walaupun lagi ppkm masih ada aja ya yg keluar gak pake masker mau lu apa gitu loh</t>
  </si>
  <si>
    <t>@tetestuang PPKM PARA PENDAKI KANGEN MUNCAK</t>
  </si>
  <si>
    <t>PPKM PARA PENDAKI KANGEN MUNCAK</t>
  </si>
  <si>
    <t>4 hari lagi bakal kita saksikan selesai kah atau lanjut pada season 2 nya si ppkm ini</t>
  </si>
  <si>
    <t>hari lagi bakal kita saksikan selesai kah atau lanjut pada season nya si ppkm ini</t>
  </si>
  <si>
    <t>OIYAA dia juga ngajak gue main mulu anjrit pdhl lg ppkm, mau main dirumah gue terusss sampe katanya mau ijin ke emak udh tau emak gue rempong.. ini kalo lg ga pandemi jujur aja pasti dia udh maksa22 mau main ih ih ih sebel</t>
  </si>
  <si>
    <t>@shanwroo oalaahh artinya nanti habis ppkm bisa aja masuk sekolah offline yaa,, bagus dehh semangat belajarnya yya ashaa,, btw maaf baru rep😭</t>
  </si>
  <si>
    <t>oalaahh artinya nanti habis ppkm bisa aja masuk sekolah offline yaa,, bagus dehh semangat belajarnya yya ashaa,, btw maaf baru rep</t>
  </si>
  <si>
    <t>@HisyamSammm @FarmadikaHilmy @anaktermudaa Indikatornya kan jelas angka penderita covid yg semakin meningkat dan kematian akibat covid,klo ini bisa turun pasti PPKM dicabut atau dilonggarkan,mudah2an PPKM tidak diperpanjang dan bisa ke new normal lagi 😇🙂</t>
  </si>
  <si>
    <t>Indikatornya kan jelas angka penderita covid yg semakin meningkat dan kematian akibat covid,klo ini bisa turun pasti PPKM dicabut atau dilonggarkan,mudah2an PPKM tidak diperpanjang dan bisa ke new normal lagi</t>
  </si>
  <si>
    <t>@cak_dung Awww.. Yok bahas PPKM😷</t>
  </si>
  <si>
    <t>Awww.. Yok bahas PPKM</t>
  </si>
  <si>
    <t>@OposisiCerdas 10 tahun lagi diomongin sekarang..
 Lah PPKM aja belum beres...
 Rakyat mah mikit makan apa hari ini..
 Si Jae udah.. mikirin 10 tahun lagi....
 Jangan2 udah mati...</t>
  </si>
  <si>
    <t>tahun lagi diomongin sekarang..Lah PPKM aja belum beres...Rakyat mah mikit makan apa hari ini..Si Jae udah.. mikirin tahun lagi....Jangan2 udah mati...</t>
  </si>
  <si>
    <t>PPKM vs PSBB https://t.co/mhgPXfzSxk</t>
  </si>
  <si>
    <t>PPKM vs PSBB</t>
  </si>
  <si>
    <t>@tetestuang PPKM PARA PEMUDA KEMBALI MLETRE</t>
  </si>
  <si>
    <t>PPKM PARA PEMUDA KEMBALI MLETRE</t>
  </si>
  <si>
    <t>PPKM = Pulang Pergi Karep Mu https://t.co/NGqnbzjHjk</t>
  </si>
  <si>
    <t>PPKM = Pulang Pergi Karep Mu</t>
  </si>
  <si>
    <t>Dan seharusnya yang memimpin PPKM itu presiden dan bukan Luhut, biar masyarakat menilai kemampuan presiden dalam menangani krisis ini.</t>
  </si>
  <si>
    <t>@banjarbase Mungkin karna ppkm lo jadi mobilitasnya terbatas</t>
  </si>
  <si>
    <t>Mungkin karna ppkm lo jadi mobilitasnya terbatas</t>
  </si>
  <si>
    <t>@jokowi jgn lupa bawakan jg komik buat bacaan selama ppkm https://t.co/oBCVvTY7Ok</t>
  </si>
  <si>
    <t>jgn lupa bawakan jg komik buat bacaan selama ppkm</t>
  </si>
  <si>
    <t>@mohmahfudmd Owaaalah pak....Rakyat di bawah pada susah,jualan di sweeping trus, gak pantes nge twit beginian pak,bapak mahh enak mau PPKM sepanjang tahun juga,lah wong gaji ngalir terus😥</t>
  </si>
  <si>
    <t>Owaaalah pak....Rakyat di bawah pada susah,jualan di sweeping trus, gak pantes nge twit beginian pak,bapak mahh enak mau PPKM sepanjang tahun juga,lah wong gaji ngalir terus</t>
  </si>
  <si>
    <t>PPKM dan pembatasan liane ujung ujungnya duit dan pungli. Apa ini yang bikin Indonesia bukan membaik malah semakin sakit?</t>
  </si>
  <si>
    <t>PPKM,
 Pemud Pemudi Kembali Melonte</t>
  </si>
  <si>
    <t>PPKM,Pemud Pemudi Kembali Melonte</t>
  </si>
  <si>
    <t>ibumerku pasang status wa foto di masjid bersama teman2nya, lgsg dikomen tanteku “jaga jaraknya budee” 😂
 lgsg di hapus, next ke masjid foto lagi trus bilang “ga tak pasang status soal e ppkm” 😌</t>
  </si>
  <si>
    <t>ibumerku pasang status wa foto di masjid bersama teman2nya, lgsg dikomen tanteku jaga jaraknya budee lgsg di hapus, next ke masjid foto lagi trus bilang ga tak pasang status soal e ppkm</t>
  </si>
  <si>
    <t>Jadi dengan artian PPKM ini ga efektif sejauh ini kan ‼ https://t.co/Bk5MvZGasX</t>
  </si>
  <si>
    <t>Jadi dengan artian PPKM ini ga efektif sejauh ini kan</t>
  </si>
  <si>
    <t>Orang-orang gak masalah kalau ppkm lagi asalkan duit kebutuhan sehari-hari terpenuhi njr.....
 Tapi kalau ada duit kebutuhan sehari-haripun pasti ada yg ngekorupsiin -_- serba salah https://t.co/ppgvRfi9yH</t>
  </si>
  <si>
    <t>Orang-orang gak masalah kalau ppkm lagi asalkan duit kebutuhan sehari-hari terpenuhi njr.....Tapi kalau ada duit kebutuhan sehari-haripun pasti ada yg ngekorupsiin -_- serba salah</t>
  </si>
  <si>
    <t>Ini petugas2 PPKM hambok ditambahi nakes gtu, razia sekalian suntik vaksin
 Daripada bisanya cuman gebugin</t>
  </si>
  <si>
    <t>Ini petugas2 PPKM hambok ditambahi nakes gtu, razia sekalian suntik vaksinDaripada bisanya cuman gebugin</t>
  </si>
  <si>
    <t>@tirta_hudhi Dok mau tanya, hubungan ppkm sama lampu dimatikan itu apa? Emang virus gak bisa liat dalam gelap? Soalnya di sebagian negara uganda barat daya, saat ppkm lampunya dimatikan, mohon pencerahannya</t>
  </si>
  <si>
    <t>Dok mau tanya, hubungan ppkm sama lampu dimatikan itu apa? Emang virus gak bisa liat dalam gelap? Soalnya di sebagian negara uganda barat daya, saat ppkm lampunya dimatikan, mohon pencerahannya</t>
  </si>
  <si>
    <t>@kafiradikalis @jokowi Medan baru? Bukan lokasi ppkm darurat kan? Makin ngak paham</t>
  </si>
  <si>
    <t>Medan baru? Bukan lokasi ppkm darurat kan? Makin ngak paham</t>
  </si>
  <si>
    <t>jaman pandemi ppkm ga fungsi, ada yang ngasih ide romatisme blusukan pas sekarang. ini ide siapa sih? mau kampanye buat sekjen pbb ?</t>
  </si>
  <si>
    <t>@LTRFESS Tapi lg ppkm</t>
  </si>
  <si>
    <t>Tapi lg ppkm</t>
  </si>
  <si>
    <t>@miamarwah Buku nya otewe Pekalongan hari ini ya Mia, semoga tidak macet Kena PPKM</t>
  </si>
  <si>
    <t>Buku nya otewe Pekalongan hari ini ya Mia, semoga tidak macet Kena PPKM</t>
  </si>
  <si>
    <t>@PutraWadapi PPKM brp minggu, bulan, ato bahkan tahunan, gk masalah. Yg penting ikatan cinta jalan trs. Bukan begitu prof @mohmahfudmd ?</t>
  </si>
  <si>
    <t>PPKM brp minggu, bulan, ato bahkan tahunan, gk masalah. Yg penting ikatan cinta jalan trs. Bukan begitu prof ?</t>
  </si>
  <si>
    <t>Klw PPKM Mau Efektif,
 Batasi Pasokan/Stop Pasokan BBM Ke SPBU Ini Dilakukan U Membatasi Mobilitas Manusia, 
 Penjualan BBM Hanya Bs Dilayani U Hal2 Urgent.
 Beri Makanan Kpd Rakyat Selama Masa PPKM... 
 Yakin!!? Pandemi Ini Akan Melandai.</t>
  </si>
  <si>
    <t>Klw PPKM Mau Efektif,Batasi Pasokan/Stop Pasokan BBM Ke SPBU Ini Dilakukan U Membatasi Mobilitas Manusia, Penjualan BBM Hanya Bs Dilayani U Hal2 Urgent.Beri Makanan Kpd Rakyat Selama Masa PPKM... Yakin!!? Pandemi Ini Akan Melandai.</t>
  </si>
  <si>
    <t>@LaporCovid Bau-baunya PPKM bakal diperpanjang 😭</t>
  </si>
  <si>
    <t>Bau-baunya PPKM bakal diperpanjang</t>
  </si>
  <si>
    <t>@catpuccinooo Itu yg ana menteri udah tau ppkm tapi malah honeymoon ke jpg wkwk
 Terus langsung close acc dong biar ga kesorot media
 Basi bgt</t>
  </si>
  <si>
    <t>Itu yg ana menteri udah tau ppkm tapi malah honeymoon ke jpg wkwkTerus langsung close acc dong biar ga kesorot mediaBasi bgt</t>
  </si>
  <si>
    <t>- Depok tolak PPKM penurupan masjid !
 - Rakyat sweeping TKA CINA !
 - Terbukti pernyataan Dr Louis soal vaksin !
 - PPKM strategi CINA n penghianat PKI utk jajah Indonesia !
 - Covid dijadikan ALAT n proyek pembunuhan para ulama n Islam ? Astagfirullah !
 https://t.co/e3u5ZIKm1E</t>
  </si>
  <si>
    <t>- Depok tolak PPKM penurupan masjid !- Rakyat sweeping TKA CINA !- Terbukti pernyataan Dr Louis soal vaksin !- PPKM strategi CINA n penghianat PKI utk jajah Indonesia !- Covid dijadikan ALAT n proyek pembunuhan para ulama n Islam ? Astagfirullah !</t>
  </si>
  <si>
    <t>@rikesan1 PPKM = Pak Polisi Kemana Masiku</t>
  </si>
  <si>
    <t>PPKM = Pak Polisi Kemana Masiku</t>
  </si>
  <si>
    <t>Mfud gak ada Akhlak gak Peka sm keadaan Rakyat yang menderita dengannya ada Pandemi di Tambah kebijakan PPKM https://t.co/fHeHXUXaIn</t>
  </si>
  <si>
    <t>Mfud gak ada Akhlak gak Peka sm keadaan Rakyat yang menderita dengannya ada Pandemi di Tambah kebijakan PPKM</t>
  </si>
  <si>
    <t>@KidiKidi96 Kapan kelar si ppkm</t>
  </si>
  <si>
    <t>Kapan kelar si ppkm</t>
  </si>
  <si>
    <t>sumpaa PPKM ga berdampak buat covid, sampe 50.000+ kasusnya kemarin. Tapi berdampak banget bagi yang penghasilanya pas-pasan :) https://t.co/uoExsn0Vj6</t>
  </si>
  <si>
    <t>sumpaa PPKM ga berdampak buat covid, sampe + kasusnya kemarin. Tapi berdampak banget bagi yang penghasilanya pas-pasan</t>
  </si>
  <si>
    <t>@mepteor ppkm cum</t>
  </si>
  <si>
    <t>ppkm cum</t>
  </si>
  <si>
    <t>@mohmahfudmd Disaat org2 lg pusing mikirin strategi biar survive selama PPKM, ini malah ngetweet begini.</t>
  </si>
  <si>
    <t>Disaat org2 lg pusing mikirin strategi biar survive selama PPKM, ini malah ngetweet begini.</t>
  </si>
  <si>
    <t>@mohmahfudmd Saya kira belum ada urgensinya Pak mengangkat topik smcm ini di saat 🇮🇩 sedang jadi episentrum covid di dunia; dan sebagian rakyat kecil bingung besok harus makan apa di PPKM ini🙏🏻</t>
  </si>
  <si>
    <t>Saya kira belum ada urgensinya Pak mengangkat topik smcm ini di saat sedang jadi episentrum covid di dunia; dan sebagian rakyat kecil bingung besok harus makan apa di PPKM ini</t>
  </si>
  <si>
    <t>healingnya cukup pagi2 sekitar jam 2an muterin jogja sisih lor smpe kidul sambil menikmati jalanan sepi karna ppkm~</t>
  </si>
  <si>
    <t>healingnya cukup pagi2 sekitar jam an muterin jogja sisih lor smpe kidul sambil menikmati jalanan sepi karna ppkm~</t>
  </si>
  <si>
    <t>@dita_mln Di tengah PPKM ke produktifan pun meningkat wk</t>
  </si>
  <si>
    <t>Di tengah PPKM ke produktifan pun meningkat wk</t>
  </si>
  <si>
    <t>@dr_tompi TKA cina kalo mau masuk indon saat PPKM darurat harus operasi plastik. anda gak tau luhut bilang terkendali? Nanya dong ke luhut</t>
  </si>
  <si>
    <t>TKA cina kalo mau masuk indon saat PPKM darurat harus operasi plastik. anda gak tau luhut bilang terkendali? Nanya dong ke luhut</t>
  </si>
  <si>
    <t>Para Pemerintah Kontra Masyarakat (PPKM).
 -+ seperti lagu syahrini</t>
  </si>
  <si>
    <t>Para Pemerintah Kontra Masyarakat (PPKM).-+ seperti lagu syahrini</t>
  </si>
  <si>
    <t>PPKM LOGIC BE LIKE :
 - ANTRIAN VAKSIN BUKAN KERUMUNAN
 - KEMACETAN JUGA BUKAN KERUMUNAN
 - POL PP BUBARIN PEDAGANG BUKAN KERUMUNAN
 KERUMUNAN ITU ADALAH
 SHOLAT BERJAMAAH DI MASJID, SEKOLAH TATAP MUKA, DAN PASAR TRADISIONAL
 SELAMAT TINGGAL AKAL SEHAT</t>
  </si>
  <si>
    <t>PPKM LOGIC BE LIKE :- ANTRIAN VAKSIN BUKAN KERUMUNAN- KEMACETAN JUGA BUKAN KERUMUNAN- POL PP BUBARIN PEDAGANG BUKAN KERUMUNANKERUMUNAN ITU ADALAHSHOLAT BERJAMAAH DI MASJID, SEKOLAH TATAP MUKA, DAN PASAR TRADISIONALSELAMAT TINGGAL AKAL SEHAT</t>
  </si>
  <si>
    <t>@oliver_masithah Digaji besar pk uang rakyat malah enak2an nonton sinetron. Ga mikirin nasib rakyat yg susah krn ppkm, susah dpt obat dan O2.
 Ga punya malu 🤦‍♀️</t>
  </si>
  <si>
    <t>Digaji besar pk uang rakyat malah enak2an nonton sinetron. Ga mikirin nasib rakyat yg susah krn ppkm, susah dpt obat dan O2.Ga punya malu</t>
  </si>
  <si>
    <t>@longentot666 @tirta_hudhi PPKM cuma kalo ada pengawas atau media doang. selebihnya,kesadaran org masih minim</t>
  </si>
  <si>
    <t>PPKM cuma kalo ada pengawas atau media doang. selebihnya,kesadaran org masih minim</t>
  </si>
  <si>
    <t>@avrliie Karna ppkm without pp</t>
  </si>
  <si>
    <t>Karna ppkm without pp</t>
  </si>
  <si>
    <t>Ini Arogan lagi .. PPKM not solusi, lama2 Rakyat menderita. https://t.co/01ARXCWdrw</t>
  </si>
  <si>
    <t>Ini Arogan lagi .. PPKM not solusi, lama2 Rakyat menderita.</t>
  </si>
  <si>
    <t>mau tanya ke @pemkotbekasi dan Bok @Rahmat_Effendi_ ... apakah pegawai2 Pemkot skrg masuk semua selama PPKM darurat??? tolong dijawab cc @jokowi @ridwankamil @kemendagri @satgascovid19id @DPRDKotaBekasi</t>
  </si>
  <si>
    <t>mau tanya ke dan Bok ... apakah pegawai2 Pemkot skrg masuk semua selama PPKM darurat??? tolong dijawab cc</t>
  </si>
  <si>
    <t>Masama Emak Militan 🙏
 Maaf kemaren cuma mampir sebentar, maklum lagi PPKM Darurat 🙏 https://t.co/rsc2CKCKp7</t>
  </si>
  <si>
    <t>Masama Emak Militan Maaf kemaren cuma mampir sebentar, maklum lagi PPKM Darurat</t>
  </si>
  <si>
    <t>@aMrazing Lagi pulang kampung koh, malah kena covid sekeluarga, gada tempat isoman harus ke hotel, berhari2 dengan uang terkuras, cari penerbangan pulang susah, syarat banyak krn ppkm, yes, kena mental banget</t>
  </si>
  <si>
    <t>Lagi pulang kampung koh, malah kena covid sekeluarga, gada tempat isoman harus ke hotel, berhari2 dengan uang terkuras, cari penerbangan pulang susah, syarat banyak krn ppkm, yes, kena mental banget</t>
  </si>
  <si>
    <t>@dr_tompi Q malah senang ada PPKM, kalo bisa sih sampai kiamat! Soalnya hidup lebih nyaman, tidak kemrungsung!</t>
  </si>
  <si>
    <t>Q malah senang ada PPKM, kalo bisa sih sampai kiamat! Soalnya hidup lebih nyaman, tidak kemrungsung!</t>
  </si>
  <si>
    <t>PPKM itu bukannya dilarang Jualan tapi dilarang Miskin</t>
  </si>
  <si>
    <t>@LTRFESS Ppkm tau</t>
  </si>
  <si>
    <t>Ppkm tau</t>
  </si>
  <si>
    <t>Pagi semua ..kereta meski ppkm tetap aja ramai ya ..</t>
  </si>
  <si>
    <t>PPKM
 Pagi Pagi Kangen Kamu https://t.co/hSuFdV7z6D</t>
  </si>
  <si>
    <t>PPKMPagi Pagi Kangen Kamu</t>
  </si>
  <si>
    <t>PPKM rencana sd tgl.20 4 hari lagi selesai. Si cipeng baru enggeh ngebacot PPKM tanpa bantuan sosial!</t>
  </si>
  <si>
    <t>PPKM rencana sd tgl.20 hari lagi selesai. Si cipeng baru enggeh ngebacot PPKM tanpa bantuan sosial!</t>
  </si>
  <si>
    <t>@merdekadotcom Halahhh, di daan mogot pos ppkm , bs lewat2 aje. Cm antri rem rem doank dah gt lwt</t>
  </si>
  <si>
    <t>Halahhh, di daan mogot pos ppkm , bs lewat2 aje. Cm antri rem rem doank dah gt lwt</t>
  </si>
  <si>
    <t>PPKM udahan nih keknya besok, soalnya Jungkooknya udah Live~ https://t.co/FgeYBHciv4</t>
  </si>
  <si>
    <t>PPKM udahan nih keknya besok, soalnya Jungkooknya udah Live~</t>
  </si>
  <si>
    <t>Aturan LOCKDOWN : diberi makan👍
 Aturan PPKM : dibatasi waktunya makan, tanpa diberi makan😔
 #INADaruratMiskin #INADaruratMiskin https://t.co/Zc8iNfhRDY</t>
  </si>
  <si>
    <t>Aturan LOCKDOWN : diberi makanAturan PPKM : dibatasi waktunya makan, tanpa diberi makan</t>
  </si>
  <si>
    <t>@Ursleepingpils Tp lg ppkm</t>
  </si>
  <si>
    <t>Tp lg ppkm</t>
  </si>
  <si>
    <t>@Magister_Bacot tangan pejuang ppkm👍🏼</t>
  </si>
  <si>
    <t>tangan pejuang ppkm</t>
  </si>
  <si>
    <t>@fullmoonfolks Disini tuh ppkm ga ketat ndan.</t>
  </si>
  <si>
    <t>Disini tuh ppkm ga ketat ndan.</t>
  </si>
  <si>
    <t>Pak @Jokowi apa kah negara memikirkan serius dgn kebijakan PPKM nya, soal kebutuhan pokok dan dasar warga negara?
 Bagi banyak kalangan buat makan saja susah, blm lagi kontrakkan rumah, bayar listrik, cicilan kendaraan?
 blm lg kalau apa2 harus PCR yg bayar sendiri.
 #SuaraRakyat</t>
  </si>
  <si>
    <t>Pak apa kah negara memikirkan serius dgn kebijakan PPKM nya, soal kebutuhan pokok dan dasar warga negara?Bagi banyak kalangan buat makan saja susah, blm lagi kontrakkan rumah, bayar listrik, cicilan kendaraan?blm lg kalau apa2 harus PCR yg bayar sendiri.</t>
  </si>
  <si>
    <t>...kurang kerjaan, mending olah raga ala ppkm aja... https://t.co/UqeetMLfK9 https://t.co/vZkDKKOIT1</t>
  </si>
  <si>
    <t>...kurang kerjaan, mending olah raga ala ppkm aja...</t>
  </si>
  <si>
    <t>bisa-bisanya ppkm malah berkunjung ke rumah haters, didampingi polisi pula. aneh. https://t.co/TofcUTmnsk</t>
  </si>
  <si>
    <t>bisa-bisanya ppkm malah berkunjung ke rumah haters, didampingi polisi pula. aneh.</t>
  </si>
  <si>
    <t>@WhoNowmee @tynderfess ppkm bisa diam tidak</t>
  </si>
  <si>
    <t>ppkm bisa diam tidak</t>
  </si>
  <si>
    <t>Efek PPKM https://t.co/eCIHbMHqU7</t>
  </si>
  <si>
    <t>@citraDwibisana Msh PPKM</t>
  </si>
  <si>
    <t>Msh PPKM</t>
  </si>
  <si>
    <t>@xvidgmbk 🤣🤣🤣🤣 dr dulu jg gitu keles... Gak PPKM aja lampu kantorku off jam 18.00 wib.</t>
  </si>
  <si>
    <t>dr dulu jg gitu keles... Gak PPKM aja lampu kantorku off jam wib.</t>
  </si>
  <si>
    <t>@rizkidwika Apa itu ppkm</t>
  </si>
  <si>
    <t>Apa itu ppkm</t>
  </si>
  <si>
    <t>@novvvay_ After Ppkm ya.... baek baek aja dulu di sana 😂</t>
  </si>
  <si>
    <t>After Ppkm ya.... baek baek aja dulu di sana</t>
  </si>
  <si>
    <t>@springmxxlight_ @tubirfess itu di kalimat pertama sama kedua dia bahas haters deh, baru di kalimat berikutnya dia permasalahin ppkm.</t>
  </si>
  <si>
    <t>itu di kalimat pertama sama kedua dia bahas haters deh, baru di kalimat berikutnya dia permasalahin ppkm.</t>
  </si>
  <si>
    <t>@Adipativan_1 Masih ppkm , wkwkwk😂😂</t>
  </si>
  <si>
    <t>Masih ppkm , wkwkwk</t>
  </si>
  <si>
    <t>Bencana Negeri ini jika kematian tiap hari masih diatas 1500 orang perhari, kemarin 1893 orang, 
 apakah PPKM efektif mengurangi kematian ? Tolonglah saudara kami hai para penguasa negeri ini. 
 @KemenkesRI https://t.co/LeHDBETq7K</t>
  </si>
  <si>
    <t>Bencana Negeri ini jika kematian tiap hari masih diatas orang perhari, kemarin orang, apakah PPKM efektif mengurangi kematian ? Tolonglah saudara kami hai para penguasa negeri ini.</t>
  </si>
  <si>
    <t>Get well soon, mbak Zang Beiwen. Nanti kita main lagi di UB Sport Center setelah pandemi mereda dan tidak ada PPKM ala Richeesse Factory pakai level-levelan. https://t.co/KiwLbx8oTs</t>
  </si>
  <si>
    <t>Get well soon, mbak Zang Beiwen. Nanti kita main lagi di UB Sport Center setelah pandemi mereda dan tidak ada PPKM ala Richeesse Factory pakai level-levelan.</t>
  </si>
  <si>
    <t>Ppkm = pelan pelan kita mengsedih</t>
  </si>
  <si>
    <t>@QaillaAsyiqah Ppkm akal"an utk menindas rakyat</t>
  </si>
  <si>
    <t>Ppkm akal"an utk menindas rakyat</t>
  </si>
  <si>
    <t>@withyshn_12 Masih PPKM da</t>
  </si>
  <si>
    <t>Masih PPKM da</t>
  </si>
  <si>
    <t>@schfess Klo di gw sih dulu klo mau ambil buku paket ya WA dulu ke penjaga perpus mau minjem buku, nanti kita tinggal dateng terus ambil, simple kan kadang kita di suruh mandiri dalam segala hal
 Dan karena sekarang lagi PPKM Ya jdi ga bisa minjem ke perpus</t>
  </si>
  <si>
    <t>Klo di gw sih dulu klo mau ambil buku paket ya WA dulu ke penjaga perpus mau minjem buku, nanti kita tinggal dateng terus ambil, simple kan kadang kita di suruh mandiri dalam segala halDan karena sekarang lagi PPKM Ya jdi ga bisa minjem ke perpus</t>
  </si>
  <si>
    <t>@BO2129 Hemmm...
 Ppkm 🤣🤣</t>
  </si>
  <si>
    <t>Hemmm...Ppkm</t>
  </si>
  <si>
    <t>Kira2 ppkm diperpanjang lg gasiiii?</t>
  </si>
  <si>
    <t>@Edhie_Baskoro Sok tweet begini.
 Kemarin yg demo menolak PPKM di bandung kemana kok gak ada suara?</t>
  </si>
  <si>
    <t>Sok tweet begini.Kemarin yg demo menolak PPKM di bandung kemana kok gak ada suara?</t>
  </si>
  <si>
    <t>@xvidgmbk Playing victim seolah² korban PPKM...</t>
  </si>
  <si>
    <t>Playing victim seolah korban PPKM...</t>
  </si>
  <si>
    <t>Ppkm ppkm:( w tu mo joget anjrit</t>
  </si>
  <si>
    <t>Ppkm ppkm w tu mo joget anjrit</t>
  </si>
  <si>
    <t>Sholat jamaah di mesjid" sdh berlangsung sejak Rabu lalu, rasa"nya gak mgkn PPKM diperpanjang karena agustusan bisa berantakan. Hari ini pun jumatan diselenggarakan. PPKM diperlukan tuk menjauhi ummat dr Iedhul Adha dan rutinitas kurban. Gak lebih. Bisa membaca kan !</t>
  </si>
  <si>
    <t>@RachlanNashidik Pak Jokowi lanjutkan infrastruktur. Bebaskan semua dari PPKM. Biar alam yg menentukan siapa yg duluan dan siapa yg belakangan.</t>
  </si>
  <si>
    <t>Pak Jokowi lanjutkan infrastruktur. Bebaskan semua dari PPKM. Biar alam yg menentukan siapa yg duluan dan siapa yg belakangan.</t>
  </si>
  <si>
    <t>Bapak bapak Pemerintah..maaf ni pak, maaf bgt !! 
 Sebenarnya kita dh telat kalau harus PPKM skrg ini pak, yg ada malah memperburuk keadaan. 
 Tujuan PPKM mgkn kalau saya gk salah adalah memperkecil tingkat mobilitas rakyat ya pak? Namun yg terjadi apa? 
 Padat merayap! 
 Lanjut..</t>
  </si>
  <si>
    <t>Bapak bapak Pemerintah..maaf ni pak, maaf bgt !! Sebenarnya kita dh telat kalau harus PPKM skrg ini pak, yg ada malah memperburuk keadaan. Tujuan PPKM mgkn kalau saya gk salah adalah memperkecil tingkat mobilitas rakyat ya pak? Namun yg terjadi apa? Padat merayap! Lanjut..</t>
  </si>
  <si>
    <t>@sebuchill mau ke teller ;__; soalnya dibatesin kuotanya ppkm gini 😭</t>
  </si>
  <si>
    <t>mau ke teller ;__; soalnya dibatesin kuotanya ppkm gini</t>
  </si>
  <si>
    <t>@detikcom ppkm malah kaluyuran jak rojak,nyari sensasi apa gimana nih?</t>
  </si>
  <si>
    <t>ppkm malah kaluyuran jak rojak,nyari sensasi apa gimana nih?</t>
  </si>
  <si>
    <t>PPKM : Pagi Pagi Kena Mental</t>
  </si>
  <si>
    <t>@traveloka Udah LDR, dianya di ponpes, PPkm lagi.</t>
  </si>
  <si>
    <t>Udah LDR, dianya di ponpes, PPkm lagi.</t>
  </si>
  <si>
    <t>@Markonah_003 Wah ganti nama oembatasan lagi nih, psbb, ppkm berlevel2, ........??</t>
  </si>
  <si>
    <t>Wah ganti nama oembatasan lagi nih, psbb, ppkm berlevel2, ........??</t>
  </si>
  <si>
    <t>Minus di broke up sm ppkm yg bikin jadwal kerja banyak di cut aj si,tp scr ga langsung di cutnya jadwal bkin bnyak waktu buat produktif jg 😌</t>
  </si>
  <si>
    <t>Minus di broke up sm ppkm yg bikin jadwal kerja banyak di cut aj si,tp scr ga langsung di cutnya jadwal bkin bnyak waktu buat produktif jg</t>
  </si>
  <si>
    <t>@elisaaprilianaa Padahal lagi ppkm 🙃</t>
  </si>
  <si>
    <t>Padahal lagi ppkm</t>
  </si>
  <si>
    <t>@zielogy ppkm pun tdk bs menjauhkan diriku dr dirimu kez, ak syg km knp 🥺🆖️🥺💗🆖️💗🥺 ayo ciuman🥺🥺🆖️💗🆖️🥺🆖️💗</t>
  </si>
  <si>
    <t>ppkm pun tdk bs menjauhkan diriku dr dirimu kez, ak syg km knp ayo ciuman</t>
  </si>
  <si>
    <t>@hrdbacot Di santika bsd sebelum ppkm udah buffet. Tapi ada staf yg ambilin tiep stall nya
 Di qubika bsd juga udh buffet, prokes nya paling jarak tiep meja jauh2an, gitu doang</t>
  </si>
  <si>
    <t>Di santika bsd sebelum ppkm udah buffet. Tapi ada staf yg ambilin tiep stall nyaDi qubika bsd juga udh buffet, prokes nya paling jarak tiep meja jauh2an, gitu doang</t>
  </si>
  <si>
    <t>PPKM KAPAN BERHENTI JINGAN</t>
  </si>
  <si>
    <t>@LadyRoyco Saya cuma pengen nonton olimpiade Tokyo, udah itu aja. Gabut, banyak uang, PPKM level 4 gak ada cabe nya.</t>
  </si>
  <si>
    <t>Saya cuma pengen nonton olimpiade Tokyo, udah itu aja. Gabut, banyak uang, PPKM level gak ada cabe nya.</t>
  </si>
  <si>
    <t>@jjnkyute Ayo bergerak samperin abangnyaa, eh tapi ppkm</t>
  </si>
  <si>
    <t>Ayo bergerak samperin abangnyaa, eh tapi ppkm</t>
  </si>
  <si>
    <t>Wihhh Tanggal tua ni Sob... :(( di masa PPKM darurat perpanjangan level 4 ini, gimana pengeluaranmu Sob...? makin ngirit apa malah boros...? #SEMPAG</t>
  </si>
  <si>
    <t>Wihhh Tanggal tua ni Sob... di masa PPKM darurat perpanjangan level ini, gimana pengeluaranmu Sob...? makin ngirit apa malah boros...?</t>
  </si>
  <si>
    <t>"Banyak lho trans women yang boro-boro teriak-teriak, bisa makan aja udah syukur"
 Ini bener banget, saya sedang mengalaminya. Lamar kerja sana-sini sering ditolak. Sempet keterima jadi PRT, tapi harus berhenti karena PPKM Darurat. Akhirnya sekarang cari duit lewat joki tugas. https://t.co/AvTA33j8xh</t>
  </si>
  <si>
    <t>"Banyak lho trans women yang boro-boro teriak-teriak, bisa makan aja udah syukur"Ini bener banget, saya sedang mengalaminya. Lamar kerja sana-sini sering ditolak. Sempet keterima jadi PRT, tapi harus berhenti karena PPKM Darurat. Akhirnya sekarang cari duit lewat joki tugas.</t>
  </si>
  <si>
    <t>Demi Keselamatan Rakyat, Wakil Ketua DPR Dukung PPKM Diperpanjang
 https://t.co/E88vHT1WIV
 Kami Bersama Jokowi</t>
  </si>
  <si>
    <t>Demi Keselamatan Rakyat, Wakil Ketua DPR Dukung PPKM Diperpanjang Bersama Jokowi</t>
  </si>
  <si>
    <t>@notdrinksperiod @rozensiroops @tubirfess Idihh masih nanya aja ppkm boleh keluar apa enggak, kan tujuan ppkm buat kurangin covid, otomatis klo gak penting2 amat ngapain keluar rumah. Jangan egois lahh kita semua juga udah bosen sebenernya mah sama ppkm, tp ya mau gimana, dia gara2 masalah hatters sampe bela2in keluar -</t>
  </si>
  <si>
    <t>Idihh masih nanya aja ppkm boleh keluar apa enggak, kan tujuan ppkm buat kurangin covid, otomatis klo gak penting2 amat ngapain keluar rumah. Jangan egois lahh kita semua juga udah bosen sebenernya mah sama ppkm, tp ya mau gimana, dia gara2 masalah hatters sampe bela2in keluar -</t>
  </si>
  <si>
    <t>@ultramen5678910 Ppkm marai repot 🙁</t>
  </si>
  <si>
    <t>Ppkm marai repot</t>
  </si>
  <si>
    <t>@CNNIndonesia Ngapain lokdon? Ppkm saja goblok betul</t>
  </si>
  <si>
    <t>Ngapain lokdon? Ppkm saja goblok betul</t>
  </si>
  <si>
    <t>@xvidgmbk Bukannya bbrp gedung punya aturan bahkan sblm PPKM jam segitu lampu dimatiin ya?</t>
  </si>
  <si>
    <t>Bukannya bbrp gedung punya aturan bahkan sblm PPKM jam segitu lampu dimatiin ya?</t>
  </si>
  <si>
    <t>@geloraco Semakin Pemerintah banyak bicara (Jokowi ) semakin banyak kematian rakyat Indonesia
 APALAH ARTINYA DILAKUKANNYA PPKM,1,2,3,4
 toh berita kematian terpapar covid 19 mencapai 90 rb rakyat Indonesia, 
 PPKM " PLANGA PLONGO KURANG MIKIR "</t>
  </si>
  <si>
    <t>Semakin Pemerintah banyak bicara (Jokowi ) semakin banyak kematian rakyat IndonesiaAPALAH ARTINYA DILAKUKANNYA PPKM,1,2,3,4toh berita kematian terpapar covid mencapai rb rakyat Indonesia, PPKM " PLANGA PLONGO KURANG MIKIR "</t>
  </si>
  <si>
    <t>@atanasia_rian Senang dengarnya, ada dana tambahan untuk perkerja. Setidaknya ini bisa melegakan hati mereka saat terdampak PPKM.</t>
  </si>
  <si>
    <t>Senang dengarnya, ada dana tambahan untuk perkerja. Setidaknya ini bisa melegakan hati mereka saat terdampak PPKM.</t>
  </si>
  <si>
    <t>terharu ppkm digaji full :”(</t>
  </si>
  <si>
    <t>terharu ppkm digaji full</t>
  </si>
  <si>
    <t>Saya gak yakin orang² bisa dikasih berita beginian. Angka covid turun, zona membaik, dll.. seriuusss.. gak lama lagi ppkm kelar, smua pada rame² liburan lagi.. yakin dehhh https://t.co/ztMuSbgjKK</t>
  </si>
  <si>
    <t>Saya gak yakin orang bisa dikasih berita beginian. Angka covid turun, zona membaik, dll.. seriuusss.. gak lama lagi ppkm kelar, smua pada rame liburan lagi.. yakin dehhh</t>
  </si>
  <si>
    <t>PPKM bikin pikiran brutal dah, perlu short trip banget🙃</t>
  </si>
  <si>
    <t>PPKM bikin pikiran brutal dah, perlu short trip banget</t>
  </si>
  <si>
    <t>@Arkian_Widi Alhamdulillah, ini jadi kabar baik buat para pekerja yang terdampak PPKM. Semoga bisa digunakan sesuai kebutuhan.</t>
  </si>
  <si>
    <t>Alhamdulillah, ini jadi kabar baik buat para pekerja yang terdampak PPKM. Semoga bisa digunakan sesuai kebutuhan.</t>
  </si>
  <si>
    <t>@afrkml Alhamdulillah aku. 
 Udah swab 2 kali negatif. 
 Padahal dari awal maret 2020 selalu full kerja sampe ppkm 2021. Alhamdulillah bersyukur banget.</t>
  </si>
  <si>
    <t>Alhamdulillah aku. Udah swab kali negatif. Padahal dari awal maret selalu full kerja sampe ppkm . Alhamdulillah bersyukur banget.</t>
  </si>
  <si>
    <t>PPKM alias PAGI PAGI KU MLEYOT
 https://t.co/AkyycAOnzr</t>
  </si>
  <si>
    <t>PPKM alias PAGI PAGI KU MLEYOT</t>
  </si>
  <si>
    <t>@GarengHallu @ferrywf Wahai para Mahasiswa, terus lanjutkan DEMO PPKM MU, biar sekalian kau sebarkan virus lbh banyak lagi, itu kah jati dirimu hanya mau dikuasai oleh orng2 yg hanya memberikan Nasi bungkus dan sedikit transport, Maaf memalukan Almamatermu. Lbh baik membantu para Pahlawan Nakes.</t>
  </si>
  <si>
    <t>Wahai para Mahasiswa, terus lanjutkan DEMO PPKM MU, biar sekalian kau sebarkan virus lbh banyak lagi, itu kah jati dirimu hanya mau dikuasai oleh orng2 yg hanya memberikan Nasi bungkus dan sedikit transport, Maaf memalukan Almamatermu. Lbh baik membantu para Pahlawan Nakes.</t>
  </si>
  <si>
    <t>@gitusayang Daerah mn nih maksudnya? Nanti aja abis ppkm ke kampung coklat😂</t>
  </si>
  <si>
    <t>Daerah mn nih maksudnya? Nanti aja abis ppkm ke kampung coklat</t>
  </si>
  <si>
    <t>@abirekso Harun masiku raib entah kemana, KM 50 seakan terhenti penuntutannya dan hanya mengorbankan 2 orang yg juga belum ditahan, rakyat dibuatkan aturan psbb dan ppkm yg berlevel2 sementara tka terus berdatangan, rakyat marah dibatasi ruang geraknya berusaha sampai turun kejalan protes</t>
  </si>
  <si>
    <t>Harun masiku raib entah kemana, KM seakan terhenti penuntutannya dan hanya mengorbankan orang yg juga belum ditahan, rakyat dibuatkan aturan psbb dan ppkm yg berlevel2 sementara tka terus berdatangan, rakyat marah dibatasi ruang geraknya berusaha sampai turun kejalan protes</t>
  </si>
  <si>
    <t>Kerja di perusahaan yg ngasih gaji full even ane kmaren sempet libur 2 minggu karna isoman itu rejeki bgt ya ternyata
 Padahal ane expectnya gaji ane dipotong, tp Alhamdulillah dikasih full
 Fyi tpt kerja ane kena dampak ppkm dan harus tutup coba</t>
  </si>
  <si>
    <t>Kerja di perusahaan yg ngasih gaji full even ane kmaren sempet libur minggu karna isoman itu rejeki bgt ya ternyataPadahal ane expectnya gaji ane dipotong, tp Alhamdulillah dikasih fullFyi tpt kerja ane kena dampak ppkm dan harus tutup coba</t>
  </si>
  <si>
    <t>anying dan ppkm sama hari biasa krl sama aja ramenya ternyata</t>
  </si>
  <si>
    <t>yaampun senin udh selesai ppkm ya</t>
  </si>
  <si>
    <t>@detikcom Ngaku boleh tapi jangan ngaku ngaku. Thn 80 an jaman aku SD yg namanya BMkG udah ada ya bu? Dikira kek PSBB ganti PPkM ganti level. Bikin geli</t>
  </si>
  <si>
    <t>Ngaku boleh tapi jangan ngaku ngaku. Thn an jaman aku SD yg namanya BMkG udah ada ya bu? Dikira kek PSBB ganti PPkM ganti level. Bikin geli</t>
  </si>
  <si>
    <t>@detikcom Iya yah klo dipikir2 tuh knapa informasi perpanjangan PPKM mesti bgt h-sekian jam gituh. Bobrok naujubilee</t>
  </si>
  <si>
    <t>Iya yah klo dipikir2 tuh knapa informasi perpanjangan PPKM mesti bgt h-sekian jam gituh. Bobrok naujubilee</t>
  </si>
  <si>
    <t>Namanya jg KEYAKINAN. Jika kita yakin Tuhan bisa ditemui disembarang tempat, apa yg salah dg berdoa di Twitter ? Ya nggak si ?? Dan kl ini dibenarkan, apa urgensi penolakan pembangunan rumah ibadah ? Apa urgensi penolakan ibadah di rumah slm PPKM ?? 😄🤭</t>
  </si>
  <si>
    <t>Namanya jg KEYAKINAN. Jika kita yakin Tuhan bisa ditemui disembarang tempat, apa yg salah dg berdoa di Twitter ? Ya nggak si ?? Dan kl ini dibenarkan, apa urgensi penolakan pembangunan rumah ibadah ? Apa urgensi penolakan ibadah di rumah slm PPKM ??</t>
  </si>
  <si>
    <t>@detikcom Hebat nih kayak pejabat keluarga ini, kondisi PPKM aja bisa kemana2 sampe kerumah tersangka</t>
  </si>
  <si>
    <t>Hebat nih kayak pejabat keluarga ini, kondisi PPKM aja bisa kemana2 sampe kerumah tersangka</t>
  </si>
  <si>
    <t>@icethercold HUHU MASIH PPKM SENG GA BISA JALAN DLU :(</t>
  </si>
  <si>
    <t>HUHU MASIH PPKM SENG GA BISA JALAN DLU</t>
  </si>
  <si>
    <t>Ppkm mo ketemu pcr harus pake pcr hhhh</t>
  </si>
  <si>
    <t>Udah tanggung kelewat. Nanti abis ppkm kali ya benerinnya🤧 https://t.co/8LHJVdIQF3</t>
  </si>
  <si>
    <t>Udah tanggung kelewat. Nanti abis ppkm kali ya benerinnya</t>
  </si>
  <si>
    <t>@jampirojam @republikwakanda PPKM level 4 itu hanya berlaku untuk pedagang kaki lima.. ups 🙈
 Jadi para aparat bisa bebas lalulalang keluar kota.. dengan embel sudah vaksin dan negatif covid hmmmmm</t>
  </si>
  <si>
    <t>PPKM level itu hanya berlaku untuk pedagang kaki lima.. ups Jadi para aparat bisa bebas lalulalang keluar kota.. dengan embel sudah vaksin dan negatif covid hmmmmm</t>
  </si>
  <si>
    <t>@VIVAcoid Sangat memprihatinkan !!!!! Mari....tinggalkan n bagikan "Kelebihan Berat Badan " kpd Masyarakat yg strees n terpaksa berpuasa krn sikon PPKM. Tdk butuh timbangan berat badan, krn pst menciut dlm Keperihan hidup se-Hari2.</t>
  </si>
  <si>
    <t>Sangat memprihatinkan !!!!! Mari....tinggalkan n bagikan "Kelebihan Berat Badan " kpd Masyarakat yg strees n terpaksa berpuasa krn sikon PPKM. Tdk butuh timbangan berat badan, krn pst menciut dlm Keperihan hidup se-Hari2.</t>
  </si>
  <si>
    <t>@Dfana77 lg ppkm gini mkn tupat???
 ga lepel 4 ah..</t>
  </si>
  <si>
    <t>lg ppkm gini mkn tupat???ga lepel ah..</t>
  </si>
  <si>
    <t>@azulabintiozai 1. keluar cuma 1/2 minggu sekali (sblm ppkm) setelah ppkm di rumah full. sekalinya keluar juga di anter jemput naik mobil seringnya, jd lingkupnya ya org rumah juga. gapernah bukber, gapernah kondangan, gapernah naik kendaraan umum selain mrt (sekali, itupun kosong bgt).</t>
  </si>
  <si>
    <t>. keluar cuma /2 minggu sekali (sblm ppkm) setelah ppkm di rumah full. sekalinya keluar juga di anter jemput naik mobil seringnya, jd lingkupnya ya org rumah juga. gapernah bukber, gapernah kondangan, gapernah naik kendaraan umum selain mrt (sekali, itupun kosong bgt).</t>
  </si>
  <si>
    <t>MEEEE. Swab berkali kali, sakit apapun swab, bahkan ada cluster keluarga yg serumah dan contactnya bener bener close tapi alhamdulillah ga kena. Padahal wfo, commuting everyday back then. Kalo pas ppkm dianter jemput dan ngekost. https://t.co/Rn0IGZxxMg</t>
  </si>
  <si>
    <t>MEEEE. Swab berkali kali, sakit apapun swab, bahkan ada cluster keluarga yg serumah dan contactnya bener bener close tapi alhamdulillah ga kena. Padahal wfo, commuting everyday back then. Kalo pas ppkm dianter jemput dan ngekost.</t>
  </si>
  <si>
    <t>@GeiszChalifah Waaoo semuga para buzerRP semakin sadar dikit demi sedikit krn kalau sy lihat para pemuja mukidi banyak yg setres gara2 PPKM
 P.ak
 Presiden
 K.apan
 M.undur
 🤣🤣🤣</t>
  </si>
  <si>
    <t>Waaoo semuga para buzerRP semakin sadar dikit demi sedikit krn kalau sy lihat para pemuja mukidi banyak yg setres gara2 PPKMP.akPresidenK.apanM.undur</t>
  </si>
  <si>
    <t>@tembikarbatin entah lahh...
 palingan di kasur doank,,
 sambil perkosa guling, soalnya masih terhalang ppkm... 😅😅</t>
  </si>
  <si>
    <t>entah lahh...palingan di kasur doank,,sambil perkosa guling, soalnya masih terhalang ppkm...</t>
  </si>
  <si>
    <t>Dukung perpanjangan PPKM. 
 Kami Bersama Jokowi https://t.co/ksf35aYBGI</t>
  </si>
  <si>
    <t>Dukung perpanjangan PPKM. Kami Bersama Jokowi</t>
  </si>
  <si>
    <t>Dukung perpanjangan PPKM. 
 Kami Bersama Jokowi https://t.co/llCs0yE16h</t>
  </si>
  <si>
    <t>kalo mau ke guardian ttp gabole ya ppkm gini 😭</t>
  </si>
  <si>
    <t>kalo mau ke guardian ttp gabole ya ppkm gini</t>
  </si>
  <si>
    <t>To This.
 selama dia balik mdn aku g pernah tanya dia kapan balik sini. krna aku tau itu waktu penting dia buat nemenin mamak dan kumpul keluarga.
 sampe aku denger dr orang lain kalau dia mau balik, trus aku nekat tanya "km balik sini bulan ini ta? masih ppkm loh". https://t.co/uBRfjH0fFr</t>
  </si>
  <si>
    <t>To This.selama dia balik mdn aku g pernah tanya dia kapan balik sini. krna aku tau itu waktu penting dia buat nemenin mamak dan kumpul keluarga.sampe aku denger dr orang lain kalau dia mau balik, trus aku nekat tanya "km balik sini bulan ini ta? masih ppkm loh".</t>
  </si>
  <si>
    <t>Dukung perpanjangan PPKM. 
 Kami Bersama Jokowi https://t.co/5O98KVsXhw</t>
  </si>
  <si>
    <t>Dukung perpanjangan PPKM. 
 Kami Bersama Jokowi https://t.co/41x1CiJHe3</t>
  </si>
  <si>
    <t>lama2 gw mikir ppkm ni dibuat biar polisi ada kerjaan aja</t>
  </si>
  <si>
    <t>Dukung perpanjangan PPKM. 
 Kami Bersama Jokowi https://t.co/TJsWk96ymf</t>
  </si>
  <si>
    <t>@schfess Pernah,karena di suruh nyanyi atau cover lagu. Itu sekali, setelahnya sih kita secara online. Tapi sih,itu tugas sebelum PPKM kalau sekarang lebih banyak tugas mandiri</t>
  </si>
  <si>
    <t>Pernah,karena di suruh nyanyi atau cover lagu. Itu sekali, setelahnya sih kita secara online. Tapi sih,itu tugas sebelum PPKM kalau sekarang lebih banyak tugas mandiri</t>
  </si>
  <si>
    <t>@jaericsupremacy mager keluar lagi ppkm gini teh😔😔😔</t>
  </si>
  <si>
    <t>mager keluar lagi ppkm gini teh</t>
  </si>
  <si>
    <t>Ppkm juga ngapain ke rawa anjir??? Liat buaya?? HAH setdah mending dirumah</t>
  </si>
  <si>
    <t>@tubirfess kalo mau disamperin satu2 emang kenapa? kalo tindakannya keterlaluan sih ya gw samperin. kesabaran ada batasnya bos. mo ppkm atau enggak tetep bakal gw cari tuh orng yg ngatain keluarga gw</t>
  </si>
  <si>
    <t>kalo mau disamperin satu2 emang kenapa? kalo tindakannya keterlaluan sih ya gw samperin. kesabaran ada batasnya bos. mo ppkm atau enggak tetep bakal gw cari tuh orng yg ngatain keluarga gw</t>
  </si>
  <si>
    <t>@MiniGoldID Pelan pelan kumpul minigold dimasa ppkm ini 😍😍😍😍🤩🤩🤩🤩 https://t.co/j0h24WLIoA</t>
  </si>
  <si>
    <t>Pelan pelan kumpul minigold dimasa ppkm ini</t>
  </si>
  <si>
    <t>@CommuterLine min selama ppkm surat yang dibawa perlu di print atau boleh hanya ditunjukkan saja filenya</t>
  </si>
  <si>
    <t>min selama ppkm surat yang dibawa perlu di print atau boleh hanya ditunjukkan saja filenya</t>
  </si>
  <si>
    <t>Gubernur Khofifah menuturkan, Pemprov Jatim berupaya maksimal untuk meringankan beban masyarakat selama penerapan PPKM di tengah pandemi Covid-19</t>
  </si>
  <si>
    <t>sch! kalian ada yang dikasih tugas kerja kelompok yang mengharuskan buat ketemuan gak? padahal lagi ppkm gini</t>
  </si>
  <si>
    <t>@doremiredosido Kalian tetep semangat! Ppkm gaakan di perpanjang sampe januari kok</t>
  </si>
  <si>
    <t>Kalian tetep semangat! Ppkm gaakan di perpanjang sampe januari kok</t>
  </si>
  <si>
    <t>Irit irit meblanja (padahal penghasilan ada) efek psikologis konsumen musim PPKM.</t>
  </si>
  <si>
    <t>@Aledhean Betul itu tetapi pada intinya: lha wong pemerintah menghimbau di rumah saja saat PPKM kok trus ngasih uang agar keluar belanja ... kan ? Gimana ? Bertolak belakang kan ?</t>
  </si>
  <si>
    <t>Betul itu tetapi pada intinya: lha wong pemerintah menghimbau di rumah saja saat PPKM kok trus ngasih uang agar keluar belanja ... kan ? Gimana ? Bertolak belakang kan ?</t>
  </si>
  <si>
    <t>@twityzxc Ampun, saya taat ppkm kok.</t>
  </si>
  <si>
    <t>Ampun, saya taat ppkm kok.</t>
  </si>
  <si>
    <t>Egois adalah org2 yg mempertanyakan kenapa WFH terus? Kok gak pernah masuk kantor? Trus gw jwb gak ngerti artinya PPKM &amp;amp; resiko tertular tinggi di kantor dg kondisi ruangan yg gak memadai? Lagian kalo kita sakit emang situ yang ngurusin kita? Bayarin RS? Ngasih makan kita? KZL</t>
  </si>
  <si>
    <t>@tubirfess Sebagai seorang ayah, gw dukung orang tua ayu tingting yg membela anak dan cucunya. Mau PPKM atau PPK atau MMK kek gw datengin tu bocah.</t>
  </si>
  <si>
    <t>Sebagai seorang ayah, gw dukung orang tua ayu tingting yg membela anak dan cucunya. Mau PPKM atau PPK atau MMK kek gw datengin tu bocah.</t>
  </si>
  <si>
    <t>-dips! Ini ku lepas 700k ada yang mau ga? Lagi BU nih :( seret amat gara gara PPkM https://t.co/1tFpmcLgSi</t>
  </si>
  <si>
    <t>-dips! Ini ku lepas k ada yang mau ga? Lagi BU nih seret amat gara gara PPkM</t>
  </si>
  <si>
    <t>@T4ier1 @bicaraboxoffice 😂😂😂😂😂
 Ya maksudnya nunggu level PPKM turun sampe bioskop boleh buka, ya kita belum tau kapan</t>
  </si>
  <si>
    <t>Ya maksudnya nunggu level PPKM turun sampe bioskop boleh buka, ya kita belum tau kapan</t>
  </si>
  <si>
    <t>@detikcom Mudah2an gak ada masalah baru...karena bapak rojak dapat dispensasi PPKM</t>
  </si>
  <si>
    <t>Mudah2an gak ada masalah baru...karena bapak rojak dapat dispensasi PPKM</t>
  </si>
  <si>
    <t>ppkm muk gawe susah haduhhh</t>
  </si>
  <si>
    <t>Semoga tidak ada ppkm ye https://t.co/IS1LuKG9un</t>
  </si>
  <si>
    <t>Semoga tidak ada ppkm ye</t>
  </si>
  <si>
    <t>Negara lain kayaknya uda mulai bangkit ya dari covid.. meanwhile negara sendiri bolak balik ppkm yg namanya selalu berubah2 hehe😌</t>
  </si>
  <si>
    <t>Negara lain kayaknya uda mulai bangkit ya dari covid.. meanwhile negara sendiri bolak balik ppkm yg namanya selalu berubah2 hehe</t>
  </si>
  <si>
    <t>Gubernur Khofifah menegaskan pihaknya telah melakukan sejumlah hal agar roda perekonomian masyarakat tetap berjalan kendati sedang menerapkan PPKM Darurat hingga Level 4</t>
  </si>
  <si>
    <t>Gubernur Khofifah menegaskan pihaknya telah melakukan sejumlah hal agar roda perekonomian masyarakat tetap berjalan kendati sedang menerapkan PPKM Darurat hingga Level</t>
  </si>
  <si>
    <t>@PutriTu91877444 Ketemuan deh nanti kalo PPKM sudah longgar 👍</t>
  </si>
  <si>
    <t>Ketemuan deh nanti kalo PPKM sudah longgar</t>
  </si>
  <si>
    <t>@sadturnusxx Lagian kalo aku nikah skrng ga bisa undang kamu, kan ppkm wkwkwkwkkw</t>
  </si>
  <si>
    <t>Lagian kalo aku nikah skrng ga bisa undang kamu, kan ppkm wkwkwkwkkw</t>
  </si>
  <si>
    <t>@iraaade21 Setau aku masih kemarin, tp gatau kalo ppkm skrng. Coba aja kesana</t>
  </si>
  <si>
    <t>Setau aku masih kemarin, tp gatau kalo ppkm skrng. Coba aja kesana</t>
  </si>
  <si>
    <t>@afrkml Saya swab antigen ada 10 kali, psbb mostly ke jkt. Ppkm aja betahan wfh, vaksin full done. Pernah 1 hari menggigil luar biasa di hajar habbtussauda+madu+kelor. Besok enggak lagi. Itu sih 1 hari itu aja yg sangat keingat bgt. Istri anak udh c19, saya jd anak kosan deh</t>
  </si>
  <si>
    <t>Saya swab antigen ada kali, psbb mostly ke jkt. Ppkm aja betahan wfh, vaksin full done. Pernah hari menggigil luar biasa di hajar habbtussauda+madu+kelor. Besok enggak lagi. Itu sih hari itu aja yg sangat keingat bgt. Istri anak udh c19, saya jd anak kosan deh</t>
  </si>
  <si>
    <t>Morning vibes korban ppkm</t>
  </si>
  <si>
    <t>@schfess aku ada nder tapi emang belom minjem gara gara masih ppkm gak boleh ke sekolah</t>
  </si>
  <si>
    <t>aku ada nder tapi emang belom minjem gara gara masih ppkm gak boleh ke sekolah</t>
  </si>
  <si>
    <t>kalo udah d vaksin kan enak udh punya suratnya juga kmn2 sans klo udah longgar tu ppkm</t>
  </si>
  <si>
    <t>Masa ppkm</t>
  </si>
  <si>
    <t>@schfess aku jg gadapet2 kok, tp lg nunggu ppkm selesai</t>
  </si>
  <si>
    <t>aku jg gadapet2 kok, tp lg nunggu ppkm selesai</t>
  </si>
  <si>
    <t>Yaampun MAUUU MOZARU ZENBUUUUUU😩 cepetan ppkm kelar plisss</t>
  </si>
  <si>
    <t>Yaampun MAUUU MOZARU ZENBUUUUUU cepetan ppkm kelar plisss</t>
  </si>
  <si>
    <t>@rorapuuu @soospicius kayaknya masalah yg dia kena denda gara2 ngadain party pdhal lagi ppkm</t>
  </si>
  <si>
    <t>kayaknya masalah yg dia kena denda gara2 ngadain party pdhal lagi ppkm</t>
  </si>
  <si>
    <t>trus nanti ada ppkm lv 10+++++ https://t.co/NEkna39hzd</t>
  </si>
  <si>
    <t>trus nanti ada ppkm lv +++++</t>
  </si>
  <si>
    <t>Reply annya bikin imun naik di masa ppkm berlevel 
 Temans ,,kamu emang pada koplak 😂😂 https://t.co/6FnEKJL5Qy</t>
  </si>
  <si>
    <t>Reply annya bikin imun naik di masa ppkm berlevel Temans ,,kamu emang pada koplak</t>
  </si>
  <si>
    <t>@somidoumwa Kalo outdoor party nanti dresscode nya pake plastik tapi soalnya masih PPKM.</t>
  </si>
  <si>
    <t>Kalo outdoor party nanti dresscode nya pake plastik tapi soalnya masih PPKM.</t>
  </si>
  <si>
    <t>oalaaa PPKM jancuk https://t.co/ArfpdhZcdG</t>
  </si>
  <si>
    <t>oalaaa PPKM jancuk</t>
  </si>
  <si>
    <t>@rattatouuii @woypio @tubirfess Ya terus? Jadi kalo ada artis keluar kota buat nyamperin haters disaat ppkm begini gak apa apa? Terus buat apa ada ppkm anjeeeeng. Gila gila, itu korban meninggal cuma jd statistik buat lu pada? Gak ada otak.</t>
  </si>
  <si>
    <t>Ya terus? Jadi kalo ada artis keluar kota buat nyamperin haters disaat ppkm begini gak apa apa? Terus buat apa ada ppkm anjeeeeng. Gila gila, itu korban meninggal cuma jd statistik buat lu pada? Gak ada otak.</t>
  </si>
  <si>
    <t>@kampret_botak Kelar ppkm cus aku bayarin</t>
  </si>
  <si>
    <t>Kelar ppkm cus aku bayarin</t>
  </si>
  <si>
    <t>perihal prokes dan ppkm, sering ada celetukan2 judgemental kepada individu/kelas ekonomi bawah. lucunya lagi, celetukan itu lahir dari kalangan atas yang tidak paham kondisi mereka. https://t.co/SfXLma4tPO</t>
  </si>
  <si>
    <t>perihal prokes dan ppkm, sering ada celetukan2 judgemental kepada individu/kelas ekonomi bawah. lucunya lagi, celetukan itu lahir dari kalangan atas yang tidak paham kondisi mereka.</t>
  </si>
  <si>
    <t>Ya Allah, goldar aku A+, orang bandung, tapi dom bekasi. Ada rencana mau kesana tapi masih ppkm😭 https://t.co/vwGUT1UaYl</t>
  </si>
  <si>
    <t>Ya Allah, goldar aku A+, orang bandung, tapi dom bekasi. Ada rencana mau kesana tapi masih ppkm</t>
  </si>
  <si>
    <t>@faya_rkive Aaaa makasi, fay. Padahal walaupun sekedar temen onlen tuh mood kita bisa dibikin naik karna yaaa ada yang efrekuensi, ada yang paham isi pikiran kita.
 Bayangin aja bikin konten hvmv trus sharing ke keluarga (karna ppkm gaboleh ktemu temen), kan yauda dicoret di KK, wkwkwk</t>
  </si>
  <si>
    <t>Aaaa makasi, fay. Padahal walaupun sekedar temen onlen tuh mood kita bisa dibikin naik karna yaaa ada yang efrekuensi, ada yang paham isi pikiran kita.Bayangin aja bikin konten hvmv trus sharing ke keluarga (karna ppkm gaboleh ktemu temen), kan yauda dicoret di KK, wkwkwk</t>
  </si>
  <si>
    <t>@AfifFeisal Capek ppkm muluuuu sikampret</t>
  </si>
  <si>
    <t>Capek ppkm muluuuu sikampret</t>
  </si>
  <si>
    <t>Sudah dipastikan ppkm terus</t>
  </si>
  <si>
    <t>@ganjarpranowo Tolong pak, di kabupaten Tegal seluruh Camat malah berkaraoke berkumpul dan berfoto ria tanpa menggunakan prokes disaat PPKM DARURAT diberlakukan, harus di berikan sanksi tegas https://t.co/8oip1wkpLt</t>
  </si>
  <si>
    <t>Tolong pak, di kabupaten Tegal seluruh Camat malah berkaraoke berkumpul dan berfoto ria tanpa menggunakan prokes disaat PPKM DARURAT diberlakukan, harus di berikan sanksi tegas</t>
  </si>
  <si>
    <t>kangen banget gabisa ketemu gara" ppkm</t>
  </si>
  <si>
    <t>@HelperMannnnn lupa kalo ppkm</t>
  </si>
  <si>
    <t>lupa kalo ppkm</t>
  </si>
  <si>
    <t>Amazing masseges..
 PPKM
 Pengen Poligami Kurang Mengilmui...
 QS At-Tahrim 4-6👂👀 https://t.co/jb3VczfCvL</t>
  </si>
  <si>
    <t>Amazing masseges..PPKMPengen Poligami Kurang Mengilmui...QS At-Tahrim $NUMBER$</t>
  </si>
  <si>
    <t>Seperti aturan lockdown, psbb, ppkm, dsb.
 Menurut pov gw juga,
 Se-rame dan se-menakutkannya covid kalo mereka gak disenggol masalah dapur mungkin mereka juga bakal cuek aja. "Bodo amat lah mau ada virus apa nggak yang penting gw tetep bisa kerja."</t>
  </si>
  <si>
    <t>Seperti aturan lockdown, psbb, ppkm, dsb.Menurut pov gw juga,Se-rame dan se-menakutkannya covid kalo mereka gak disenggol masalah dapur mungkin mereka juga bakal cuek aja. "Bodo amat lah mau ada virus apa nggak yang penting gw tetep bisa kerja."</t>
  </si>
  <si>
    <t>@detikcom Tahun segitu Indonesia masih PPKM kayaknya...</t>
  </si>
  <si>
    <t>Tahun segitu Indonesia masih PPKM kayaknya...</t>
  </si>
  <si>
    <t>@detikcom Tanda tanda ppkm di perpanjang tapi ngeles ada kelongggaran, lagu lama kaset kusut</t>
  </si>
  <si>
    <t>Tanda tanda ppkm di perpanjang tapi ngeles ada kelongggaran, lagu lama kaset kusut</t>
  </si>
  <si>
    <t>@gusnia_gilang @kamachillz Disuruh puterbalik kirain ada ppkm ternyata dia sama yang lain :v. Bang punten ya</t>
  </si>
  <si>
    <t>Disuruh puterbalik kirain ada ppkm ternyata dia sama yang lain :v. Bang punten ya</t>
  </si>
  <si>
    <t>@niji3011 @HendroSunar @bahrimuhammad Jujur kalo aku disamperin takutnya penipuan..
 Eh kalo PPKM masih banyak penipuan kek gini gak sih?</t>
  </si>
  <si>
    <t>Jujur kalo aku disamperin takutnya penipuan..Eh kalo PPKM masih banyak penipuan kek gini gak sih?</t>
  </si>
  <si>
    <t>@jusjussie219 Wkwkwk konteksnya becanda mreka tuh tp yaa gabisa semuanya dibecandain, kan? Pfft. Makasi banyak, Jussie, lagi ppkm gini aku yg demen healing dengan jalan2 dapet kebahagiaan darimana lagi selain dumay, hhhh :')</t>
  </si>
  <si>
    <t>Wkwkwk konteksnya becanda mreka tuh tp yaa gabisa semuanya dibecandain, kan? Pfft. Makasi banyak, Jussie, lagi ppkm gini aku yg demen healing dengan jalan2 dapet kebahagiaan darimana lagi selain dumay, hhhh :')</t>
  </si>
  <si>
    <t>Bapak @jokowi ini PPKM level berapa ya
 Lokasi masih di Jabodetabek lho https://t.co/C08hzpszLX</t>
  </si>
  <si>
    <t>Bapak ini PPKM level berapa yaLokasi masih di Jabodetabek lho</t>
  </si>
  <si>
    <t>@republikaonline PPKM... Peraturan Pemerintah Korbankan Masyarakat</t>
  </si>
  <si>
    <t>PPKM... Peraturan Pemerintah Korbankan Masyarakat</t>
  </si>
  <si>
    <t>Me-merdekakan diri dari irasionalitas PPKM Jawa-Bali.</t>
  </si>
  <si>
    <t>Akuuuu! Karena emang juarang polll bisa diitung jari kalo keluar. Pernah travelling sih (bkn pas lockdown/ppkm) jd ya pasti disuruh antigen dulu, tp karna taat prokes Alhamdulillah ga kenapa2 dan semoga ga akan kena! https://t.co/VL6uIywKJ6</t>
  </si>
  <si>
    <t>Akuuuu! Karena emang juarang polll bisa diitung jari kalo keluar. Pernah travelling sih (bkn pas lockdown/ppkm) jd ya pasti disuruh antigen dulu, tp karna taat prokes Alhamdulillah ga kenapa2 dan semoga ga akan kena!</t>
  </si>
  <si>
    <t>Jaman PPKM ngentotnya dibatasin 20 menit ga?</t>
  </si>
  <si>
    <t>Jaman PPKM ngentotnya dibatasin menit ga?</t>
  </si>
  <si>
    <t>@alisyarief @Fahrihamzah Kapan ppkm dihapus, mau jalan" kepedesaan</t>
  </si>
  <si>
    <t>Kapan ppkm dihapus, mau jalan" kepedesaan</t>
  </si>
  <si>
    <t>@overearcting Emak gue gamau kenalan, katanya ppkm.</t>
  </si>
  <si>
    <t>Emak gue gamau kenalan, katanya ppkm.</t>
  </si>
  <si>
    <t>@Cindysa47160006 Harus semngt terus ya smpe ppkm yg masih samar bakalan d lanjutin lgi klo udh tgl 2</t>
  </si>
  <si>
    <t>Harus semngt terus ya smpe ppkm yg masih samar bakalan d lanjutin lgi klo udh tgl</t>
  </si>
  <si>
    <t>@firayunitaa @dinadimu @rizkidwika Si haters gatau rupanya kalau sekarang ppkm? Di sempet2in juga nge hate orang, kek udah paling bener aja</t>
  </si>
  <si>
    <t>Si haters gatau rupanya kalau sekarang ppkm? Di sempet2in juga nge hate orang, kek udah paling bener aja</t>
  </si>
  <si>
    <t>@seorangmocil @PetaniGadungan Buat dinner. Karena sekarang lg PPKM. Jd masak sendiri. 😭</t>
  </si>
  <si>
    <t>Buat dinner. Karena sekarang lg PPKM. Jd masak sendiri.</t>
  </si>
  <si>
    <t>@vivide_ @hrdbacot Hoo kirain dah gabisa ngotel ppkm gini</t>
  </si>
  <si>
    <t>Hoo kirain dah gabisa ngotel ppkm gini</t>
  </si>
  <si>
    <t>Demi keselamatan rakyat indonesia, mari dukung keputusan Presiden Joko Widodo terkait perpanjangan PPKM sampai 2 Agustus 2021.Kami Bersama Jokowi https://t.co/3r22aiI7Aq</t>
  </si>
  <si>
    <t>Demi keselamatan rakyat indonesia, mari dukung keputusan Presiden Joko Widodo terkait perpanjangan PPKM sampai Agustus .Kami Bersama Jokowi</t>
  </si>
  <si>
    <t>Tiap 2 minggu antigen di kantor sebelum PPKM, orang2 terdekat pernah positif semua
 Keluarga serumah beberapa positif
 Kolega2 yang duduk sebelahan di kantor pernah pada positif
 Temen nongkrong juga ada banyak yang positif
 Tp so gw ga pernah kena, thankfully
 AstraZeneca 1 https://t.co/8mwnyAJjn8</t>
  </si>
  <si>
    <t>Tiap minggu antigen di kantor sebelum PPKM, orang2 terdekat pernah positif semuaKeluarga serumah beberapa positifKolega2 yang duduk sebelahan di kantor pernah pada positifTemen nongkrong juga ada banyak yang positifTp so gw ga pernah kena, thankfullyAstraZeneca</t>
  </si>
  <si>
    <t>@gabbydianvita AYO MAIN BAREEENG KALO UDAH GA PPKM! gue sampe skg kalo jalan selalu dari jongkok dulu trs gue ayun pake tangan, abis itu baru berdiri 😂</t>
  </si>
  <si>
    <t>AYO MAIN BAREEENG KALO UDAH GA PPKM! gue sampe skg kalo jalan selalu dari jongkok dulu trs gue ayun pake tangan, abis itu baru berdiri</t>
  </si>
  <si>
    <t>@bertanyarl Tapi gw tetep ngerjain dengan sangat bersemangat. Cuma keselnya gw tuh kaga ada materinya itu loh. Mana kan sekarang ppkm jadi buku dari sekolah juga kaga ada dibagi sekarang</t>
  </si>
  <si>
    <t>Tapi gw tetep ngerjain dengan sangat bersemangat. Cuma keselnya gw tuh kaga ada materinya itu loh. Mana kan sekarang ppkm jadi buku dari sekolah juga kaga ada dibagi sekarang</t>
  </si>
  <si>
    <t>pgn karoke tapi masih ppkm kan bangszzzzzzzaat</t>
  </si>
  <si>
    <t>Gw prediksi nanti pas ngumpul di padang mahsyar orang indonesia gaada. Masih kejebak ppkm. https://t.co/nMNf8lGRll</t>
  </si>
  <si>
    <t>Gw prediksi nanti pas ngumpul di padang mahsyar orang indonesia gaada. Masih kejebak ppkm.</t>
  </si>
  <si>
    <t>@LindaRusdiana tutup semua ndah sampe dipagerin, buka lg awal agustus kelar ppkm ☹️</t>
  </si>
  <si>
    <t>tutup semua ndah sampe dipagerin, buka lg awal agustus kelar ppkm</t>
  </si>
  <si>
    <t>@afrkml Masalah sekarang semenjak PPKM 5 Juli kemarin gada pemasukan uang sdh tipis karena jalan ditutup orang takut keluar gada yg sewa jasa saya dan sekarang diserang oleh penyakit pada umumnya yaitu kangker (kantong kering)</t>
  </si>
  <si>
    <t>Masalah sekarang semenjak PPKM Juli kemarin gada pemasukan uang sdh tipis karena jalan ditutup orang takut keluar gada yg sewa jasa saya dan sekarang diserang oleh penyakit pada umumnya yaitu kangker (kantong kering)</t>
  </si>
  <si>
    <t>gua bingung deh. kampus gua urgensinya apa pengen ngelaksanain kkn turlap gitu. ppkm belum selese. angka kematian kopit masih tinggi dengan klaster varian yg baru.</t>
  </si>
  <si>
    <t>emang Tuhan tuh suka bercanda dah sama gua.. tiap gua mau keluar nih dri rumah, kyk yg udh fix bgt dan udh rapih lah rencana tuh.. eh tbtb PPKM kaga kelar-kelar anjrit😭 gajadi lah pindah.. yaAllah mengcapek sama drama kehidupan inii😭😭</t>
  </si>
  <si>
    <t>emang Tuhan tuh suka bercanda dah sama gua.. tiap gua mau keluar nih dri rumah, kyk yg udh fix bgt dan udh rapih lah rencana tuh.. eh tbtb PPKM kaga kelar-kelar anjrit gajadi lah pindah.. yaAllah mengcapek sama drama kehidupan inii</t>
  </si>
  <si>
    <t>Baju PPKM (2) https://t.co/pv1MeMtQlt</t>
  </si>
  <si>
    <t>Baju PPKM (2)</t>
  </si>
  <si>
    <t>ini masuk itungan persekusi ga sih?
 *beneran nanya
 mana hatersnya ga ada di tempat, tapi malah 'intimidasi' keluarga haters
 bisa dilaporin balik ga si sama hatersnya?
 mana katanya ppkm diperketat,tapi masi lolos2 aja perjalanan antar provinsi
 bisa gitu yah kalo okb
 luar biasa https://t.co/chRqFT7Z6C</t>
  </si>
  <si>
    <t>ini masuk itungan persekusi ga sih?*beneran nanyamana hatersnya ga ada di tempat, tapi malah 'intimidasi' keluarga hatersbisa dilaporin balik ga si sama hatersnya?mana katanya ppkm diperketat,tapi masi lolos2 aja perjalanan antar provinsibisa gitu yah kalo okbluar biasa</t>
  </si>
  <si>
    <t>Fenomena disaat PPKM level 4 https://t.co/LOdl0ILQbF</t>
  </si>
  <si>
    <t>Fenomena disaat PPKM level</t>
  </si>
  <si>
    <t>Tiba2 pengen berenang. Tapi public pool keknya ga ada yg buka selama ppkm 🙃</t>
  </si>
  <si>
    <t>Tiba2 pengen berenang. Tapi public pool keknya ga ada yg buka selama ppkm</t>
  </si>
  <si>
    <t>Akhmad PPKM https://t.co/H1SxwSM6bM</t>
  </si>
  <si>
    <t>Akhmad PPKM</t>
  </si>
  <si>
    <t>@sastkln sama kayak PPKM</t>
  </si>
  <si>
    <t>sama kayak PPKM</t>
  </si>
  <si>
    <t>@iradwiar_ PPKM emang ada yo seng nyediani tempat hnya beberapa menit untuk bersantai ? bukane selama ppkm hnya melayani delivery &amp;amp; kursine di tiadakan ... 🤔</t>
  </si>
  <si>
    <t>PPKM emang ada yo seng nyediani tempat hnya beberapa menit untuk bersantai ? bukane selama ppkm hnya melayani delivery &amp;amp; kursine di tiadakan ...</t>
  </si>
  <si>
    <t>@bitiesfess ppkm itu ra makanya hacep di kamar bukan di pub wkwk</t>
  </si>
  <si>
    <t>ppkm itu ra makanya hacep di kamar bukan di pub wkwk</t>
  </si>
  <si>
    <t>Setuju setuju aja sih ya daripada covid naik seenggak nya ppkm bisa ringanin keadaan https://t.co/l8oCjgverT</t>
  </si>
  <si>
    <t>Setuju setuju aja sih ya daripada covid naik seenggak nya ppkm bisa ringanin keadaan</t>
  </si>
  <si>
    <t>4. Silahkan PPKM mau level 024 juga gpp,
 Yg penting rakyat butuh makan,
 Butuh kecukupan,
 Harus bisa menuhin kebutuhan semua rakyat,
 Terutama rakyat bawah yg susah
 Jika tak mampu memenuhi kebutuhan rakyat, sebaiknya
 #2021MakzulkanPresiden
 #2021MakzulkanPresiden</t>
  </si>
  <si>
    <t>. Silahkan PPKM mau level juga gpp,Yg penting rakyat butuh makan,Butuh kecukupan,Harus bisa menuhin kebutuhan semua rakyat,Terutama rakyat bawah yg susahJika tak mampu memenuhi kebutuhan rakyat, sebaiknya</t>
  </si>
  <si>
    <t>Dikasih libur 3 hari, malah bingung mau ngapain, olahraga diluar lagi ga seru, soalnya masih ppkm</t>
  </si>
  <si>
    <t>Dikasih libur hari, malah bingung mau ngapain, olahraga diluar lagi ga seru, soalnya masih ppkm</t>
  </si>
  <si>
    <t>Psbb sama ppkm bedanya, psbb orang masih punya duit buat jajan, ppkm kayanya pd bokek deh</t>
  </si>
  <si>
    <t>@KentArockerss PPKM itu Pelan Pelan Kian Melarat</t>
  </si>
  <si>
    <t>PPKM itu Pelan Pelan Kian Melarat</t>
  </si>
  <si>
    <t>Apa kabar ya selebgram yang mengadakan ultah di masa PPKM ya? Berapa juta dia kena denda ya? Masa' rakyat kecil bayar, dia tidak?</t>
  </si>
  <si>
    <t>tolong deh ppkm ini ga perlu diperpanjang lg. aku jadi susah kalo pengen benerin laptopnya adik ke mall yg punya service laptop. normalnya langsung aja kesana &amp;amp; cari toko yg pas. gara2 ppkm ga bisa benerin laptopnya adik sampai sekarang 😩</t>
  </si>
  <si>
    <t>tolong deh ppkm ini ga perlu diperpanjang lg. aku jadi susah kalo pengen benerin laptopnya adik ke mall yg punya service laptop. normalnya langsung aja kesana &amp;amp; cari toko yg pas. gara2 ppkm ga bisa benerin laptopnya adik sampai sekarang</t>
  </si>
  <si>
    <t>Dari probolinggo skrg di jaktim gaesss.. paketnya dari jakbar tujuan bandung, tapi ke probolinggo dulu skrg ke jaktim. Kalah gw dari si paket, gw diem2 dirumah bae dia malah jalan2 ppkm gini https://t.co/hd4HkHaRmC</t>
  </si>
  <si>
    <t>Dari probolinggo skrg di jaktim gaesss.. paketnya dari jakbar tujuan bandung, tapi ke probolinggo dulu skrg ke jaktim. Kalah gw dari si paket, gw diem2 dirumah bae dia malah jalan2 ppkm gini</t>
  </si>
  <si>
    <t>@subschfess Kirain sekul gw doang pada ngajak ngumpul" padahal baru kls 10 woi, belum kenal siapa" udah pada ngajak ngumpul kan aneh btw ak dom jkt jadi masih ppkm gaboleh</t>
  </si>
  <si>
    <t>Kirain sekul gw doang pada ngajak ngumpul" padahal baru kls woi, belum kenal siapa" udah pada ngajak ngumpul kan aneh btw ak dom jkt jadi masih ppkm gaboleh</t>
  </si>
  <si>
    <t>@Irfan_Nrdsyh1 libur gegara ppkm</t>
  </si>
  <si>
    <t>libur gegara ppkm</t>
  </si>
  <si>
    <t>@bts_bighit Udahlah nangis di pojokan gue, kagk punya paspor, mau bikin, harus nunggu 2 Minggu, mana lagi ppkm:')</t>
  </si>
  <si>
    <t>Udahlah nangis di pojokan gue, kagk punya paspor, mau bikin, harus nunggu Minggu, mana lagi ppkm:')</t>
  </si>
  <si>
    <t>@detikcom Kondisi ppkm masi sempet sempet nya ya keluar kota.. apakah virus ini tunduk kepada mereka yang berUang....</t>
  </si>
  <si>
    <t>Kondisi ppkm masi sempet sempet nya ya keluar kota.. apakah virus ini tunduk kepada mereka yang berUang....</t>
  </si>
  <si>
    <t>PPKM kapan berhenti P Jok ....kok nyambung terus ....</t>
  </si>
  <si>
    <t>@armyfess_ Ppkm nder awas kena razia</t>
  </si>
  <si>
    <t>Ppkm nder awas kena razia</t>
  </si>
  <si>
    <t>@soonchaengie gara - gara PPKM atau karena sibuk drey?</t>
  </si>
  <si>
    <t>gara - gara PPKM atau karena sibuk drey?</t>
  </si>
  <si>
    <t>@bertanyarl kasihan hotel nya udah terdampak ppkm, masih kena denda gara gara ginian</t>
  </si>
  <si>
    <t>kasihan hotel nya udah terdampak ppkm, masih kena denda gara gara ginian</t>
  </si>
  <si>
    <t>@subschfess klo kumpul2 walaupun taat prokes trs ketauan org banyak pas ppkm gini malu bgt anjir, gaenak sm yg kerja dibatesin.</t>
  </si>
  <si>
    <t>klo kumpul2 walaupun taat prokes trs ketauan org banyak pas ppkm gini malu bgt anjir, gaenak sm yg kerja dibatesin.</t>
  </si>
  <si>
    <t>pokonya musti KEEP dulu jangan macem2 di masa ppkm ini 😞</t>
  </si>
  <si>
    <t>pokonya musti KEEP dulu jangan macem2 di masa ppkm ini</t>
  </si>
  <si>
    <t>@Yolandarizka8 @txtdarisisange Ga boleh lama2, kan lagi ppkm</t>
  </si>
  <si>
    <t>Ga boleh lama2, kan lagi ppkm</t>
  </si>
  <si>
    <t>sekarang w bingung gmn bisa ke kantor lg ppkm gini🥲</t>
  </si>
  <si>
    <t>sekarang w bingung gmn bisa ke kantor lg ppkm gini</t>
  </si>
  <si>
    <t>@jntexpressid ini CS nya lagi pada kemana sih??😂😂
 Efek PPKM yah min?? https://t.co/FCMQW9wKUE</t>
  </si>
  <si>
    <t>ini CS nya lagi pada kemana sih??Efek PPKM yah min??</t>
  </si>
  <si>
    <t>Padahal beberapa hari lagi ppkm nya kelar, bakal masuk kerja lagi, tapi badan malah jdi drop gini 🥴</t>
  </si>
  <si>
    <t>Padahal beberapa hari lagi ppkm nya kelar, bakal masuk kerja lagi, tapi badan malah jdi drop gini</t>
  </si>
  <si>
    <t>@detikcom Laporkan, cukup... Nggak usah lebay pake didatengin ke rumahnya, minta tolong KBRi segala... PPKM woooy... 😠😡🤬</t>
  </si>
  <si>
    <t>Laporkan, cukup... Nggak usah lebay pake didatengin ke rumahnya, minta tolong KBRi segala... PPKM woooy...</t>
  </si>
  <si>
    <t>@iyusiyusi @ErlinDwifra Kehabisan kaos mungkin, masih di laundry. Pas mau diambil laundry nya malah kena PPKM~</t>
  </si>
  <si>
    <t>Kehabisan kaos mungkin, masih di laundry. Pas mau diambil laundry nya malah kena PPKM~</t>
  </si>
  <si>
    <t>Duh gara2 PPKM ga ada stok foto 😌😌😌 https://t.co/w0Vqm53POX</t>
  </si>
  <si>
    <t>Duh gara2 PPKM ga ada stok foto</t>
  </si>
  <si>
    <t>ya kalo mau lockdown mah lockdown aj, ga usah ppkm lv 4 lah, psbb lah, biar ga ad kewajiban membantu warga? diluar sana warga g masalah dilockdown karena ad bantuan harian / mingguan? di Indonesia? kalian disuruh mati ga nyari duit dan kalian bakal cmn sekedar angka kalo positif</t>
  </si>
  <si>
    <t>ya kalo mau lockdown mah lockdown aj, ga usah ppkm lv lah, psbb lah, biar ga ad kewajiban membantu warga? diluar sana warga g masalah dilockdown karena ad bantuan harian / mingguan? di Indonesia? kalian disuruh mati ga nyari duit dan kalian bakal cmn sekedar angka kalo positif</t>
  </si>
  <si>
    <t>Ngedrakor everyday sampe ppkm level 4 ,5,6 dst bubar 🙈🙈🙈</t>
  </si>
  <si>
    <t>Ngedrakor everyday sampe ppkm level ,5,6 dst bubar</t>
  </si>
  <si>
    <t>@Lieesachie @ALLunatic__ Siappp.. tp katanya lg ppkm cc nya 😁</t>
  </si>
  <si>
    <t>Siappp.. tp katanya lg ppkm cc nya</t>
  </si>
  <si>
    <t>@RachlanNashidik Silahkan lockdown seluruh kantor Demokrat kl benar serius soal manfaat lockdown, kl berhasil di Demokrat, bisa dipertimbangkan ppkm level 1.😌</t>
  </si>
  <si>
    <t>Silahkan lockdown seluruh kantor Demokrat kl benar serius soal manfaat lockdown, kl berhasil di Demokrat, bisa dipertimbangkan ppkm level .</t>
  </si>
  <si>
    <t>Bagaimana mau melakukan tracing secara masif, jika lab kita terbatas hanya ada di beberapa kota? Puskesmas kdg baru dapat hasilnya beberapa hari kemudian bisa sampai 3-5 hari.PPKM mikro efektif jika tracing dpt dilakukan dg masif. Jika test PCR gratis &amp;amp; Lab tersedia di wil tsb.</t>
  </si>
  <si>
    <t>Bagaimana mau melakukan tracing secara masif, jika lab kita terbatas hanya ada di beberapa kota? Puskesmas kdg baru dapat hasilnya beberapa hari kemudian bisa sampai $NUMBER$ hari.PPKM mikro efektif jika tracing dpt dilakukan dg masif. Jika test PCR gratis &amp;amp; Lab tersedia di wil tsb.</t>
  </si>
  <si>
    <t>Ppkm gak buyar" hancok</t>
  </si>
  <si>
    <t>Soal PPKM Darurat yang Semi Lockdown, Jokowi: Itu Saja Masyarakat Menjerit – 
 Gimana ngg menjerit, dagang ngg boleh, mereka juga punya perut
 Emang Bapak tdk tau keadaan Rakyat yg sebenarnya???
 #PakdeKibarkanBenderaPutih
 #PakdeKibarkanBenderaPutih
  https://t.co/4JVpAoNOS0</t>
  </si>
  <si>
    <t>Soal PPKM Darurat yang Semi Lockdown, Jokowi: Itu Saja Masyarakat Menjerit Gimana ngg menjerit, dagang ngg boleh, mereka juga punya perutEmang Bapak tdk tau keadaan Rakyat yg sebenarnya???</t>
  </si>
  <si>
    <t>Doa saya sore (pagi WIB) ini adalah semoga request laporan PPKM dari daerah McD Dago dikabulkan oleh Aa' @solali375</t>
  </si>
  <si>
    <t>Doa saya sore (pagi WIB) ini adalah semoga request laporan PPKM dari daerah McD Dago dikabulkan oleh Aa'</t>
  </si>
  <si>
    <t>@abhiramahtamah @muridmanajemen_ Nais, urang juga biasanya di setiabudhi bhi, bisi mau ikut, cuma lagi ppkm juga jadi belum mulai</t>
  </si>
  <si>
    <t>Nais, urang juga biasanya di setiabudhi bhi, bisi mau ikut, cuma lagi ppkm juga jadi belum mulai</t>
  </si>
  <si>
    <t>@NengBila7 Ga mau lagi PPKM</t>
  </si>
  <si>
    <t>Ga mau lagi PPKM</t>
  </si>
  <si>
    <t>Selamat pagi ! libur PPKM Level 4 dirumah apa masih beraktifitas keluar teman teman ? 
 #PakdeKibarkanBenderaPutih
 #PakdeKibarkanBenderaPutih
 Nikmati dulu secangkir Kopi plus Cemilan https://t.co/BvTNdups8Q</t>
  </si>
  <si>
    <t>Selamat pagi ! libur PPKM Level dirumah apa masih beraktifitas keluar teman teman ? dulu secangkir Kopi plus Cemilan</t>
  </si>
  <si>
    <t>@BagjaPisaan emang di negeri awan ppkm jg</t>
  </si>
  <si>
    <t>emang di negeri awan ppkm jg</t>
  </si>
  <si>
    <t>@Telkomsel Aplikasinya ikut PPKM euyyyyy.... Mau beli kuota g bisa.... Ambyarrrrrr
 Ambyar.... 
 Katanya mau kerja sama sama Elin Musk https://t.co/ZRshco5G9X</t>
  </si>
  <si>
    <t>Aplikasinya ikut PPKM euyyyyy.... Mau beli kuota g bisa.... AmbyarrrrrrAmbyar.... Katanya mau kerja sama sama Elin Musk</t>
  </si>
  <si>
    <t>@CNNIndonesia Trus ngapain psbb, ppkm berjilid2 sampai rakyat miskin, coba 11rb T ada, pasti rakyat lebih fresh</t>
  </si>
  <si>
    <t>Trus ngapain psbb, ppkm berjilid2 sampai rakyat miskin, coba rb T ada, pasti rakyat lebih fresh</t>
  </si>
  <si>
    <t>@ganjarpranowo Jadi kangen pulang kampung semoga aja cepet berlalu ppkm biar bisa nengok mbah di kampung</t>
  </si>
  <si>
    <t>Jadi kangen pulang kampung semoga aja cepet berlalu ppkm biar bisa nengok mbah di kampung</t>
  </si>
  <si>
    <t>Lagi tren ramai2 pasang bendera putih untuk menandakan menyerah pada kondisi.
 Kalau saya lebih khawatir bila PPKM ditiadakan dan kondisi dibebaskan begitu saja seperti kondisi normal akan bermunculan lebih banyak BENDERA KUNING. https://t.co/wu9UowKT8e</t>
  </si>
  <si>
    <t>Lagi tren ramai2 pasang bendera putih untuk menandakan menyerah pada kondisi.Kalau saya lebih khawatir bila PPKM ditiadakan dan kondisi dibebaskan begitu saja seperti kondisi normal akan bermunculan lebih banyak BENDERA KUNING.</t>
  </si>
  <si>
    <t>mau kemana, kan lgi ppkm, diem diem aja ish di rumah</t>
  </si>
  <si>
    <t>PSBB,PPKM MENYIKSA RAKYAT
 Beberapa cara gonta ganti menangani covid19 tetap saja dinilai GAGAL.
 Ssungguhnya penangan ala PSBB/PPKM dan sebangsanya hanyalah cara REZIM betahan dr KERUNTUHAN DINI.
 Buktinya lonjakan KEMATIAN akibat COVID19 Rekor DUNIA.
 #JagaPDKawalDemokrasi 
 #AHY https://t.co/ty5oT2GglD</t>
  </si>
  <si>
    <t>PSBB,PPKM MENYIKSA RAKYATBeberapa cara gonta ganti menangani covid19 tetap saja dinilai GAGAL.Ssungguhnya penangan ala PSBB/PPKM dan sebangsanya hanyalah cara REZIM betahan dr KERUNTUHAN DINI.Buktinya lonjakan KEMATIAN akibat COVID19 Rekor DUNIA.</t>
  </si>
  <si>
    <t>Di Indo ppkm lebih dari sebulan ya belum aman juga 😄 hitungan darimana masker bisa menanggulangi ledakan kasus dalam 2 minggu. https://t.co/tAjSYrCBri</t>
  </si>
  <si>
    <t>Di Indo ppkm lebih dari sebulan ya belum aman juga hitungan darimana masker bisa menanggulangi ledakan kasus dalam minggu.</t>
  </si>
  <si>
    <t>@minaolx Oalahh wkwkwk lagi ppkm juga ya</t>
  </si>
  <si>
    <t>Oalahh wkwkwk lagi ppkm juga ya</t>
  </si>
  <si>
    <t>@Yusuf69911010 @imnagination @Fahri_Salam @irene_sukandar adanya ppkm aja udah komedi.</t>
  </si>
  <si>
    <t>adanya ppkm aja udah komedi.</t>
  </si>
  <si>
    <t>@anyelirkook ooh iyaa lagi ppkm</t>
  </si>
  <si>
    <t>ooh iyaa lagi ppkm</t>
  </si>
  <si>
    <t>@KompasTV Jane ki sek perlu di bantu adalah pengusahanya bukan penerima upahnya.. 
 Karena pengusahanya / wiraswastanya dalam situasi PPKM tetap harus memberi gaji sedangkan pelerjaan / target tidak bisa berjalan untuk menanggung ongkos produksi</t>
  </si>
  <si>
    <t>Jane ki sek perlu di bantu adalah pengusahanya bukan penerima upahnya.. Karena pengusahanya / wiraswastanya dalam situasi PPKM tetap harus memberi gaji sedangkan pelerjaan / target tidak bisa berjalan untuk menanggung ongkos produksi</t>
  </si>
  <si>
    <t>Jokowi Sebut Rakyat Menjerit Saat PPKM, Demokrat: Menjerit karena Lapar, Makanya Kasih Makan! https://t.co/2x2DlLnirZ</t>
  </si>
  <si>
    <t>Jokowi Sebut Rakyat Menjerit Saat PPKM, Demokrat: Menjerit karena Lapar, Makanya Kasih Makan!</t>
  </si>
  <si>
    <t>@Hnifah91 ppkm ga boleh ada konser pan</t>
  </si>
  <si>
    <t>ppkm ga boleh ada konser pan</t>
  </si>
  <si>
    <t>Jelang PPKM Level 4 Berakhir, Begini Kondisi Covid-19 di RI https://t.co/UsYEwYR8Q5</t>
  </si>
  <si>
    <t>Jelang PPKM Level Berakhir, Begini Kondisi Covid-19 di RI</t>
  </si>
  <si>
    <t>@OposisiCerdas Emang PPKM sukses gtu? No 1 lho kita skrg didunia</t>
  </si>
  <si>
    <t>Emang PPKM sukses gtu? No lho kita skrg didunia</t>
  </si>
  <si>
    <t>@bangZhack86 Di Sydney rakyat yang di kasih BST rp. 8juta/minggu saja masih menolak, di negeri walakanda Lockdown ganti istilah PSBB PPKM level2an biar Gratis, rakyat nolak ya wajar. Tapi kenyataanya rakyat walakanda cuma diam Nrimo.</t>
  </si>
  <si>
    <t>Di Sydney rakyat yang di kasih BST rp. juta/minggu saja masih menolak, di negeri walakanda Lockdown ganti istilah PSBB PPKM level2an biar Gratis, rakyat nolak ya wajar. Tapi kenyataanya rakyat walakanda cuma diam Nrimo.</t>
  </si>
  <si>
    <t>PPkM sudah masuk masa tenggang,</t>
  </si>
  <si>
    <t>@CallMyN36153111 @RachlanNashidik India lockdown 6 minggu, kasus turun drastiskan kemaren? Indonesia ppkm seabad gini-gini aja.</t>
  </si>
  <si>
    <t>India lockdown minggu, kasus turun drastiskan kemaren? Indonesia ppkm seabad gini-gini aja.</t>
  </si>
  <si>
    <t>@euforiasboi loh, bukannya udah ada ya?
 terhalang ppkm doang</t>
  </si>
  <si>
    <t>loh, bukannya udah ada ya?terhalang ppkm doang</t>
  </si>
  <si>
    <t>PPKM Level 4 Berlanjut, Menko Perekonomian: Pemerintah Siapkan Insentif Tambahan
 https://t.co/6x62NrQ3Y6
 Bersatu Tuntaskan Pandemi</t>
  </si>
  <si>
    <t>PPKM Level Berlanjut, Menko Perekonomian: Pemerintah Siapkan Insentif Tambahan Tuntaskan Pandemi</t>
  </si>
  <si>
    <t>Adek pengen liburan tapi masih ppkm gak sih</t>
  </si>
  <si>
    <t>BANSOS
 BANSOS itu harus ada di saat non PPKM.
 Dan ditambah pada saat PPKM.</t>
  </si>
  <si>
    <t>BANSOSBANSOS itu harus ada di saat non PPKM.Dan ditambah pada saat PPKM.</t>
  </si>
  <si>
    <t>@Urrangawak Dengan patuh prokes vaksinasi dan ppkm ini sangat efektif untuk pencegahan penyebaran covid ayo dukung kebijakan ini biar segera pulih #IndonesiaMelawanPandemi</t>
  </si>
  <si>
    <t>Dengan patuh prokes vaksinasi dan ppkm ini sangat efektif untuk pencegahan penyebaran covid ayo dukung kebijakan ini biar segera pulih</t>
  </si>
  <si>
    <t>Mendukung PPKM level 4 https://t.co/nI0bU32Ak1</t>
  </si>
  <si>
    <t>@airsagara Pernah cobain Mie Bandung 69 di depan Pasar Pathuk? Kalau ga PPKM jam segini udah buka.
 Oh ternyata tweet 7 jam lalu hahaha 😅</t>
  </si>
  <si>
    <t>Pernah cobain Mie Bandung di depan Pasar Pathuk? Kalau ga PPKM jam segini udah buka.Oh ternyata tweet jam lalu hahaha</t>
  </si>
  <si>
    <t>Hadeuh gw jadi gila ini. Bisa artikan gak sih ppkm dan lockdown. PPKM org di batasin gak boleh usaha kerja dirumah aja gak di jamin sama negara lockdown pun sama tapi di jamin oleh negara kebutuhannya. Ppkm cuma sebuah kias kluar dr kwjiban negara tuk menjamin rakyatnya https://t.co/KQ0ZalCnvc</t>
  </si>
  <si>
    <t>Hadeuh gw jadi gila ini. Bisa artikan gak sih ppkm dan lockdown. PPKM org di batasin gak boleh usaha kerja dirumah aja gak di jamin sama negara lockdown pun sama tapi di jamin oleh negara kebutuhannya. Ppkm cuma sebuah kias kluar dr kwjiban negara tuk menjamin rakyatnya</t>
  </si>
  <si>
    <t>PPKM.. Pagi-Pagi Keinget Ma….kan!! Yuk, sarapan. 😁😁</t>
  </si>
  <si>
    <t>PPKM.. Pagi-Pagi Keinget Ma.kan!! Yuk, sarapan.</t>
  </si>
  <si>
    <t>Mendukung PPKM level 4 https://t.co/iPN9gbcnM1</t>
  </si>
  <si>
    <t>Mendukung PPKM level 4 https://t.co/1J6doWKwdh</t>
  </si>
  <si>
    <t>Dandim Batang Serahkan Bantuan Warga Kurang Mampu Terdampak Massa PPKM https://t.co/BPEUbJiZDu</t>
  </si>
  <si>
    <t>Dandim Batang Serahkan Bantuan Warga Kurang Mampu Terdampak Massa PPKM</t>
  </si>
  <si>
    <t>Mendukung PPKM level 4 https://t.co/CQLtoMr4Zc</t>
  </si>
  <si>
    <t>@awaskucingku @undipmenfess Mjb, ppkm gini buka gak yah ka ?</t>
  </si>
  <si>
    <t>Mjb, ppkm gini buka gak yah ka ?</t>
  </si>
  <si>
    <t>PPKM membuat kita susah cari duit</t>
  </si>
  <si>
    <t>Mendukung PPKM level 4 https://t.co/IJ6veGEHIP</t>
  </si>
  <si>
    <t>Awalnya benci sama PPKM, tapi sekarang jadi suka PPKM (tanpa PP)🌝</t>
  </si>
  <si>
    <t>Awalnya benci sama PPKM, tapi sekarang jadi suka PPKM (tanpa PP)</t>
  </si>
  <si>
    <t>@detikcom Katanya datang sama petugas, kok mau dan gak ngelarang petugasnya, kan ppkm</t>
  </si>
  <si>
    <t>Katanya datang sama petugas, kok mau dan gak ngelarang petugasnya, kan ppkm</t>
  </si>
  <si>
    <t>@smallmelville @Umamsan3 @KompasTV Logika aneh. Lockdown gk setuju PPKM gk berhasil karena rakyat lapar, Trs mau nya gmn. Mungkin anda pny ide silahkan</t>
  </si>
  <si>
    <t>Logika aneh. Lockdown gk setuju PPKM gk berhasil karena rakyat lapar, Trs mau nya gmn. Mungkin anda pny ide silahkan</t>
  </si>
  <si>
    <t>Daripada PPKM mending LOCKDOWN !! LOCKDOWN jelas PPKM tidak jelas ??</t>
  </si>
  <si>
    <t>@kyootannies ppkm yu</t>
  </si>
  <si>
    <t>ppkm yu</t>
  </si>
  <si>
    <t>@TirtoID Apalagi cuma PPKM, pak</t>
  </si>
  <si>
    <t>Apalagi cuma PPKM, pak</t>
  </si>
  <si>
    <t>@iamurironman Ga lewat, ppkm soalny</t>
  </si>
  <si>
    <t>Ga lewat, ppkm soalny</t>
  </si>
  <si>
    <t>@fairuz_salwa Kena aturan PPKM level ayam geprek kli.</t>
  </si>
  <si>
    <t>Kena aturan PPKM level ayam geprek kli.</t>
  </si>
  <si>
    <t>Artinya PPKM Level 4 mungkin tdk diperpanjang dan kita bisa beraktivitas spt semula,,
 https://t.co/FVN8rVl12f</t>
  </si>
  <si>
    <t>Artinya PPKM Level mungkin tdk diperpanjang dan kita bisa beraktivitas spt semula,,</t>
  </si>
  <si>
    <t>@RachlanNashidik @LurahTanpoWargo Sepertinya lupa , krn penerapan PPKM level 4 pun dikatakan rakyat sdh menjerit, apalagi Lockdown.
 Dipahaminya gk ya, kewajiban negara thd rakyatnya?</t>
  </si>
  <si>
    <t>Sepertinya lupa , krn penerapan PPKM level pun dikatakan rakyat sdh menjerit, apalagi Lockdown.Dipahaminya gk ya, kewajiban negara thd rakyatnya?</t>
  </si>
  <si>
    <t>@sdenta Nyesel baru pcv pas anak umur setahun keatas. Mana lg ppkm begini, masih jarang vaksin drive thru disediain sama pihak rs, sekalinya ada tapi jauh🥲</t>
  </si>
  <si>
    <t>Nyesel baru pcv pas anak umur setahun keatas. Mana lg ppkm begini, masih jarang vaksin drive thru disediain sama pihak rs, sekalinya ada tapi jauh</t>
  </si>
  <si>
    <t>pdhl acara nya skrg tpi dr smlm berisik bgt smpe kedengeran dr rmh gue jedag jedug nya 😖malah lg ppkm gini anjir emg https://t.co/nTnquCD2PW</t>
  </si>
  <si>
    <t>pdhl acara nya skrg tpi dr smlm berisik bgt smpe kedengeran dr rmh gue jedag jedug nya malah lg ppkm gini anjir emg</t>
  </si>
  <si>
    <t>Kabar baik dengan diterapkannya PPKM oleh Presiden Jokowi. https://t.co/FlkxzR59CP</t>
  </si>
  <si>
    <t>Kabar baik dengan diterapkannya PPKM oleh Presiden Jokowi.</t>
  </si>
  <si>
    <t>Kang dagang gini modalin masker + edukasi pakai nya yang benar supaya bisa terus jualan kek. Jangan digalakin doang pas PPKM. Sehat2 ya Bapak. Duh ya Allah 😭💔. @DKIJakarta @aniesbaswedan @ArizaPatria or siapapun help https://t.co/15oNJD36iX</t>
  </si>
  <si>
    <t>Kang dagang gini modalin masker + edukasi pakai nya yang benar supaya bisa terus jualan kek. Jangan digalakin doang pas PPKM. Sehat2 ya Bapak. Duh ya Allah . or siapapun help</t>
  </si>
  <si>
    <t>@TirtoID Apalagi cuma PPKM pak</t>
  </si>
  <si>
    <t>Apalagi cuma PPKM pak</t>
  </si>
  <si>
    <t>Shift 3 terakhir, gara" adanya ppkm 🤗👭👭 https://t.co/INfbAVb8nL</t>
  </si>
  <si>
    <t>Shift terakhir, gara" adanya ppkm</t>
  </si>
  <si>
    <t>@GreatOfKratos @LOVE_AG4EVER @ridwankamil Selevel gubernur tidak bisa mencerna makna kebijakan "longgar PPKM" otakmu isinya apa kamil????</t>
  </si>
  <si>
    <t>Selevel gubernur tidak bisa mencerna makna kebijakan "longgar PPKM" otakmu isinya apa kamil????</t>
  </si>
  <si>
    <t>Walau PPKM, jangan lupa luangkan waktu berolahraga. 
 Lingkungan yang tertata, nyaman, dan asri mendukung kehidupan yang sehat. 
 #citralandtallasacity 
 #kaminyamandisini @ CitraLand Tallasa City https://t.co/SswPUn6vjU</t>
  </si>
  <si>
    <t>Walau PPKM, jangan lupa luangkan waktu berolahraga. Lingkungan yang tertata, nyaman, dan asri mendukung kehidupan yang sehat. CitraLand Tallasa City</t>
  </si>
  <si>
    <t>@MuhFadhliii Gapapa doi hiburan ppkm</t>
  </si>
  <si>
    <t>Gapapa doi hiburan ppkm</t>
  </si>
  <si>
    <t>@VIVAcoid Ppkm sama lockdown beda, lockdown yg menjerit pemerintah, ppkm yg menjerit rakyat, lockdown seluruh rakyat wajib dikasih makan negara, sedangkan ppkm rakyat dibiarkan cari makan sendiri tapi diskat/batasi</t>
  </si>
  <si>
    <t>Ppkm sama lockdown beda, lockdown yg menjerit pemerintah, ppkm yg menjerit rakyat, lockdown seluruh rakyat wajib dikasih makan negara, sedangkan ppkm rakyat dibiarkan cari makan sendiri tapi diskat/batasi</t>
  </si>
  <si>
    <t>Malu ga sih Pak @jokowi dulu kita pulangin WNI dari Wuhan. Sekarang kita yang jadi episentrum pandemi.
 Menurut Bapak gimana sih cara mengatasi pandemi yang baik? Kok kayanya PPKM dengan level apapun belum terlihat penurunaan yang signifikan? Apa masih kekeh pakai cara ala2 ini? https://t.co/j6ioWOXzm6</t>
  </si>
  <si>
    <t>Malu ga sih Pak dulu kita pulangin WNI dari Wuhan. Sekarang kita yang jadi episentrum pandemi.Menurut Bapak gimana sih cara mengatasi pandemi yang baik? Kok kayanya PPKM dengan level apapun belum terlihat penurunaan yang signifikan? Apa masih kekeh pakai cara ala2 ini?</t>
  </si>
  <si>
    <t>@MarieBerubah @jokowi @RamliRizal @prabowo @mohmahfudmd @karniilyas @msaid_didu @rockygerung PPKM Darurat aja gak di kasih makan apalagi lockdown. Picik.</t>
  </si>
  <si>
    <t>PPKM Darurat aja gak di kasih makan apalagi lockdown. Picik.</t>
  </si>
  <si>
    <t>@KompasTV Gimana gak menjerit, ppkm tapi gak dikasih solusinya yang nyari nafkah harian...
 Bapak sehat</t>
  </si>
  <si>
    <t>Gimana gak menjerit, ppkm tapi gak dikasih solusinya yang nyari nafkah harian...Bapak sehat</t>
  </si>
  <si>
    <t>@alisyarief PPKM itu dlm istilah medis bukan tindakan, tapi cuma ngasih obat generik yg sebenarnya bisa dibeli sendiri, tnp hrs ke dokter</t>
  </si>
  <si>
    <t>PPKM itu dlm istilah medis bukan tindakan, tapi cuma ngasih obat generik yg sebenarnya bisa dibeli sendiri, tnp hrs ke dokter</t>
  </si>
  <si>
    <t>@AbabilSemprong @awwicakk @ismailfahmi Tanya ke dokter2 bahkan yg lulusan LN mengapa ada ralat dalam pemberian obat2an covid? Tanya jg mengapa udah hampir 2 thn udah PPSB, PPKM macem2, vaksinasi tp angka kematian masih tinggi? Jgn2 mrk tau ada tg salah tp mingkem, jgn2 mrk lulusan kedokteran cuma text book.</t>
  </si>
  <si>
    <t>Tanya ke dokter2 bahkan yg lulusan LN mengapa ada ralat dalam pemberian obat2an covid? Tanya jg mengapa udah hampir thn udah PPSB, PPKM macem2, vaksinasi tp angka kematian masih tinggi? Jgn2 mrk tau ada tg salah tp mingkem, jgn2 mrk lulusan kedokteran cuma text book.</t>
  </si>
  <si>
    <t>Dari bahasa beliau, nampak bahwa beliau tidak mengerti isi UU Karantina Kesehatan, jikalau lockdown itu biaya makan rakyat dan hewan ternak ditanggung oleh pemerintah. 
 Sebab beliau masuk kampung, rakyat menjerit-jerit minta PPKM dibuka. Ya iyalah 😅 https://t.co/isYm6kcaCW</t>
  </si>
  <si>
    <t>Dari bahasa beliau, nampak bahwa beliau tidak mengerti isi UU Karantina Kesehatan, jikalau lockdown itu biaya makan rakyat dan hewan ternak ditanggung oleh pemerintah. Sebab beliau masuk kampung, rakyat menjerit-jerit minta PPKM dibuka. Ya iyalah</t>
  </si>
  <si>
    <t>Demi Keselamatan Rakyat, Wakil Ketua DPR Dukung PPKM Diperpanjang
 https://t.co/4ZZpNC52za 
 Bersatu Tuntaskan Pandemi https://t.co/rJCq6QVey6</t>
  </si>
  <si>
    <t>Demi Keselamatan Rakyat, Wakil Ketua DPR Dukung PPKM Diperpanjang Bersatu Tuntaskan Pandemi</t>
  </si>
  <si>
    <t>@hipohan Melanggar PPKM hanya dijerat denda, sedangkan menyebarkan konten yg berbau pencemaran nama baik, pornografi, fitnah, dsb..bisa dianggap melanggar UU ITE, bisa dijerat pasal pidana sekaligus denda.
 Inilah wajah hukum Indonesia..</t>
  </si>
  <si>
    <t>Melanggar PPKM hanya dijerat denda, sedangkan menyebarkan konten yg berbau pencemaran nama baik, pornografi, fitnah, dsb..bisa dianggap melanggar UU ITE, bisa dijerat pasal pidana sekaligus denda.Inilah wajah hukum Indonesia..</t>
  </si>
  <si>
    <t>Artis terjebak dlm lingkaran Ppkm...😁 https://t.co/lwP7kP6ROU</t>
  </si>
  <si>
    <t>Artis terjebak dlm lingkaran Ppkm...</t>
  </si>
  <si>
    <t>@silendyou Woi bangun woi ppkm udahan😏</t>
  </si>
  <si>
    <t>Woi bangun woi ppkm udahan</t>
  </si>
  <si>
    <t>Kepada rakyat jelata diharap untuk tetap patuh terhadap PPKM darurat (level 4 pedes banget) dan apabila terpapar dimohon isolasi mandiri dengan biaya ditanggung sendiri. Sekian untuk dipahami. https://t.co/5RAru0rXrL</t>
  </si>
  <si>
    <t>Kepada rakyat jelata diharap untuk tetap patuh terhadap PPKM darurat (level pedes banget) dan apabila terpapar dimohon isolasi mandiri dengan biaya ditanggung sendiri. Sekian untuk dipahami.</t>
  </si>
  <si>
    <t>@Beeee1109 Mauu 🥺 mumpung ppkm kelar yak wkwk</t>
  </si>
  <si>
    <t>Mauu mumpung ppkm kelar yak wkwk</t>
  </si>
  <si>
    <t>ppkm gak kelar² dah</t>
  </si>
  <si>
    <t>ppkm gak kelar dah</t>
  </si>
  <si>
    <t>@Frkhobihn @bertanyarl Lagi ppkm</t>
  </si>
  <si>
    <t>Saya baru paham kerangka berfikir presiden menangani pandemi setelah mendengar dia mengucapkan ini.
 Artinya, mau itu PSBB, PPKM ataupun Lockdown intinya pemerintah akan membiarkan rakyatnya kelaparan selama pandemi.
 #LBP #LengserkanBapakPresiden https://t.co/XhK6PnfINS</t>
  </si>
  <si>
    <t>Saya baru paham kerangka berfikir presiden menangani pandemi setelah mendengar dia mengucapkan ini.Artinya, mau itu PSBB, PPKM ataupun Lockdown intinya pemerintah akan membiarkan rakyatnya kelaparan selama pandemi.</t>
  </si>
  <si>
    <t>PPKM itu hamsyong bgt, ke Semarang yg biasanya gampang sekarang harus naik bis lewat jalan tikus.</t>
  </si>
  <si>
    <t>@gerrymatchaa @buruhkesenian Ud gpp terusin aja, ppkm hrs kreatif :)</t>
  </si>
  <si>
    <t>Ud gpp terusin aja, ppkm hrs kreatif</t>
  </si>
  <si>
    <t>@littlefox_3to3 Kangen bangettt anjir pleaseee 😭😭✋✋ ppkm kapan ilangnya siiii malahh level levelan kayak boncabe 😭😭</t>
  </si>
  <si>
    <t>Kangen bangettt anjir pleaseee ppkm kapan ilangnya siiii malahh level levelan kayak boncabe</t>
  </si>
  <si>
    <t>@FerdinandHaean3 Kl sididu sering menemukan sengsara rakyat krn PPKM knp tdk ikut membantu meringankan, ada banyak cara membantu dgn kapasitas kita. Kl ada yg tanya sy sdh berbuat apa? Jawabnya sdh dgn apa yg saya bisa, gak asal omdo</t>
  </si>
  <si>
    <t>Kl sididu sering menemukan sengsara rakyat krn PPKM knp tdk ikut membantu meringankan, ada banyak cara membantu dgn kapasitas kita. Kl ada yg tanya sy sdh berbuat apa? Jawabnya sdh dgn apa yg saya bisa, gak asal omdo</t>
  </si>
  <si>
    <t>PPKM aja Rakyat Menjerit, apalagi Lockdown.....
 Hadeeeuhhhh....
 Polos banget pikirannya</t>
  </si>
  <si>
    <t>PPKM aja Rakyat Menjerit, apalagi Lockdown.....Hadeeeuhhhh....Polos banget pikirannya</t>
  </si>
  <si>
    <t>PPKM : Pagi-Pagi Ku Mengloyo.</t>
  </si>
  <si>
    <t>@NUgarislucu Kalo diam-diam PPKM mandiri
 Tanpa harus ngabari atasan... 
 Cocok mboten Gus?</t>
  </si>
  <si>
    <t>Kalo diam-diam PPKM mandiriTanpa harus ngabari atasan... Cocok mboten Gus?</t>
  </si>
  <si>
    <t>ppkm sampe level berapa ya aku bosen jomblo 🥺😭🙂🌝☠️👽✋🏻</t>
  </si>
  <si>
    <t>ppkm sampe level berapa ya aku bosen jomblo</t>
  </si>
  <si>
    <t>@geloraco Pak @jokowi kalau PPKM yg tersenyum mah PNS, buruh kasar yg menjerit nggak bisa cari makan, lockdown pemerintah yg menjerit karena gak bisa ngasih rakyat makan..</t>
  </si>
  <si>
    <t>Pak kalau PPKM yg tersenyum mah PNS, buruh kasar yg menjerit nggak bisa cari makan, lockdown pemerintah yg menjerit karena gak bisa ngasih rakyat makan..</t>
  </si>
  <si>
    <t>selain stay safe, juga harus stay sane. cape ga si tiap hari update berita mayoritas berita buruk. ppkm: pelan pelan kena mental.</t>
  </si>
  <si>
    <t>Jauhkan dari ppkm yang dengki juga biadap gak ada otak sampe ke ubun https://t.co/Zyx4RZey6Z</t>
  </si>
  <si>
    <t>Jauhkan dari ppkm yang dengki juga biadap gak ada otak sampe ke ubun</t>
  </si>
  <si>
    <t>Seketika langsung inget mimpi gue yg itu. Kek, ko mirip banget feelnya🙂 apa itu emg sebuah pesan kalau alun2 bakal ditutup dan gelap karena adanya ppkm (?) entahlah, intinya ya begitu🤧
 -tamat-</t>
  </si>
  <si>
    <t>Seketika langsung inget mimpi gue yg itu. Kek, ko mirip banget feelnya apa itu emg sebuah pesan kalau alun2 bakal ditutup dan gelap karena adanya ppkm (?) entahlah, intinya ya begitu-tamat-</t>
  </si>
  <si>
    <t>Kembali ke dunia nyata, semenjak ppkm di daerah gua itu ada beberapa jalan yang ditutup kalo udah jam 8 malem. Tepatnya di alun2, sampe lampu jalan pun mati kek bener2 gelap bgt (kek hutan yg gelap)</t>
  </si>
  <si>
    <t>Kembali ke dunia nyata, semenjak ppkm di daerah gua itu ada beberapa jalan yang ditutup kalo udah jam malem. Tepatnya di alun2, sampe lampu jalan pun mati kek bener2 gelap bgt (kek hutan yg gelap)</t>
  </si>
  <si>
    <t>Sebelum ada ppkm, gua pernah mimpi kek creepy gitu👀 di mimpi itu gua lagi jalan kek pulang dari sekolah lewat alun2. Ini waktunya kek sekitar sore menjelang maghrib gituu
 Fyi: alun2 ke rumah gua emg deket bgtt</t>
  </si>
  <si>
    <t>Sebelum ada ppkm, gua pernah mimpi kek creepy gitu di mimpi itu gua lagi jalan kek pulang dari sekolah lewat alun2. Ini waktunya kek sekitar sore menjelang maghrib gituuFyi: alun2 ke rumah gua emg deket bgtt</t>
  </si>
  <si>
    <t>Kemarin didepan rumah baru saja terjadi kecelakaan akibat dari lampu penerangan jalan yang dimatikan.
 Pemadaman lampu penerangan jalan adalah kebijakan paling tidak berguna saat ppkm dan justru menambah resiko kecelakaan dan kejahatan.</t>
  </si>
  <si>
    <t>Kemarin didepan rumah baru saja terjadi kecelakaan akibat dari lampu penerangan jalan yang dimatikan.Pemadaman lampu penerangan jalan adalah kebijakan paling tidak berguna saat ppkm dan justru menambah resiko kecelakaan dan kejahatan.</t>
  </si>
  <si>
    <t>Data per-kemarin 28 Juli, untuk Bed Occupancy Rate (BOR) di Jawa Timur sudah mulai melandai dibanding dengan awal PPKM darurat loh!</t>
  </si>
  <si>
    <t>Data per-kemarin Juli, untuk Bed Occupancy Rate (BOR) di Jawa Timur sudah mulai melandai dibanding dengan awal PPKM darurat loh!</t>
  </si>
  <si>
    <t>Berarti pemimpin kita tidak memahami arti lockdown serta 
 Kewajiban dan tanggungjawab ketika Ppkm dan ketika lockdown.
 Sehingga dalam pernyataan seakan yg salah dan tdk mampu itu rakyat.. https://t.co/h3lHmV4WsN</t>
  </si>
  <si>
    <t>Berarti pemimpin kita tidak memahami arti lockdown serta Kewajiban dan tanggungjawab ketika Ppkm dan ketika lockdown.Sehingga dalam pernyataan seakan yg salah dan tdk mampu itu rakyat..</t>
  </si>
  <si>
    <t>PPKM bikin jajan gw lebih hemat 29,4%. Mayan lah</t>
  </si>
  <si>
    <t>PPKM bikin jajan gw lebih hemat %. Mayan lah</t>
  </si>
  <si>
    <t>@_Xp0se @Sat_Pinayungan @jokowi Jangan jangan nggak Bapak PPKM itu apa? Dan ketentuan yg berlaku dan hak haknya bagi rakyat.</t>
  </si>
  <si>
    <t>Jangan jangan nggak Bapak PPKM itu apa? Dan ketentuan yg berlaku dan hak haknya bagi rakyat.</t>
  </si>
  <si>
    <t>@VIVAcoid betul pak @jokowi jgn lockdown ppkm aja dah bny menjerit,,·</t>
  </si>
  <si>
    <t>betul pak jgn lockdown ppkm aja dah bny menjerit,,</t>
  </si>
  <si>
    <t>@RachlanNashidik Ijin bertanya....
 Berarti kalo ppkm, psbb, level pedas, dll itu landasan hukumnya apa yah?</t>
  </si>
  <si>
    <t>Ijin bertanya....Berarti kalo ppkm, psbb, level pedas, dll itu landasan hukumnya apa yah?</t>
  </si>
  <si>
    <t>Selama PPKM Darurat, Jatim tercatat telah memvaksinasi 2.656.747 penduduk (periode 3 Juli 2021-27 Juli 2021)</t>
  </si>
  <si>
    <t>Selama PPKM Darurat, Jatim tercatat telah memvaksinasi penduduk (periode Juli $NUMBER$ Juli )</t>
  </si>
  <si>
    <t>#OptimisKalahkanPandemi , 
 Fakta yg harus kamu tahu, PPKM terbukti ampuh, tp jangan seneng dulu perjalanan masih jauh, jangan abai prokes 5M! Dan segeta ikut vaksin https://t.co/ZPc0KbWbDw</t>
  </si>
  <si>
    <t>, Fakta yg harus kamu tahu, PPKM terbukti ampuh, tp jangan seneng dulu perjalanan masih jauh, jangan abai prokes M! Dan segeta ikut vaksin</t>
  </si>
  <si>
    <t>#OptimisKalahkanPandemi
 PPKM Darurat berhasil menekan lonjakn kasus Covid-19 dlm sebulan terakhir loh. Kondisi ini patut disyukuri tuips. Apalagi stlh melihat tingkat keterisian tempat tidur atau bed occupancy rate di pulau Jawa jg mulai menunjukn tanda perbaikn alias menurun 👍 https://t.co/8dXlfqm8ZF</t>
  </si>
  <si>
    <t>Daruratberhasil menekan lonjakn kasus Covid-19 dlm sebulan terakhir loh. Kondisi ini patut disyukuri tuips. Apalagi stlh melihat tingkat keterisian tempat tidur ataubed occupancy ratedi pulau Jawa jg mulai menunjukn tanda perbaikn alias menurun</t>
  </si>
  <si>
    <t>Dukungan dari NU ini sangat berpengaruh karena jumlah nahdliyin di Indonesia cukup banyak,
 Seluruh anggota NU akan membantu pemerintah menjaga prokes serta menolak demo PPKM.
  #OptimisKalahkanPandemi https://t.co/Ypf44rjB7W</t>
  </si>
  <si>
    <t>Dukungan dari NU ini sangat berpengaruh karena jumlah nahdliyin di Indonesia cukup banyak,Seluruh anggota NU akan membantu pemerintah menjaga prokes serta menolak demo PPKM.</t>
  </si>
  <si>
    <t>@RachlanNashidik Baru PPKM 3 minggu aja dah menjerit rakyat..apalagi Lockdown...trus dikasih duit jg mau makan apa? Kl semua nya tutup..
 Mending gini Ekonomi masih jalan...tuch di jakarta aja dah turun Covid karena PPKM</t>
  </si>
  <si>
    <t>Baru PPKM minggu aja dah menjerit rakyat..apalagi Lockdown...trus dikasih duit jg mau makan apa? Kl semua nya tutup..Mending gini Ekonomi masih jalan...tuch di jakarta aja dah turun Covid karena PPKM</t>
  </si>
  <si>
    <t>@geloraco Kalau lockdown aja dah gak yakin kenapa ada ppkm psbb segala rupa? Cuma pencitraan aja kalo udah ambil tindakan gt? Penasaran kalau nanti ternayta vaksinasi juga gak berhasil mau statement apaan</t>
  </si>
  <si>
    <t>Kalau lockdown aja dah gak yakin kenapa ada ppkm psbb segala rupa? Cuma pencitraan aja kalo udah ambil tindakan gt? Penasaran kalau nanti ternayta vaksinasi juga gak berhasil mau statement apaan</t>
  </si>
  <si>
    <t>Indonesia berhasil menurunkan kasus covit selama PPKM Terimakasih kepada semua elemen dn juga kerja sama yg luar biasa. Optimis kita mampu secepatnya keluar dari pagembluk saat ini
 #OptimisKalahkanPandemi https://t.co/rIAKJjzjp9</t>
  </si>
  <si>
    <t>Indonesia berhasil menurunkan kasus covit selama PPKM Terimakasih kepada semua elemen dn juga kerja sama yg luar biasa. Optimis kita mampu secepatnya keluar dari pagembluk saat ini</t>
  </si>
  <si>
    <t>PPKM Berhasil Menekan Penyebaran Covid-19 di Indonesia
 Pemerintah terus menjaga sinergitas dan solidaritas elemen masyarakat dalam mengatasi pandemi Covid-19.
 #OptimisKalahkanPandemi https://t.co/48NKG1gBU9</t>
  </si>
  <si>
    <t>PPKM Berhasil Menekan Penyebaran Covid-19 di IndonesiaPemerintah terus menjaga sinergitas dan solidaritas elemen masyarakat dalam mengatasi pandemi Covid-19.</t>
  </si>
  <si>
    <t>Nah.. efek hasil dari PPKM mulai berdampak baik. Benar yg di katakan Gub Jabar kang Ridwan , intinya upaya pemerintah mulai menemui hasil. Yg terpenting kita semua tetap patuhi prokes ok..👍🏽💪🏼
 #OptimisKalahkanPandemi https://t.co/JGR4DTFJI2</t>
  </si>
  <si>
    <t>Nah.. efek hasil dari PPKM mulai berdampak baik. Benar yg di katakan Gub Jabar kang Ridwan , intinya upaya pemerintah mulai menemui hasil. Yg terpenting kita semua tetap patuhi prokes ok..</t>
  </si>
  <si>
    <t>Late post. 27-7-2021
 Sebagai wujud kepedulian kami terhadap dampak lain dari pelaksanaan PPKM Mikro bagi PKL, Lurah dan perangkat Kelurahan Ngroto melakukan aksi Peduli PKL dengan memborong dagangan mereka. 
 Semoga bisa sedikit meringankan beban mereka. 
 Mari berbagi. https://t.co/31b6YpRkuY</t>
  </si>
  <si>
    <t>Late post. $NUMBER$-2021Sebagai wujud kepedulian kami terhadap dampak lain dari pelaksanaan PPKM Mikro bagi PKL, Lurah dan perangkat Kelurahan Ngroto melakukan aksi Peduli PKL dengan memborong dagangan mereka. Semoga bisa sedikit meringankan beban mereka. Mari berbagi.</t>
  </si>
  <si>
    <t>@Aaibadz @VIVAcoid loe ppkm aja gk tertib makah nyalihin pak jokowi,emang yg hrs di bnt penuh loe doang,,mikir loe yg waras mang nya cm negara INDONESIA aja yg seperti ini masih bersyukur negara ini gk bangkrut</t>
  </si>
  <si>
    <t>loe ppkm aja gk tertib makah nyalihin pak jokowi,emang yg hrs di bnt penuh loe doang,,mikir loe yg waras mang nya cm negara INDONESIA aja yg seperti ini masih bersyukur negara ini gk bangkrut</t>
  </si>
  <si>
    <t>@SOOJUNGbnw Lagi PPKM, hindari keramaian perbanyak berduaan.</t>
  </si>
  <si>
    <t>Lagi PPKM, hindari keramaian perbanyak berduaan.</t>
  </si>
  <si>
    <t>@mokubo1822 Emg ternyata meskipun udh di vaksin ga memastikan kita ga kena virus nya ya kak 😭😭
 Ayooo kak pengen bgt ini ppkm sampe kapan sih</t>
  </si>
  <si>
    <t>Emg ternyata meskipun udh di vaksin ga memastikan kita ga kena virus nya ya kak Ayooo kak pengen bgt ini ppkm sampe kapan sih</t>
  </si>
  <si>
    <t>@Uki23 Yup, makannya sih sebentar, ngobrolnya yg lama. Sy sdh menikmati 'take away' semenjak PPKM.</t>
  </si>
  <si>
    <t>Yup, makannya sih sebentar, ngobrolnya yg lama. Sy sdh menikmati 'take away' semenjak PPKM.</t>
  </si>
  <si>
    <t>PPKM penyusah rakyat. mau berdagang eh malah disuruh bayar denda. apalagi barang dagangan disita. sekarang makan maksimal 20 menit. peraturan seperti ini menyusahkan rakyat kecil. gini amat tinggal di indo. keras
 #COVID19 #PPKM #PPKMSengsarakanRakyat https://t.co/Yyx3Ltc50W</t>
  </si>
  <si>
    <t>PPKM penyusah rakyat. mau berdagang eh malah disuruh bayar denda. apalagi barang dagangan disita. sekarang makan maksimal menit. peraturan seperti ini menyusahkan rakyat kecil. gini amat tinggal di indo. keras</t>
  </si>
  <si>
    <t>!upi hallo adakah yang kehilangan ktm lalu urus-urus selama ppkm ini gimana?</t>
  </si>
  <si>
    <t>Gubernur Jawa Barat, Ridwan Kamil menyatakan bahwa pelaksanaan PPKM di Jawa Barat telah berhasil.
 Ridwan Kamil mengatakan keberhasilan tersebut bisa dibuktikan berdasarkan data. 
 #OptimisKalahkanPandemi https://t.co/exWDltjQ5d</t>
  </si>
  <si>
    <t>Gubernur Jawa Barat, Ridwan Kamil menyatakan bahwa pelaksanaan PPKM di Jawa Barat telah berhasil.Ridwan Kamil mengatakan keberhasilan tersebut bisa dibuktikan berdasarkan data.</t>
  </si>
  <si>
    <t>Buset, gw baru nyadar kalo hari ini udah hari sabtu bae. Kemarin gw udah ga jumatan ke yang berapa yak semenjak ppkm makannya sampe lupa hari wkwk</t>
  </si>
  <si>
    <t>@mamang_spakbor skutlah kelar ppkm</t>
  </si>
  <si>
    <t>skutlah kelar ppkm</t>
  </si>
  <si>
    <t>@arusbaik_id Semoga dengan PPKM pandemi bisa diatasi</t>
  </si>
  <si>
    <t>Semoga dengan PPKM pandemi bisa diatasi</t>
  </si>
  <si>
    <t>@Oyyi14 @BennyHarmanID Ppkm nya berlijid2 tanpa hasil, gimana orang gak frustasi......</t>
  </si>
  <si>
    <t>Ppkm nya berlijid2 tanpa hasil, gimana orang gak frustasi......</t>
  </si>
  <si>
    <t>@JebuelMania900 terlalu tegang akibat PPKM, jadinya ya ngono...ngopi yuk akh meh cenghar</t>
  </si>
  <si>
    <t>terlalu tegang akibat PPKM, jadinya ya ngono...ngopi yuk akh meh cenghar</t>
  </si>
  <si>
    <t>@republikaonline Level PPKM nya sdh nol koma nol nol....Pengalaman Itali, guru yg baik.</t>
  </si>
  <si>
    <t>Level PPKM nya sdh nol koma nol nol....Pengalaman Itali, guru yg baik.</t>
  </si>
  <si>
    <t>Gw tau dari story, snapwa
 Bayangin.. pdhl tetangga gw sendiri beda brp gang rumah
 Alasannya ppkm
 Mksd gw, gw ga diundang ke gedung pun gmsalah krn bs dtg kerumah, but, kasi kabar ke gw susahnya dimana..
 Gw sedih asli
 Tau dah nyambat pagi² bodoamat ksl bgt 😪 https://t.co/tHtKG3rziS</t>
  </si>
  <si>
    <t>Gw tau dari story, snapwaBayangin.. pdhl tetangga gw sendiri beda brp gang rumahAlasannya ppkmMksd gw, gw ga diundang ke gedung pun gmsalah krn bs dtg kerumah, but, kasi kabar ke gw susahnya dimana..Gw sedih asliTau dah nyambat pagi bodoamat ksl bgt</t>
  </si>
  <si>
    <t>@langitnila iyh, di tempat kerja... iyeeee gue dirumah aja, soalnya ppkm gaada tempat yg buka gmna mau prgi prgi 😿</t>
  </si>
  <si>
    <t>iyh, di tempat kerja... iyeeee gue dirumah aja, soalnya ppkm gaada tempat yg buka gmna mau prgi prgi</t>
  </si>
  <si>
    <t>@CallMyN36153111 @RachlanNashidik Inilah sll gaya2 dan contoh narasi buzzerp/cebong/bani bipang, klw lockdown aja lu ragukan apa lg ppkm.
 Pastinya lockdown lbih jamin msyrkt akan lbih patuh taat prokes dari ppkm. Gak prlu turunkn TNI, Polisi, satpol pp, utk hitung stopwatch makan 20 mnit. 
 Klw mau tau y coba dl</t>
  </si>
  <si>
    <t>Inilah sll gaya2 dan contoh narasi buzzerp/cebong/bani bipang, klw lockdown aja lu ragukan apa lg ppkm.Pastinya lockdown lbih jamin msyrkt akan lbih patuh taat prokes dari ppkm. Gak prlu turunkn TNI, Polisi, satpol pp, utk hitung stopwatch makan mnit. Klw mau tau y coba dl</t>
  </si>
  <si>
    <t>Kebiasaan!
 Yang dikejar malah yang merekam &amp;amp; menyebarkan video😏😏
 Viral Pisah Sambut Kapolres Rembang Langgar PPKM, Polisi Periksa Perekam Video
 https://t.co/LOD7elm7nw</t>
  </si>
  <si>
    <t>Kebiasaan!Yang dikejar malah yang merekam &amp;amp; menyebarkan videoViral Pisah Sambut Kapolres Rembang Langgar PPKM, Polisi Periksa Perekam Video</t>
  </si>
  <si>
    <t>@VIVAcoid Inilah bukti nyata kalau Pemimpin Rezim ini otaknya sama dengan para BuzzeRp Piaraan Si Kakak Pembina.Jelas Jelas PPKM saja Tidak Pemerintah Tidak Memberikan Bantuan Pada Rakyatnya ,Kok Sok Mau Lockdown Yang Wajib Memberi Kebutuhan HidupPada Rakyatnya .....?</t>
  </si>
  <si>
    <t>Inilah bukti nyata kalau Pemimpin Rezim ini otaknya sama dengan para BuzzeRp Piaraan Si Kakak Pembina.Jelas Jelas PPKM saja Tidak Pemerintah Tidak Memberikan Bantuan Pada Rakyatnya ,Kok Sok Mau Lockdown Yang Wajib Memberi Kebutuhan HidupPada Rakyatnya .....?</t>
  </si>
  <si>
    <t>@Asa73144670Asa In syaa Allah kalo bisa menang Yatim piatu, dhuafa Dan masyarakat terdampak PPKM akan ikut merasakan manfaatnya 14 juta Ini.
 Aamiin</t>
  </si>
  <si>
    <t>In syaa Allah kalo bisa menang Yatim piatu, dhuafa Dan masyarakat terdampak PPKM akan ikut merasakan manfaatnya juta Ini.Aamiin</t>
  </si>
  <si>
    <t>@arusbaik_id Nahh disimak nih mana aja yg diperpanjang PPKM</t>
  </si>
  <si>
    <t>Nahh disimak nih mana aja yg diperpanjang PPKM</t>
  </si>
  <si>
    <t>@AndraBintang20 Belakangan ini zara lagi banyak di cari ban di segala sosial media mungkin banyak outlet yg tutup grgr ppkm jadi byk yg nyari online
 Lu suka barang zara juga gak ban?</t>
  </si>
  <si>
    <t>Belakangan ini zara lagi banyak di cari ban di segala sosial media mungkin banyak outlet yg tutup grgr ppkm jadi byk yg nyari onlineLu suka barang zara juga gak ban?</t>
  </si>
  <si>
    <t>Udah tiga hari ini temen2 fangurl gw ngirim video si Eunwoo yg rekam suara alarm “Yang, bangun” wkwkwkwkwk. Lancarrr menghalu ya Ne! Lanjutkan! PPKM emg paling enak haluin manusia2 yg ga akan pernah bisa jdi siapa2 lu. *meh*</t>
  </si>
  <si>
    <t>Udah tiga hari ini temen2 fangurl gw ngirim video si Eunwoo yg rekam suara alarm Yang, bangun wkwkwkwkwk. Lancarrr menghalu ya Ne! Lanjutkan! PPKM emg paling enak haluin manusia2 yg ga akan pernah bisa jdi siapa2 lu. *meh*</t>
  </si>
  <si>
    <t>@sucifitriahay Entar juga PPKM diperpanjang lagi kok</t>
  </si>
  <si>
    <t>Entar juga PPKM diperpanjang lagi kok</t>
  </si>
  <si>
    <t>@yarrxzzz Udah bilang ini dari ppkm pertama kemarin, taoi serius pengen beli topokki kodam🥺</t>
  </si>
  <si>
    <t>Udah bilang ini dari ppkm pertama kemarin, taoi serius pengen beli topokki kodam</t>
  </si>
  <si>
    <t>Lgi ppkm kak https://t.co/XDeQgBZkBS</t>
  </si>
  <si>
    <t>Lgi ppkm kak</t>
  </si>
  <si>
    <t>@marlina_idha Kata salah satu menko sebelum ppkm darurat dalam 2 hari saya akan selesai dibenahi. Jadi ini hasilnya?</t>
  </si>
  <si>
    <t>Kata salah satu menko sebelum ppkm darurat dalam hari saya akan selesai dibenahi. Jadi ini hasilnya?</t>
  </si>
  <si>
    <t>@CallMyN36153111 @RachlanNashidik Waktu memutuskan penerapan psbb, ppkm dan sejenisnya adakah jaminan dari pemerintah bisa menekan penyebaran virus covid??? Apa penyebaran virus covid bisa dihambat dengan menutup akses jalan raya??</t>
  </si>
  <si>
    <t>Waktu memutuskan penerapan psbb, ppkm dan sejenisnya adakah jaminan dari pemerintah bisa menekan penyebaran virus covid??? Apa penyebaran virus covid bisa dihambat dengan menutup akses jalan raya??</t>
  </si>
  <si>
    <t>@Srinthiel__ Patuhi peraturan PPKM</t>
  </si>
  <si>
    <t>Patuhi peraturan PPKM</t>
  </si>
  <si>
    <t>@BennyHarmanID @pengangguranRI PPKM pelan pelan kita mati...</t>
  </si>
  <si>
    <t>PPKM pelan pelan kita mati...</t>
  </si>
  <si>
    <t>Aku suka PPKM tapi kalau gak pake PP wkwk</t>
  </si>
  <si>
    <t>Terakhir ke h&amp;amp;m pas hamil 9 bulan... Gabeli baju dede banyak karena mager muter muternya mikirnya ya nanti ajalah pas udha lahir belanja lagi sekalian sblm balik pky... Gataunya dunia berubah ppkm membuat semua mall tutup 😒😒😒 pagi pagi tetiba ada rasa pgn ke mall 🤣 #emaklyfe</t>
  </si>
  <si>
    <t>Terakhir ke h&amp;amp;m pas hamil bulan... Gabeli baju dede banyak karena mager muter muternya mikirnya ya nanti ajalah pas udha lahir belanja lagi sekalian sblm balik pky... Gataunya dunia berubah ppkm membuat semua mall tutup pagi pagi tetiba ada rasa pgn ke mall</t>
  </si>
  <si>
    <t>@ricardokakaaaa Kalau kemarin aku daftar dulu buat scaling sama genose. Soalnya kuota buat genose dibatasin. Mungkin kalo ppkm gini bakalan susah, soalnya dokter cuma ngelakuin tindakan emergency</t>
  </si>
  <si>
    <t>Kalau kemarin aku daftar dulu buat scaling sama genose. Soalnya kuota buat genose dibatasin. Mungkin kalo ppkm gini bakalan susah, soalnya dokter cuma ngelakuin tindakan emergency</t>
  </si>
  <si>
    <t>Gila bulan juli ini aku cuma 3 hari kerja, sehabis itu libur panjang ppkm dan gak kerasa</t>
  </si>
  <si>
    <t>Gila bulan juli ini aku cuma hari kerja, sehabis itu libur panjang ppkm dan gak kerasa</t>
  </si>
  <si>
    <t>@darxworld_ Waaaah ppkm</t>
  </si>
  <si>
    <t>Waaaah ppkm</t>
  </si>
  <si>
    <t>Nyari pacar susahnya ky nyari cilor pas ppkm</t>
  </si>
  <si>
    <t>Terimakasih Pak Kandar, di tengah2 PPKM bapak &amp;amp; istri msh mau nganterin Oksigen ke rumah. pdhl udah hampir jam 11 mlm. setiap hari Bapak hrs muter ke seluruh RS di Pekanbaru agar pasokan Oksigen ttp ada. salut..Sehat2 sllu ya pak... 🙏🙏. https://t.co/hZK5bbMcyv</t>
  </si>
  <si>
    <t>Terimakasih Pak Kandar, di tengah2 PPKM bapak &amp;amp; istri msh mau nganterin Oksigen ke rumah. pdhl udah hampir jam mlm. setiap hari Bapak hrs muter ke seluruh RS di Pekanbaru agar pasokan Oksigen ttp ada. salut..Sehat2 sllu ya pak... .</t>
  </si>
  <si>
    <t>@LorealParisID Wearing a mask in this new era is become my fav thing that i did for around 2 fcking yearsss lmao 😣 tapii.... Malah bikin cantikkk pake masker hihiw, dan karna ppkm aku jadi makin rajin skin&amp;amp;body care an AAAKKK malah nyaman bgt dirumah wlopun kangen maen :' #YoureAWorkofArt</t>
  </si>
  <si>
    <t>Wearing a mask in this new era is become my fav thing that i did for around fcking yearsss lmao tapii.... Malah bikin cantikkk pake masker hihiw, dan karna ppkm aku jadi makin rajin skin&amp;amp;body care an AAAKKK malah nyaman bgt dirumah wlopun kangen maen :'</t>
  </si>
  <si>
    <t>@Nortylop4 ppkm haha</t>
  </si>
  <si>
    <t>ppkm haha</t>
  </si>
  <si>
    <t>Setelah babak belur kita semua dibawa kedalam Neraka PPKM, lalu dikatakan "Tidak Yakin #LOCKDOWN Bisa Tangani Pandemic". Jadi, apalagi semodel PPKM (LOCKDOWN permainan setengah gawang).
 Nah kita faham, Jokowi tdk mempunyai visi penanganan Pandemic ini. 
 "Bagaimana nanti" Parah</t>
  </si>
  <si>
    <t>Setelah babak belur kita semua dibawa kedalam Neraka PPKM, lalu dikatakan "Tidak Yakin Bisa Tangani Pandemic". Jadi, apalagi semodel PPKM (LOCKDOWN permainan setengah gawang).Nah kita faham, Jokowi tdk mempunyai visi penanganan Pandemic ini. "Bagaimana nanti" Parah</t>
  </si>
  <si>
    <t>Setelah babak belur kita semua dibawa kedalam Neraka PPKM, lalu dikatakan "Tidak Yakin Lockdown Bisa Tangani Pandemic". Jadi, apalagi semodel PPKM (lockdown permainan setengah gawang).
 Nah kita faham, Jokowi tdk mempunyai visi penanganan Pandemic ini. 
 "Bagaimana nanti". Parah</t>
  </si>
  <si>
    <t>Setelah babak belur kita semua dibawa kedalam Neraka PPKM, lalu dikatakan "Tidak Yakin Lockdown Bisa Tangani Pandemic". Jadi, apalagi semodel PPKM (lockdown permainan setengah gawang).Nah kita faham, Jokowi tdk mempunyai visi penanganan Pandemic ini. "Bagaimana nanti". Parah</t>
  </si>
  <si>
    <t>@Dian_susahLogin berangkat.....eh tp masih ppkm...😭😭😭</t>
  </si>
  <si>
    <t>berangkat.....eh tp masih ppkm...</t>
  </si>
  <si>
    <t>@KurniyandaFitri Depresi kena imbas ppkm</t>
  </si>
  <si>
    <t>Depresi kena imbas ppkm</t>
  </si>
  <si>
    <t>Ya gpp pak @jokowi kita ga lockdown. PPKM kata bapak Semi Lockdown tapi jangan sampai masyarakat juga Semi Hidup pak atau ungkapan orang-orang mati segan hidup tak mau. Ayo pak kita bersatu untuk lewati ini semua. Sehat selalu Pak Pres. Aamiin https://t.co/vIBgmmc1z0</t>
  </si>
  <si>
    <t>Ya gpp pak kita ga lockdown. PPKM kata bapak Semi Lockdown tapi jangan sampai masyarakat juga Semi Hidup pak atau ungkapan orang-orang mati segan hidup tak mau. Ayo pak kita bersatu untuk lewati ini semua. Sehat selalu Pak Pres. Aamiin</t>
  </si>
  <si>
    <t>Ppkm ndang kelar. Pengen ke rumah mertua ini ga jadi2.</t>
  </si>
  <si>
    <t>@OposisiCerdas Yang lain merasakan kepahitan karena terus dirazia dan di denda karena melanggar PPKM ini malah,menari di atas penderitaan mereka yang mati dan terpapar covid</t>
  </si>
  <si>
    <t>Yang lain merasakan kepahitan karena terus dirazia dan di denda karena melanggar PPKM ini malah,menari di atas penderitaan mereka yang mati dan terpapar covid</t>
  </si>
  <si>
    <t>mumpung lagi ppkm level 3, semua didiskon, -.-.... https://t.co/JsjbfP84nY</t>
  </si>
  <si>
    <t>mumpung lagi ppkm level , semua didiskon, -.-....</t>
  </si>
  <si>
    <t>Beli paket dari semarang paketnya mampir ke Jambi baru ke surabaya eh kena ppkm sudah hampir 10 hari belum sampai juga paketnya 😞</t>
  </si>
  <si>
    <t>Beli paket dari semarang paketnya mampir ke Jambi baru ke surabaya eh kena ppkm sudah hampir hari belum sampai juga paketnya</t>
  </si>
  <si>
    <t>Bantuan utk korban PHK akibat pandemi terkena ppkm pula mana?;kok malah yg masih kerja yg disubsidi?</t>
  </si>
  <si>
    <t>TOLONG YANG BUKAN KELUARGA GAK USAH KOAR², diem² bae di rumah masih PPKM gausah kemana-mana https://t.co/KvzT2RWhgf</t>
  </si>
  <si>
    <t>TOLONG YANG BUKAN KELUARGA GAK USAH KOAR, diem bae di rumah masih PPKM gausah kemana-mana</t>
  </si>
  <si>
    <t>@fmatthewbesson @hobibacathread Maklum lagi ppkm butuh duit mybe wkwk</t>
  </si>
  <si>
    <t>Maklum lagi ppkm butuh duit mybe wkwk</t>
  </si>
  <si>
    <t>@ari_4910 kemarin sempet ke bioskop pas masih dibuka, tp cuma sekali besoknya ppkm 😭
 kangen bau popcorn</t>
  </si>
  <si>
    <t>kemarin sempet ke bioskop pas masih dibuka, tp cuma sekali besoknya ppkm kangen bau popcorn</t>
  </si>
  <si>
    <t>@ariessgurls_ ppkm heyy</t>
  </si>
  <si>
    <t>ppkm heyy</t>
  </si>
  <si>
    <t>kediri ketat . . .
 PPKM level4 rasa PPKM Level Darurat Pakek Banget
 smg cpt pulih bumiku Indonesia, stelah ini kau merayakan ultah https://t.co/jCl29UZJMP</t>
  </si>
  <si>
    <t>kediri ketat . . .PPKM level4 rasa PPKM Level Darurat Pakek Bangetsmg cpt pulih bumiku Indonesia, stelah ini kau merayakan ultah</t>
  </si>
  <si>
    <t>@catatankaqihati @d3vilicious @MonologeLLy_318 PPKM
 Pelan
 Pelan
 Kamu
 Melebar</t>
  </si>
  <si>
    <t>PPKMPelanPelanKamuMelebar</t>
  </si>
  <si>
    <t>Assalamualaikum wr wb
 Met pagi warga TL met weekend bersama keluarga tercinta, tetap disiplin prokes, PPKM dg Semangat MERAH PUTIH✊✊✊ https://t.co/jzzLes7s15</t>
  </si>
  <si>
    <t>Assalamualaikum wr wbMet pagi warga TL met weekend bersama keluarga tercinta, tetap disiplin prokes, PPKM dg Semangat MERAH PUTIH</t>
  </si>
  <si>
    <t>@infobankbjb Setelah ppkm beroperasi seperti biasa kc kelapa gading ?</t>
  </si>
  <si>
    <t>Setelah ppkm beroperasi seperti biasa kc kelapa gading ?</t>
  </si>
  <si>
    <t>Jujur ini udh mau 2 bulan gaksih ppkm…. rindu juga seengganya wkt itu masi bisa sekedar beli cold moo atau beli taichan ngendok dirumah vica. TRS YG PALING SEDIH for the first time mingdep nonton konser sendiri 😔😭 pdhl ini konser svt pertamaku, ga konser sih fanmeet tp ya sama</t>
  </si>
  <si>
    <t>Jujur ini udh mau bulan gaksih ppkm. rindu juga seengganya wkt itu masi bisa sekedar beli cold moo atau beli taichan ngendok dirumah vica. TRS YG PALING SEDIH for the first time mingdep nonton konser sendiri pdhl ini konser svt pertamaku, ga konser sih fanmeet tp ya sama</t>
  </si>
  <si>
    <t>@KompasTV Pakai logika dikit napa ?!. PPKM orang disuruh dirumah tapi kebutuhan disuruh cari sendiri. Emang kebutuhan itu gratis ?, bisa datang sendiri ?. Memangnya dengan ngomong lapar terus makanan datang ?. Rakyat tahu klo lockdown yg menjerit justru pemerintah. Krn gak mampu.</t>
  </si>
  <si>
    <t>Pakai logika dikit napa ?!. PPKM orang disuruh dirumah tapi kebutuhan disuruh cari sendiri. Emang kebutuhan itu gratis ?, bisa datang sendiri ?. Memangnya dengan ngomong lapar terus makanan datang ?. Rakyat tahu klo lockdown yg menjerit justru pemerintah. Krn gak mampu.</t>
  </si>
  <si>
    <t>@RachlanNashidik @ArmiSatria8 Hmm, Apkh PPKM itu adalah lockdown yg dijalankan dg mengabaikan tanngung jawab sesuai UU?</t>
  </si>
  <si>
    <t>Hmm, Apkh PPKM itu adalah lockdown yg dijalankan dg mengabaikan tanngung jawab sesuai UU?</t>
  </si>
  <si>
    <t>Moon maap bapak..
 Stau saya nih pak. .
 Kalo lokdon (karantina), itu rakjat disruh tinggal dirumah, tapi smw kebutuhan di tanggung oleh negara.
 Kalo PPKM, itu rakjat disuruh dirumah, tp kbtuhannya disuruh cari sendiri.
 Gimana gk teriak pak. 
 Udah ky vokalis A7X aja ini https://t.co/duAmtGWnA5</t>
  </si>
  <si>
    <t>Moon maap bapak..Stau saya nih pak. .Kalo lokdon (karantina), itu rakjat disruh tinggal dirumah, tapi smw kebutuhan di tanggung oleh negara.Kalo PPKM, itu rakjat disuruh dirumah, tp kbtuhannya disuruh cari sendiri.Gimana gk teriak pak. Udah ky vokalis A7X aja ini</t>
  </si>
  <si>
    <t>@istyisty___ Haha soalnya otak indo suka konten gtuan sejak ppkm makin lama🤧</t>
  </si>
  <si>
    <t>Haha soalnya otak indo suka konten gtuan sejak ppkm makin lama</t>
  </si>
  <si>
    <t>@msaid_didu Memang luar biasa ya pak, presiden ini, dia tahu ppkm aja rakyat sudah menjerit apalagi lockdown memang luar biasa jeniusnya tapi sy tidak milih dia loh pak</t>
  </si>
  <si>
    <t>Memang luar biasa ya pak, presiden ini, dia tahu ppkm aja rakyat sudah menjerit apalagi lockdown memang luar biasa jeniusnya tapi sy tidak milih dia loh pak</t>
  </si>
  <si>
    <t>Sepertinya harus Uda @iwanpiliang7 yang mengingatkan bliau, beda ppkm &amp;amp; lockdown versi uu karantina...
 Astaghfirullaah...🤦‍♂️ https://t.co/6PvdvHwMq6</t>
  </si>
  <si>
    <t>Sepertinya harus Uda yang mengingatkan bliau, beda ppkm &amp;amp; lockdown versi uu karantina...Astaghfirullaah...</t>
  </si>
  <si>
    <t>@geloraco Ppkm = lockdown diluar tanggungan</t>
  </si>
  <si>
    <t>Ppkm = lockdown diluar tanggungan</t>
  </si>
  <si>
    <t>@abu_waras Cepat lakukan LOCKDOWN berikan kebutuhan masyarakat!
 Bukan malah membahas " PPKM saja Rakyat sudah menjerit apalagi LOCKDOWN "</t>
  </si>
  <si>
    <t>Cepat lakukan LOCKDOWN berikan kebutuhan masyarakat!Bukan malah membahas " PPKM saja Rakyat sudah menjerit apalagi LOCKDOWN "</t>
  </si>
  <si>
    <t>PPKM level 4, semoga covid-19 bisa lenyap dari Bumi Pertiwi dan Dunia.. Aamiin 🤲🏼 @ Karangploso City https://t.co/ikp9hyPHvb</t>
  </si>
  <si>
    <t>PPKM level , semoga covid-19 bisa lenyap dari Bumi Pertiwi dan Dunia.. Aamiin Karangploso City</t>
  </si>
  <si>
    <t>@blumeicy Kan lagi ppkm, mungkin kehambat sama itu</t>
  </si>
  <si>
    <t>Kan lagi ppkm, mungkin kehambat sama itu</t>
  </si>
  <si>
    <t>@FerdinandHaean3 Usulmu apa fer....PPKM terbukti gagal..
 .</t>
  </si>
  <si>
    <t>Usulmu apa fer....PPKM terbukti gagal...</t>
  </si>
  <si>
    <t>Gila salut bgt sm diri sendiri, ga kemana mana selama ppkm. Yaa tp ke rumah saudara siih dan vaksin cihuuyyy</t>
  </si>
  <si>
    <t>@chubbyyyyi abis ppkm, itupun kalo jkt-bks</t>
  </si>
  <si>
    <t>abis ppkm, itupun kalo jkt-bks</t>
  </si>
  <si>
    <t>@ArmiSatria8 @RachlanNashidik Rakyat menjerit krn PPKM membatasi namun pemerintah tdk memberikan bantuan yg layak. Rakyat disuruh diam di rumah namun tdk dicukupi kebutuhannya masih disuruh cari usaha sendiri sdngkan untuk leuar rakyat dibatasi usaha dilarang. Sampai situ paham?</t>
  </si>
  <si>
    <t>Rakyat menjerit krn PPKM membatasi namun pemerintah tdk memberikan bantuan yg layak. Rakyat disuruh diam di rumah namun tdk dicukupi kebutuhannya masih disuruh cari usaha sendiri sdngkan untuk leuar rakyat dibatasi usaha dilarang. Sampai situ paham?</t>
  </si>
  <si>
    <t>Pagi min @infomalang tanya perpanjangan stnk 5 tahunan sekarang sistemnya gimana ya? Sama seperti sblm ppkm apa ada perubahan? Thx
 Semoga sehat selalu min 🙏🏻</t>
  </si>
  <si>
    <t>Pagi min tanya perpanjangan stnk tahunan sekarang sistemnya gimana ya? Sama seperti sblm ppkm apa ada perubahan? ThxSemoga sehat selalu min</t>
  </si>
  <si>
    <t>@chawidha ya ga ada kerjaan kali, kan pada nganggur gara2 ppkm 🤣</t>
  </si>
  <si>
    <t>ya ga ada kerjaan kali, kan pada nganggur gara2 ppkm</t>
  </si>
  <si>
    <t>@chxoxonut Abis PPKM main lah kuy</t>
  </si>
  <si>
    <t>Abis PPKM main lah kuy</t>
  </si>
  <si>
    <t>@bogorfess_ Ppkm tetep buka kan yah?</t>
  </si>
  <si>
    <t>Ppkm tetep buka kan yah?</t>
  </si>
  <si>
    <t>@ruangmodul Dirumah aja wong ya ppkm kok</t>
  </si>
  <si>
    <t>Dirumah aja wong ya ppkm kok</t>
  </si>
  <si>
    <t>@RachlanNashidik Pak Rahlan , lockdown &amp;amp; PPKM 
 Beda arti .
 Pak Jokowi ga mungkin mau lockdown</t>
  </si>
  <si>
    <t>Pak Rahlan , lockdown &amp;amp; PPKM Beda arti .Pak Jokowi ga mungkin mau lockdown</t>
  </si>
  <si>
    <t>@BasilSakti @Paltiwest Kalau menolak PPKM, terus apa solusi nya..?.</t>
  </si>
  <si>
    <t>Kalau menolak PPKM, terus apa solusi nya..?.</t>
  </si>
  <si>
    <t>Bayangin pas disurga duduk sebelahan
 Sama orang dari abad ke 7 masehi.
 "Tau PPKM or CORONA"?</t>
  </si>
  <si>
    <t>Bayangin pas disurga duduk sebelahanSama orang dari abad ke masehi."Tau PPKM or CORONA"?</t>
  </si>
  <si>
    <t>@ArmiSatria8 @RachlanNashidik Yang jadi menjerit pada ppkm itu apa? Terus apakah faktor itu sama ads pada lockdown?</t>
  </si>
  <si>
    <t>Yang jadi menjerit pada ppkm itu apa? Terus apakah faktor itu sama ads pada lockdown?</t>
  </si>
  <si>
    <t>@DjokoSan_ @GeiszChalifah Karantinanya juga pak. Negara lain smua 14 hari:) indonesia 5 hari ppkm aja cuma 8 hari</t>
  </si>
  <si>
    <t>Karantinanya juga pak. Negara lain smua hari indonesia hari ppkm aja cuma hari</t>
  </si>
  <si>
    <t>#OptimisKalahkanPandemi .
 Jangan abai, jangan lalai. 
 Taati prokes
 Nyatanya PPKM berhasil tekan penyebaran dn lonjakan kopit.
 Yuk bantu para Nakes dn relawan https://t.co/iISBPg6Gdd</t>
  </si>
  <si>
    <t>.Jangan abai, jangan lalai. Taati prokesNyatanya PPKM berhasil tekan penyebaran dn lonjakan kopit.Yuk bantu para Nakes dn relawan</t>
  </si>
  <si>
    <t>@ArmiSatria8 @RachlanNashidik PPKM aja menjerit... Lah berarti ngaku dong keadaan gak baik2 aja, kagak jd meroket ya... So ngapain maksa bangun ibukota baru?</t>
  </si>
  <si>
    <t>PPKM aja menjerit... Lah berarti ngaku dong keadaan gak baik2 aja, kagak jd meroket ya... So ngapain maksa bangun ibukota baru?</t>
  </si>
  <si>
    <t>@desirewulan Gaskeunnnn kak, ayok abis ppkm</t>
  </si>
  <si>
    <t>Gaskeunnnn kak, ayok abis ppkm</t>
  </si>
  <si>
    <t>@detikcom PPKM bertransformasi menjadi depopulasi.. Pelan-Pelan Kamu Mati.
 Selamat dan Sukses kepada rezim yang berhasil menurunkan jumlah penduduk.. Oh juga sukses menurunkan kualitas hidup rakyat.. 
 ..kalau² nanti muncul penjajahan, rakyat tak lagi semangat membela negerinya..
 Oh PPKM</t>
  </si>
  <si>
    <t>PPKM bertransformasi menjadi depopulasi.. Pelan-Pelan Kamu Mati.Selamat dan Sukses kepada rezim yang berhasil menurunkan jumlah penduduk.. Oh juga sukses menurunkan kualitas hidup rakyat.. ..kalau nanti muncul penjajahan, rakyat tak lagi semangat membela negerinya..Oh PPKM</t>
  </si>
  <si>
    <t>Data kasus penularan harian Covid-19, 7 days Moving Average.
 Sejak PPKM Darurat diberlakukan, hanya DKI Jakarta yang kasus penularan hariannya berhasil turun dibawah angka sebelum PPKM Darurat diberlakukan.
 @jokowi https://t.co/CoGZZhJjgz</t>
  </si>
  <si>
    <t>Data kasus penularan harian Covid-19, days Moving Average.Sejak PPKM Darurat diberlakukan, hanya DKI Jakarta yang kasus penularan hariannya berhasil turun dibawah angka sebelum PPKM Darurat diberlakukan.</t>
  </si>
  <si>
    <t>Agustus? Semoga PPKM cepat berlalu</t>
  </si>
  <si>
    <t>@sbyfess Siapa yg tidak tau area ini? Foto yg diambil di area lapangan kodam. Dahulu disini ramai dengan pedagang2, kulinernya, serta kenangan bersama areknya. Wkwk semoga nanti bisa kesini lagi setelah ppkm. https://t.co/bmouQBdqnr</t>
  </si>
  <si>
    <t>Siapa yg tidak tau area ini? Foto yg diambil di area lapangan kodam. Dahulu disini ramai dengan pedagang2, kulinernya, serta kenangan bersama areknya. Wkwk semoga nanti bisa kesini lagi setelah ppkm.</t>
  </si>
  <si>
    <t>@bertanyarl Dulu ibu2 pada ghibah sore2 di samping rmh gue. Sebel bgt. Tp skrg udh jrg bgt. Krn ppkm ghibahnya ikut ppkm wkwk.</t>
  </si>
  <si>
    <t>Dulu ibu2 pada ghibah sore2 di samping rmh gue. Sebel bgt. Tp skrg udh jrg bgt. Krn ppkm ghibahnya ikut ppkm wkwk.</t>
  </si>
  <si>
    <t>kalo mingdep udh ga PPKM dan bisa nganter keluar bekasii, ya gapapa sih ayo! intinya nambah 15k yaa itung2 ongkos akuu hehe. Klo gosend nanti nambah lagii tp aku cari yg plg murahh biar ga nombok ongkosnya banyak 🙏</t>
  </si>
  <si>
    <t>kalo mingdep udh ga PPKM dan bisa nganter keluar bekasii, ya gapapa sih ayo! intinya nambah k yaa itung2 ongkos akuu hehe. Klo gosend nanti nambah lagii tp aku cari yg plg murahh biar ga nombok ongkosnya banyak</t>
  </si>
  <si>
    <t>Ppkm malah party bisnis sksksk
 Org kawinan aja cuma 20org ges,masa kaya begitu kuota 200 org hahahah,ntr kopit aja diem</t>
  </si>
  <si>
    <t>Ppkm malah party bisnis skskskOrg kawinan aja cuma org ges,masa kaya begitu kuota org hahahah,ntr kopit aja diem</t>
  </si>
  <si>
    <t>harusnya today berangkat ke wiyung buat kondangan. gara2 ppkm jd virtual. dhlh😊 https://t.co/86NEv1RMdS</t>
  </si>
  <si>
    <t>harusnya today berangkat ke wiyung buat kondangan. gara2 ppkm jd virtual. dhlh</t>
  </si>
  <si>
    <t>@vienz69 siap siap klo aku alesannya ppkm 🤣🤣</t>
  </si>
  <si>
    <t>siap siap klo aku alesannya ppkm</t>
  </si>
  <si>
    <t>Pagi-pagi dah overthinking PPKM bakal diperpanjang lagi atau enggak 😢</t>
  </si>
  <si>
    <t>Pagi-pagi dah overthinking PPKM bakal diperpanjang lagi atau enggak</t>
  </si>
  <si>
    <t>PPKM kapan kelarnya sikk. Bosan backup cabang orang terus. Pengen ke cabang sendiri 😭😭</t>
  </si>
  <si>
    <t>PPKM kapan kelarnya sikk. Bosan backup cabang orang terus. Pengen ke cabang sendiri</t>
  </si>
  <si>
    <t>@YouTube Ppkm woi</t>
  </si>
  <si>
    <t>Ppkm woi</t>
  </si>
  <si>
    <t>@shfly3424 Yaudah kesini lagi aja kan bisa poto" lagi nanti, eh tapi jangan dulu deh lagi ppkm :)</t>
  </si>
  <si>
    <t>Yaudah kesini lagi aja kan bisa poto" lagi nanti, eh tapi jangan dulu deh lagi ppkm</t>
  </si>
  <si>
    <t>Perpanjangan PPKM Bentuk Komitmen Pemerintah Utamakan Kesehatan Rakyat 
 Berjuang Lawan Pandemi
 https://t.co/8iI9qyE2ux</t>
  </si>
  <si>
    <t>Perpanjangan PPKM Bentuk Komitmen Pemerintah Utamakan Kesehatan Rakyat Berjuang Lawan Pandemi</t>
  </si>
  <si>
    <t>#AugustWish PPKM kelar</t>
  </si>
  <si>
    <t>PPKM kelar</t>
  </si>
  <si>
    <t>@Arya38263584 Jadi ngehalu liburan mulu..efek ppkm 🤣🤣 hadoohh</t>
  </si>
  <si>
    <t>Jadi ngehalu liburan mulu..efek ppkm hadoohh</t>
  </si>
  <si>
    <t>@Dewi37492961 @balipramuwisata Emg negara nenek moyang jokowi jg suruh PPKM ga kluar rumah tp rakyat ga d kasih makan, tp pajak dr rakyat doyan</t>
  </si>
  <si>
    <t>Emg negara nenek moyang jokowi jg suruh PPKM ga kluar rumah tp rakyat ga d kasih makan, tp pajak dr rakyat doyan</t>
  </si>
  <si>
    <t>Efek PPKM kali ini bener-bener MasyaAllah, di saat-saat penting~</t>
  </si>
  <si>
    <t>PPKM diperpanjang lg gk yaa??meresahkan nyet!!</t>
  </si>
  <si>
    <t>@detikcom Latihan yaa latihan aja.. knp musti pusing PPKM? PSSI spt organisasi ter larang saja takut buat latihan</t>
  </si>
  <si>
    <t>Latihan yaa latihan aja.. knp musti pusing PPKM? PSSI spt organisasi ter larang saja takut buat latihan</t>
  </si>
  <si>
    <t>@Jeongdimpless_ loh, emang ga ppkm😬</t>
  </si>
  <si>
    <t>loh, emang ga ppkm</t>
  </si>
  <si>
    <t>@bertanyarl tp kalo gue sih ga bakal dateng ya. Takut cororong dan masih ppkm juga. Masih ada nyawa ortu yg harus w jaga drpd takut sama omongan temen</t>
  </si>
  <si>
    <t>tp kalo gue sih ga bakal dateng ya. Takut cororong dan masih ppkm juga. Masih ada nyawa ortu yg harus w jaga drpd takut sama omongan temen</t>
  </si>
  <si>
    <t>H-1 PPKM ni, kira kira pakde mau ngumumin perpanjangan ndak yaa 🤔</t>
  </si>
  <si>
    <t>H-1 PPKM ni, kira kira pakde mau ngumumin perpanjangan ndak yaa</t>
  </si>
  <si>
    <t>Perpanjangan PPKM Bentuk Komitmen Pemerintah Utamakan Kesehatan Rakyat 
 Berjuang Lawan Pandemi
 https://t.co/qCUwLtWZLb</t>
  </si>
  <si>
    <t>@nonanonha Jgn jalan masih PPKM, mending dirumah kmu aja sambil nton netflix n makan martabak</t>
  </si>
  <si>
    <t>Jgn jalan masih PPKM, mending dirumah kmu aja sambil nton netflix n makan martabak</t>
  </si>
  <si>
    <t>Heran gw sama org2. Pada mau ppkm kelar tpi jalan prokes aja gk mau. Mau covid kelar tpi pke masker kgk, gk mau divaksin-_- aneh-_-</t>
  </si>
  <si>
    <t>Minggu yang Cerah, tetap semangat meski PPKM https://t.co/V2WgSyolM6</t>
  </si>
  <si>
    <t>Minggu yang Cerah, tetap semangat meski PPKM</t>
  </si>
  <si>
    <t>@__Sridiana_3va Medan juga sama Bu dokter lagi hujan... mudah mudahan tidak merambah kemari..Uda lagi PPKM juga sama dengan Jakarta</t>
  </si>
  <si>
    <t>Medan juga sama Bu dokter lagi hujan... mudah mudahan tidak merambah kemari..Uda lagi PPKM juga sama dengan Jakarta</t>
  </si>
  <si>
    <t>Kuy gas gas 🔥🔥 setelah sekian lama break karena PPKM dan latsar, mulai lagi tipis²,gpp full jalan dulu penyesuaian dulu 🤣 https://t.co/rOihrRPTjI</t>
  </si>
  <si>
    <t>Kuy gas gas setelah sekian lama break karena PPKM dan latsar, mulai lagi tipis,gpp full jalan dulu penyesuaian dulu</t>
  </si>
  <si>
    <t>@FerdinandHaean3 Lae turun lah kelapangan , gimana para pedagang menjerit karena ppkm , hukum dikebiri , UU di buat sesuka hati .. masih aja jilat sana sini</t>
  </si>
  <si>
    <t>Lae turun lah kelapangan , gimana para pedagang menjerit karena ppkm , hukum dikebiri , UU di buat sesuka hati .. masih aja jilat sana sini</t>
  </si>
  <si>
    <t>@dnyn_ee @RamliRizal Emang benar bg Pendi tapi beda pendapat anda dengan LBP yg sejak awal dukung psbb dan ppkm, vaksin jadi pilihan.</t>
  </si>
  <si>
    <t>Emang benar bg Pendi tapi beda pendapat anda dengan LBP yg sejak awal dukung psbb dan ppkm, vaksin jadi pilihan.</t>
  </si>
  <si>
    <t>@radjadjawa Saya juga gerah liat baliho2 dia di jalan, pandemi gini drpd uangnya buat pasang baliho mending buat kasih makan yg terdampak ppkm. Empatinya di pakai dikit dunk mpok</t>
  </si>
  <si>
    <t>Saya juga gerah liat baliho2 dia di jalan, pandemi gini drpd uangnya buat pasang baliho mending buat kasih makan yg terdampak ppkm. Empatinya di pakai dikit dunk mpok</t>
  </si>
  <si>
    <t>Kapolres Langgar PPKM, LBP sm JKW yg minta maaf udah bikin aturan PPKM https://t.co/AUU9mJ16SN</t>
  </si>
  <si>
    <t>Kapolres Langgar PPKM, LBP sm JKW yg minta maaf udah bikin aturan PPKM</t>
  </si>
  <si>
    <t>@irnapuspita_ ppkm dirumah sj</t>
  </si>
  <si>
    <t>ppkm dirumah sj</t>
  </si>
  <si>
    <t>Good morning guys, jangan lupa ibadah meski ppkm tapi hubungan sm Tuhan Yesus gaboleh ppkm juga👍🏻 gbu all</t>
  </si>
  <si>
    <t>Good morning guys, jangan lupa ibadah meski ppkm tapi hubungan sm Tuhan Yesus gaboleh ppkm juga gbu all</t>
  </si>
  <si>
    <t>-rek doain daganganku laris yaa, baru boleh jualan setelah ppkm terimakasih hv a nice day🌻</t>
  </si>
  <si>
    <t>-rek doain daganganku laris yaa, baru boleh jualan setelah ppkm terimakasih hv a nice day</t>
  </si>
  <si>
    <t>@rpyga_ @DavidPaulusplus @detikcom Lockdown, rakyat stay at home Pemerintah TANGGUNG JAWAB KEBUTUHAN RAKYAT SESUAI UU pasal 55 ayat 1, UU. No. 6/2018 ttg Kekarantinaan Kesehatan , Pasal 48 UU No. 24/2007 ttg Penanggulangan Bencana, Pasal 8 UU No. 4 1984 ttg Wabah Penyakit Menular! PPKM DASAR HUKUMNYA APA ? #NGOTAK</t>
  </si>
  <si>
    <t>Lockdown, rakyat stay at home Pemerintah TANGGUNG JAWAB KEBUTUHAN RAKYAT SESUAI UU pasal ayat , UU. No. /2018 ttg Kekarantinaan Kesehatan , Pasal UU No. /2007 ttg Penanggulangan Bencana, Pasal UU No. ttg Wabah Penyakit Menular! PPKM DASAR HUKUMNYA APA ?</t>
  </si>
  <si>
    <t>🌬️🍃 weekend kemana gays? ppkm udah kelar belum sih</t>
  </si>
  <si>
    <t>weekend kemana gays? ppkm udah kelar belum sih</t>
  </si>
  <si>
    <t>ppkm : pagi pagi kena mental</t>
  </si>
  <si>
    <t>@jek___ Gegara ppkm yg namanya agus sekarang gaada gratis makan di bulan agustus</t>
  </si>
  <si>
    <t>Gegara ppkm yg namanya agus sekarang gaada gratis makan di bulan agustus</t>
  </si>
  <si>
    <t>80% Masyarakat Indonesia mempunyai angsuran , minimalis angsuran motor 
 Ehh PPKM membuat gerak masyarakat di sekat lalu gimana cara bayar angsuran , 
 #PakdeKibarkanBenderaPutih https://t.co/IkUS9IxehC</t>
  </si>
  <si>
    <t>% Masyarakat Indonesia mempunyai angsuran , minimalis angsuran motor Ehh PPKM membuat gerak masyarakat di sekat lalu gimana cara bayar angsuran ,</t>
  </si>
  <si>
    <t>@tq3illl tpi jujur ya, ak org jogja keluar jam 10 tu seserem itu. sepi nyet nyet, marai rrrr.
 apalagi pas ppkm ini, kabeh lampu mati, peteng dedet 😭</t>
  </si>
  <si>
    <t>tpi jujur ya, ak org jogja keluar jam tu seserem itu. sepi nyet nyet, marai rrrr.apalagi pas ppkm ini, kabeh lampu mati, peteng dedet</t>
  </si>
  <si>
    <t>@parlinburman84 @audio_salsa @trikarsatambun @Agusreev @Delta_tofu @Lovebeereal01 @dhewie_official Sepait hidup ini PPKM 😭</t>
  </si>
  <si>
    <t>Sepait hidup ini PPKM</t>
  </si>
  <si>
    <t>Apakah PPKM Level 4 perlu diperpanjang? Dari sudut pandang kesehatan dan keselamatan nyawa rakyat Indonesia, tentu perlu diperpanjang. Bahkan kalau bisa lebih tegas, tidak dilonggar-longgarkan.
 Selamat pagi, salam sehat dan bahagia 🙏❤
 https://t.co/KxdNmQ09Io</t>
  </si>
  <si>
    <t>Apakah PPKM Level perlu diperpanjang? Dari sudut pandang kesehatan dan keselamatan nyawa rakyat Indonesia, tentu perlu diperpanjang. Bahkan kalau bisa lebih tegas, tidak dilonggar-longgarkan.Selamat pagi, salam sehat dan bahagia</t>
  </si>
  <si>
    <t>@nafiarf august wish: menyelesaikan UAS dengan baik, bisa travelling ke luar kota (kalo udah ga ppkm), makin rajin olahraga, ketemu keluarga dan temen2 yang udah lama ga ketemu, dan dapet rezeki yang berkah biar bisa giveaway lagi.</t>
  </si>
  <si>
    <t>august wish: menyelesaikan UAS dengan baik, bisa travelling ke luar kota (kalo udah ga ppkm), makin rajin olahraga, ketemu keluarga dan temen2 yang udah lama ga ketemu, dan dapet rezeki yang berkah biar bisa giveaway lagi.</t>
  </si>
  <si>
    <t>besok udh ga ppkm 😃😃</t>
  </si>
  <si>
    <t>besok udh ga ppkm</t>
  </si>
  <si>
    <t>@maswik_ Ppkm Bun 😭</t>
  </si>
  <si>
    <t>Ppkm Bun</t>
  </si>
  <si>
    <t>Mari kita dukung PPKM untuk meminimalisir penyebaran Covid-19 https://t.co/PcDtrd5dn1</t>
  </si>
  <si>
    <t>Mari kita dukung PPKM untuk meminimalisir penyebaran Covid-19</t>
  </si>
  <si>
    <t>Ppkm orang nya dirumah
 Pikiranya kemana mana 😨🤯</t>
  </si>
  <si>
    <t>Ppkm orang nya dirumahPikiranya kemana mana</t>
  </si>
  <si>
    <t>@ShopeeCare Selamat Pagi. Saya mau nanya. 
 Apakah dengan adanya PPKM Darurat Jawa-Bali akan mempengaruhi pengiriman barang???</t>
  </si>
  <si>
    <t>Selamat Pagi. Saya mau nanya. Apakah dengan adanya PPKM Darurat Jawa-Bali akan mempengaruhi pengiriman barang???</t>
  </si>
  <si>
    <t>Ke 12x nya ke tolak dan usaha ku sia sia selama 2021 ini 🙂🙏
 Sekian gas swasta, jujur sih kalo masi kalah saing sama yg gede gede an sumbangan gw masi kalah jauh, apalagi ortu kena dampak ppkm ga masalah mau kuliah PTN apa engga yg penting jadi manusia yg bermanfaat 😍 https://t.co/IWaZHG2Fxm</t>
  </si>
  <si>
    <t>Ke x nya ke tolak dan usaha ku sia sia selama ini Sekian gas swasta, jujur sih kalo masi kalah saing sama yg gede gede an sumbangan gw masi kalah jauh, apalagi ortu kena dampak ppkm ga masalah mau kuliah PTN apa engga yg penting jadi manusia yg bermanfaat</t>
  </si>
  <si>
    <t>@San1Mu @detikcom Ga kenal juga kan istilah PSBB, PPKM, level 1 - 4, PPKM darurat.</t>
  </si>
  <si>
    <t>Ga kenal juga kan istilah PSBB, PPKM, level - , PPKM darurat.</t>
  </si>
  <si>
    <t>@tempodotco Bukan soal Alergi dgn PPKM, masalahnya masy. kita itu pd umumnya banyak tidak punya saving/tabungan untuk menghadapi PPKM.Bila masy.jangan Alergi Ka BNPB perlu mencari solusinya juga, tdk se-mata2 pendekatan keamanan.Pendekatan hrs Social- security.</t>
  </si>
  <si>
    <t>Bukan soal Alergi dgn PPKM, masalahnya masy. kita itu pd umumnya banyak tidak punya saving/tabungan untuk menghadapi PPKM.Bila masy.jangan Alergi Ka BNPB perlu mencari solusinya juga, tdk se-mata2 pendekatan keamanan.Pendekatan hrs Social- security.</t>
  </si>
  <si>
    <t>@carisahmad PPKM
 Pernah 
 PDKT
 Kemudian
 Mengsedih</t>
  </si>
  <si>
    <t>PPKMPernah PDKTKemudianMengsedih</t>
  </si>
  <si>
    <t>@DangdutEmpire @detikcom Kalo gini logikanya ngapain juga ppkm ya kan...sesudah ppkm kembali red zone ya kan</t>
  </si>
  <si>
    <t>Kalo gini logikanya ngapain juga ppkm ya kan...sesudah ppkm kembali red zone ya kan</t>
  </si>
  <si>
    <t>Perpanjangan PPKM Bentuk Komitmen Pemerintah Utamakan Kesehatan Rakyat 
 https://t.co/pz8ObNv5ca Berjuang Lawan Pandemi</t>
  </si>
  <si>
    <t>@wardhana26_ Ppkm ditutup deh kayak nya</t>
  </si>
  <si>
    <t>Ppkm ditutup deh kayak nya</t>
  </si>
  <si>
    <t>semoga PPKM gak diperpanjang lagi, biar bisa duduk dimcd sendirian buka laptop sok sokan kaya orang sibuk😌 https://t.co/Be53ENz3m7</t>
  </si>
  <si>
    <t>semoga PPKM gak diperpanjang lagi, biar bisa duduk dimcd sendirian buka laptop sok sokan kaya orang sibuk</t>
  </si>
  <si>
    <t>@jokowi Tapi Jangan Lupa Dengan Rakyat Kecil nya Atau Pejuang Receh Seperti Saya ini Pak. Semenjak Adanya Lockdown &amp;amp; PPKM kita tidak bisa menafkahi keluarga tempat usaha bangkrut tabungan habis. Dan untuk bayar cicilan perbulan hanya bisa ngutang ketetangga. Ruwet Pak</t>
  </si>
  <si>
    <t>Tapi Jangan Lupa Dengan Rakyat Kecil nya Atau Pejuang Receh Seperti Saya ini Pak. Semenjak Adanya Lockdown &amp;amp; PPKM kita tidak bisa menafkahi keluarga tempat usaha bangkrut tabungan habis. Dan untuk bayar cicilan perbulan hanya bisa ngutang ketetangga. Ruwet Pak</t>
  </si>
  <si>
    <t>@bertanyarl Alhamdulillah ya, tp gegara corona penelitian skripsiku kesandung ppkm 🙃 nggak bisa ambil data karena nggak bisa ngelab 🙃</t>
  </si>
  <si>
    <t>Alhamdulillah ya, tp gegara corona penelitian skripsiku kesandung ppkm nggak bisa ambil data karena nggak bisa ngelab</t>
  </si>
  <si>
    <t>@Daeng_Info Kira2 Ppkm makassar lanjut tidak daeng??</t>
  </si>
  <si>
    <t>Kira2 Ppkm makassar lanjut tidak daeng??</t>
  </si>
  <si>
    <t>Aku gak sampe 30 buku deh sebulan. Paling 15-20 buku aja. Itupun karena kemaren ppkm yang pertama terus aku di rumah aja, akhirnya bisa one day one book. Paling lama nyelesain 2 hari untuk 3 buku 😅😅 https://t.co/rWrFX47Y5T</t>
  </si>
  <si>
    <t>Aku gak sampe buku deh sebulan. Paling $NUMBER$ buku aja. Itupun karena kemaren ppkm yang pertama terus aku di rumah aja, akhirnya bisa one day one book. Paling lama nyelesain hari untuk buku</t>
  </si>
  <si>
    <t>Udah lama ga sarapan mie goreng yang famous ..ternyata emang ngonah...wkwkwkw...
 sok tebak ppkm di perpanjang ga😂😂😂 https://t.co/6nFBkZgg33</t>
  </si>
  <si>
    <t>Udah lama ga sarapan mie goreng yang famous ..ternyata emang ngonah...wkwkwkw...sok tebak ppkm di perpanjang ga</t>
  </si>
  <si>
    <t>@dspr_wtf Warkop "setan kredit masa PPKM"</t>
  </si>
  <si>
    <t>Warkop "setan kredit masa PPKM"</t>
  </si>
  <si>
    <t>@leo_edw Aman kang hny dompet yg gk aman Krn PPKM 😭😭</t>
  </si>
  <si>
    <t>Aman kang hny dompet yg gk aman Krn PPKM</t>
  </si>
  <si>
    <t>@_Fuckyouwaon Iya nih astaga kangen bgt! kangen jalan2 pagi2 gt disana sambil nyari bubur 😭😭😭
 PPKM kapan beresnya help 😭</t>
  </si>
  <si>
    <t>Iya nih astaga kangen bgt! kangen jalan2 pagi2 gt disana sambil nyari bubur PPKM kapan beresnya help</t>
  </si>
  <si>
    <t>Manusia hanya bisa berencana, tapi ppkm yang menentukan segalanya.</t>
  </si>
  <si>
    <t>@Wirastark lg ppkm</t>
  </si>
  <si>
    <t>lg ppkm</t>
  </si>
  <si>
    <t>Assalamualaikum wr wb
 Met Pagi Warga TL met hari minggu utk semua yg kristiani selamat beribadah ke gereja secara virtual krn msh PPKM tetap Semangat dg MERAH PUTIH✊✊✊ https://t.co/xxVyMeXwqc</t>
  </si>
  <si>
    <t>Assalamualaikum wr wbMet Pagi Warga TL met hari minggu utk semua yg kristiani selamat beribadah ke gereja secara virtual krn msh PPKM tetap Semangat dg MERAH PUTIH</t>
  </si>
  <si>
    <t>@ArnoldPoernomo ppkm sep dirumah aja sampe buluk</t>
  </si>
  <si>
    <t>ppkm sep dirumah aja sampe buluk</t>
  </si>
  <si>
    <t>Alesan gue males:
 1. Masih ppkm
 2. Pasti disuru balik sama satpam kampus
 3. Pasti ngaret 
 4. Hari minggu</t>
  </si>
  <si>
    <t>Alesan gue males:1. Masih ppkm2. Pasti disuru balik sama satpam kampus3. Pasti ngaret . Hari minggu</t>
  </si>
  <si>
    <t>Ppkm &amp;gt; pokoknya ppasrah kalo merem 😀</t>
  </si>
  <si>
    <t>Ppkm &amp;gt; pokoknya ppasrah kalo merem</t>
  </si>
  <si>
    <t>@amelzefanya Pergi jngan jauh" lagi PPKM</t>
  </si>
  <si>
    <t>Pergi jngan jauh" lagi PPKM</t>
  </si>
  <si>
    <t>Ppkm udh ke geprek bensu aja menuju lvl 5</t>
  </si>
  <si>
    <t>Ppkm udh ke geprek bensu aja menuju lvl</t>
  </si>
  <si>
    <t>@MichaelJohane20 @mohmahfudmd Bukan hanya dia. Selama ppkm 4 ini banyak kok yg berani gelar hajatan. Masa semua mau dilaporkan?</t>
  </si>
  <si>
    <t>Bukan hanya dia. Selama ppkm ini banyak kok yg berani gelar hajatan. Masa semua mau dilaporkan?</t>
  </si>
  <si>
    <t>Hai Juli, terimakasih ya PPKM nya😌</t>
  </si>
  <si>
    <t>Hai Juli, terimakasih ya PPKM nya</t>
  </si>
  <si>
    <t>smoga besok beneran ppkm slesai</t>
  </si>
  <si>
    <t>Takutnya ntr demokrasi udh engga dianggap lagi
 Jgn lah demonstrasi unjuk rasa diframing begini dn begitu
 Pemerintah mmg perlu kritik. Ini kondisi psbb, ppkm, dll yg ga jelas membuat rakyat menderita loh. Pdhl udh ada aturan karantina kesehatan tp g dipake https://t.co/d2H3M0NIn7</t>
  </si>
  <si>
    <t>Takutnya ntr demokrasi udh engga dianggap lagiJgn lah demonstrasi unjuk rasa diframing begini dn begituPemerintah mmg perlu kritik. Ini kondisi psbb, ppkm, dll yg ga jelas membuat rakyat menderita loh. Pdhl udh ada aturan karantina kesehatan tp g dipake</t>
  </si>
  <si>
    <t>@RiskWorId Ngapain aja selama PPKM
 me:</t>
  </si>
  <si>
    <t>Ngapain aja selama PPKMme:</t>
  </si>
  <si>
    <t>@RachlanNashidik Pemerintah menolak lockdown krn PPKM saja ditolak rakyat adlh logical fallacy tingkat tinggi. Silogisme premisnya kacau. Seharusnya dipahami dl 2 hal; lockdown yg benar versi UU kekarantinaan kesehatan 2018 dn aturan PPKM.</t>
  </si>
  <si>
    <t>Pemerintah menolak lockdown krn PPKM saja ditolak rakyat adlh logical fallacy tingkat tinggi. Silogisme premisnya kacau. Seharusnya dipahami dl hal; lockdown yg benar versi UU kekarantinaan kesehatan dn aturan PPKM.</t>
  </si>
  <si>
    <t>@ArmiSatria8 @RachlanNashidik Mereka menjerit bukan karena PPKMnya Ferguso tapi karena pemerintah ngk menjalankan amanat UU coba kalau selama PPKM pemerintah cukupi kebutuhan hidupnya mau PPKM seumur hidup juga mereka pasti patuh untuk tetap stay at home, UU dibuat buat pedoman hidup bernegara ferguso</t>
  </si>
  <si>
    <t>Mereka menjerit bukan karena PPKMnya Ferguso tapi karena pemerintah ngk menjalankan amanat UU coba kalau selama PPKM pemerintah cukupi kebutuhan hidupnya mau PPKM seumur hidup juga mereka pasti patuh untuk tetap stay at home, UU dibuat buat pedoman hidup bernegara ferguso</t>
  </si>
  <si>
    <t>Iri bgt udh pada bisa konser gini, di indo masih ppkm 🤧 https://t.co/WSc6RvTqRZ</t>
  </si>
  <si>
    <t>Iri bgt udh pada bisa konser gini, di indo masih ppkm</t>
  </si>
  <si>
    <t>@hereisnida @AREAJULID aku jarang bgt sih keluar rumah ditambah lg ppkm jg. tp kalo darurat yg harus keluar rumah pasti pulangnya sekitar isya gtu. huhu btw makasih banyak yaa doanyaa aamiin. semoga doa baik berbalik ke kamu dan keluarga.</t>
  </si>
  <si>
    <t>aku jarang bgt sih keluar rumah ditambah lg ppkm jg. tp kalo darurat yg harus keluar rumah pasti pulangnya sekitar isya gtu. huhu btw makasih banyak yaa doanyaa aamiin. semoga doa baik berbalik ke kamu dan keluarga.</t>
  </si>
  <si>
    <t>@Rahmadini_01 Ppkm din</t>
  </si>
  <si>
    <t>Ppkm din</t>
  </si>
  <si>
    <t>@Anyaselalubenar Ppkm, ntar ya klo ppkm dah kelar gw kerumah</t>
  </si>
  <si>
    <t>Ppkm, ntar ya klo ppkm dah kelar gw kerumah</t>
  </si>
  <si>
    <t>@lejef @bennydjuwanda @FerdinandHaean3 @RachlanNashidik baru ppkm semi lockdown aj sudah pada jerit</t>
  </si>
  <si>
    <t>baru ppkm semi lockdown aj sudah pada jerit</t>
  </si>
  <si>
    <t>ppkm : pagi pagi kita meleyot</t>
  </si>
  <si>
    <t>PPKM dilanjut kelebih tinggi ngak</t>
  </si>
  <si>
    <t>@bertanyarl bukannya lagi ppkm ya nder</t>
  </si>
  <si>
    <t>bukannya lagi ppkm ya nder</t>
  </si>
  <si>
    <t>Hiburan dulu gaes biar gak tegang juga agar Imun gak ngedrop selama PPKM level 4 .. 
 😁 https://t.co/Tskdy92Ri6</t>
  </si>
  <si>
    <t>Hiburan dulu gaes biar gak tegang juga agar Imun gak ngedrop selama PPKM level ..</t>
  </si>
  <si>
    <t>@panca66 Jbs ppkm nanti jadi PMP</t>
  </si>
  <si>
    <t>Jbs ppkm nanti jadi PMP</t>
  </si>
  <si>
    <t>Hanya ada di Indonesia kaum yg minta lockdown tp takut mati karena PPKM..... goblok tenan kan? 🤣🤣🤣</t>
  </si>
  <si>
    <t>Hanya ada di Indonesia kaum yg minta lockdown tp takut mati karena PPKM..... goblok tenan kan?</t>
  </si>
  <si>
    <t>Demi Keselamatan Rakyat, Wakil Ketua DPR Dukung PPKM Diperpanjang. Berjuang Lawan Pandemi
 https://t.co/1z6D8cHyO7</t>
  </si>
  <si>
    <t>Demi Keselamatan Rakyat, Wakil Ketua DPR Dukung PPKM Diperpanjang. Berjuang Lawan Pandemi</t>
  </si>
  <si>
    <t>@MELONeIy besok katanya selesai. orangnya gak buka selama ppkm ni 😭</t>
  </si>
  <si>
    <t>besok katanya selesai. orangnya gak buka selama ppkm ni</t>
  </si>
  <si>
    <t>@febbYsquish Males PPKM ,,, Takut disemprot damkar</t>
  </si>
  <si>
    <t>Males PPKM ,,, Takut disemprot damkar</t>
  </si>
  <si>
    <t>Setuju PPKM Diperpanjang, Dasco: Demi Keselamatan Rakyat. Berjuang Lawan Pandemi
 https://t.co/Ic5qZUmCrD</t>
  </si>
  <si>
    <t>Setuju PPKM Diperpanjang, Dasco: Demi Keselamatan Rakyat. Berjuang Lawan Pandemi</t>
  </si>
  <si>
    <t>@musniumar Lockdown itu mematikan covid secara langsung melalui sinar matahari dan mencegah covid dpt inangnya.vaksin mematikan covid dalam tubuh.ppkm ,pelan2 kuman menyebar,alias slow release.</t>
  </si>
  <si>
    <t>Lockdown itu mematikan covid secara langsung melalui sinar matahari dan mencegah covid dpt inangnya.vaksin mematikan covid dalam tubuh.ppkm ,pelan2 kuman menyebar,alias slow release.</t>
  </si>
  <si>
    <t>Dukung Perpanjangan PPKM Darurat, PBNU: Keputusan Cermat. Berjuang Lawan Pandemi
 https://t.co/7Sj08gm1Fl</t>
  </si>
  <si>
    <t>Dukung Perpanjangan PPKM Darurat, PBNU: Keputusan Cermat. Berjuang Lawan Pandemi</t>
  </si>
  <si>
    <t>Perpanjangan PPKM Bentuk Komitmen Pemerintah Utamakan Kesehatan Rakyat. Berjuang Lawan Pandemi
 https://t.co/6mdcSqkJwi</t>
  </si>
  <si>
    <t>Perpanjangan PPKM Bentuk Komitmen Pemerintah Utamakan Kesehatan Rakyat. Berjuang Lawan Pandemi</t>
  </si>
  <si>
    <t>@dugonginluv Lama banget harus nunggu ppkm selesai :(</t>
  </si>
  <si>
    <t>Lama banget harus nunggu ppkm selesai</t>
  </si>
  <si>
    <t>lagi ppkm begini msh ada aja event?</t>
  </si>
  <si>
    <t>Pak Presiden,
 Esok hari, PPKM sudah habis waktunya. Covid belum juga habis. Walau sudah melandai, kasus baru msh ada saja dan akan terus ada. Tak berhenti
 Solusinya; ganti semua tim penanggulangan Covid pusat sampai provinsi. Mrk sdh ditolak masy
 Minta Kemensos kendalikan!</t>
  </si>
  <si>
    <t>Pak Presiden,Esok hari, PPKM sudah habis waktunya. Covid belum juga habis. Walau sudah melandai, kasus baru msh ada saja dan akan terus ada. Tak berhentiSolusinya; ganti semua tim penanggulangan Covid pusat sampai provinsi. Mrk sdh ditolak masyMinta Kemensos kendalikan!</t>
  </si>
  <si>
    <t>ppkm plis jangan diperpanjang ya, mingdep aku pengen beli udang crispynya tupal 🥺</t>
  </si>
  <si>
    <t>ppkm plis jangan diperpanjang ya, mingdep aku pengen beli udang crispynya tupal</t>
  </si>
  <si>
    <t>@IvoneHall Selamat hari Minggu mbak Vi.
 Di sini belum bisa gereja masih PPKM</t>
  </si>
  <si>
    <t>Selamat hari Minggu mbak Vi.Di sini belum bisa gereja masih PPKM</t>
  </si>
  <si>
    <t>knp libur semester pas ppkm gini si? bosen bgt, mo kemana” jg gabisa</t>
  </si>
  <si>
    <t>knp libur semester pas ppkm gini si? bosen bgt, mo kemana jg gabisa</t>
  </si>
  <si>
    <t>Semoga ppkm nggak lanjut ;)</t>
  </si>
  <si>
    <t>Semoga ppkm nggak lanjut</t>
  </si>
  <si>
    <t>Selamat pagi 💋💋 sehat sllu ya smua 😘
 Selemat hri mnggu dri si montok 😊😊☺️☺️ 
 Smoga ppkm tdk naik level ya agar kita bisa cari cuan 🙏🙏 https://t.co/k0VhPK9Uhu</t>
  </si>
  <si>
    <t>Selamat pagi sehat sllu ya smua Selemat hri mnggu dri si montok Smoga ppkm tdk naik level ya agar kita bisa cari cuan</t>
  </si>
  <si>
    <t>@ArmiSatria8 @RachlanNashidik Terus apa beda PPKM sama Lockdown cing ? nih gue kasi tau sama elo ya .. selama lockdown pemerintah harus biayai kebutuhan rakyatnya karna ada didalam UU dan PPKM gak biayai rakyatnya tapi gak boleh kemana mana .. apa elo gak perlu uang utk makan misalnya.</t>
  </si>
  <si>
    <t>Terus apa beda PPKM sama Lockdown cing ? nih gue kasi tau sama elo ya .. selama lockdown pemerintah harus biayai kebutuhan rakyatnya karna ada didalam UU dan PPKM gak biayai rakyatnya tapi gak boleh kemana mana .. apa elo gak perlu uang utk makan misalnya.</t>
  </si>
  <si>
    <t>@geloraco Ini kasus kematian tinggi juga karena salah kebijakan tapi tak mau mengakui,PPKM darurat ini salah kebijakan malah membuat kasus kematian melambung tinggi</t>
  </si>
  <si>
    <t>Ini kasus kematian tinggi juga karena salah kebijakan tapi tak mau mengakui,PPKM darurat ini salah kebijakan malah membuat kasus kematian melambung tinggi</t>
  </si>
  <si>
    <t>PPKM sebaiknya dihapus saja karena siswa sudah bosan belajar daring..</t>
  </si>
  <si>
    <t>@bertanyarl Engga, lagi ppkm gini nder. Aku aja kemaren sama kawan² ku setuju buat gausah Dateng. Mengurangi di kerumunan orang</t>
  </si>
  <si>
    <t>Engga, lagi ppkm gini nder. Aku aja kemaren sama kawan ku setuju buat gausah Dateng. Mengurangi di kerumunan orang</t>
  </si>
  <si>
    <t>@tuqyul Efek ppkm ya. Orang dagabg tutup lebih awal :”</t>
  </si>
  <si>
    <t>Efek ppkm ya. Orang dagabg tutup lebih awal :</t>
  </si>
  <si>
    <t>PPKM Lanjut Atau Tidak? Covid-19 Masih Mengancam Tidak boleh Lengah - https://t.co/LDQxt1A6qD</t>
  </si>
  <si>
    <t>PPKM Lanjut Atau Tidak? Covid-19 Masih Mengancam Tidak boleh Lengah -</t>
  </si>
  <si>
    <t>@lalavarr Kalo habis ppkm gimana hehe</t>
  </si>
  <si>
    <t>Kalo habis ppkm gimana hehe</t>
  </si>
  <si>
    <t>Ppkm, blog ! https://t.co/ZIK11zmJcG</t>
  </si>
  <si>
    <t>Ppkm, blog !</t>
  </si>
  <si>
    <t>@mwalsshh Setelah ppkm</t>
  </si>
  <si>
    <t>Setelah ppkm</t>
  </si>
  <si>
    <t>Sehari jelang berakhirnya PPKM level 4 Pulau Jawa dan Bali. Bagi anda yg punya opini, pendapat, saran, unek-unek terkait PPKM sekarang, hari ini waktu terbaik untuk mengemukakannya pada pemerintah Presiden @jokowi sebelum diputuskan besok apa akan diakhiri atau diperpanjang</t>
  </si>
  <si>
    <t>Sehari jelang berakhirnya PPKM level Pulau Jawa dan Bali. Bagi anda yg punya opini, pendapat, saran, unek-unek terkait PPKM sekarang, hari ini waktu terbaik untuk mengemukakannya pada pemerintah Presiden sebelum diputuskan besok apa akan diakhiri atau diperpanjang</t>
  </si>
  <si>
    <t>Memang tak patuh konstitusi. Harusnya bila PSBB tidak mampu mengatasi Pandemi, Negara melakukan Karantina Wilayah. Ini kata UU Kekarantinaan. Mungkin Pak @jokowi gak baca UUnya. Di UU Kekarantinaan tidak ada aturan PPKM Mikro, Darurat, Level I-IV. Dasar hukumnya gak jelas. https://t.co/UWXBYI0Xhb</t>
  </si>
  <si>
    <t>Memang tak patuh konstitusi. Harusnya bila PSBB tidak mampu mengatasi Pandemi, Negara melakukan Karantina Wilayah. Ini kata UU Kekarantinaan. Mungkin Pak gak baca UUnya. Di UU Kekarantinaan tidak ada aturan PPKM Mikro, Darurat, Level I-IV. Dasar hukumnya gak jelas.</t>
  </si>
  <si>
    <t>Besok udah ngga PPKM kan? Iya kan? Please iya. Capek tiap ngantor mau ke mega kuningan doang muternya mesti sampe kebon jeruk 🥲</t>
  </si>
  <si>
    <t>Besok udah ngga PPKM kan? Iya kan? Please iya. Capek tiap ngantor mau ke mega kuningan doang muternya mesti sampe kebon jeruk</t>
  </si>
  <si>
    <t>@Brataasmara Masa PPKM yg bisa traveling emang cuma pikiran 😂</t>
  </si>
  <si>
    <t>Masa PPKM yg bisa traveling emang cuma pikiran</t>
  </si>
  <si>
    <t>@kembarandino Lagi ppkm</t>
  </si>
  <si>
    <t>Menilai "lock down" Lbh baik ketimbang PPKM. Sayangnya disampaikan oleh org yg wl tdk ngantor, tetap trm Rp 100 jt/bln.nya. https://t.co/nMlQK6qMnU</t>
  </si>
  <si>
    <t>Menilai "lock down" Lbh baik ketimbang PPKM. Sayangnya disampaikan oleh org yg wl tdk ngantor, tetap trm Rp jt/bln.nya.</t>
  </si>
  <si>
    <t>@maldhaddad Siap. Kapan kapan main ke jogja kalau dah gk ppkm.</t>
  </si>
  <si>
    <t>Siap. Kapan kapan main ke jogja kalau dah gk ppkm.</t>
  </si>
  <si>
    <t>@sourschuler sebelumnya jug terimakasih karna kaka udah adain GA ini, di tengah ppkm dan pandemi ini bener" gaada pemasukan karna sekolah dri rumah, mau minta ortu juga sama lagi banyak pengeluaran, pliss kak, makasi kak sebelumnya</t>
  </si>
  <si>
    <t>sebelumnya jug terimakasih karna kaka udah adain GA ini, di tengah ppkm dan pandemi ini bener" gaada pemasukan karna sekolah dri rumah, mau minta ortu juga sama lagi banyak pengeluaran, pliss kak, makasi kak sebelumnya</t>
  </si>
  <si>
    <t>ppkm selesai mau beli batagor 💀</t>
  </si>
  <si>
    <t>ppkm selesai mau beli batagor</t>
  </si>
  <si>
    <t>@nitarose38 Sampe skarang gw masih gak ngerti, gunanya penyekatan jalan pas PPKM buat apaan ? 😳😳 @nitarose38 @VICE_ID</t>
  </si>
  <si>
    <t>Sampe skarang gw masih gak ngerti, gunanya penyekatan jalan pas PPKM buat apaan ?</t>
  </si>
  <si>
    <t>@ryanffebrianto Karena lagi PPKM</t>
  </si>
  <si>
    <t>Karena lagi PPKM</t>
  </si>
  <si>
    <t>@UNSfess_ Kyk ada perpanjangan lgi jdi ppkm level up hot jeletot</t>
  </si>
  <si>
    <t>Kyk ada perpanjangan lgi jdi ppkm level up hot jeletot</t>
  </si>
  <si>
    <t>@RachlanNashidik @ArmiSatria8 orang parpol kok dungu gini😎😎
 Lockdonw ma PPKM aje kagak bisa bedain bacot doank gede</t>
  </si>
  <si>
    <t>orang parpol kok dungu giniLockdonw ma PPKM aje kagak bisa bedain bacot doank gede</t>
  </si>
  <si>
    <t>@3CareIndonesia Store nya tutup kak karena ppkm. Bisa dibantu ?</t>
  </si>
  <si>
    <t>Store nya tutup kak karena ppkm. Bisa dibantu ?</t>
  </si>
  <si>
    <t>@nadiaaini4 Mau ngopi juga ga bisa ye PPKM</t>
  </si>
  <si>
    <t>Mau ngopi juga ga bisa ye PPKM</t>
  </si>
  <si>
    <t>besok dah hari terakhir ppkm aja kalender gblok</t>
  </si>
  <si>
    <t>@OposisiCerdas Emang rakyat bodoh 
 Ya tentu saja pilih lockdown lah
 Kalau lockdown yg biayai rakyatnya kan Negara. Kalau PPKM level 4 itu namanya gantung rakyat.</t>
  </si>
  <si>
    <t>Emang rakyat bodoh Ya tentu saja pilih lockdown lahKalau lockdown yg biayai rakyatnya kan Negara. Kalau PPKM level itu namanya gantung rakyat.</t>
  </si>
  <si>
    <t>Gua kira udah masuk musim panas, baru mau dagang air ujan, eh kena PPKM dari tuhan di usir pake ujan beneran.</t>
  </si>
  <si>
    <t>@EsSusuMelon Iya gitu... Asli nya hbs ppkm selesai aku berangkat ke jkt tapi disuruh nunggu sepupu nikah</t>
  </si>
  <si>
    <t>Iya gitu... Asli nya hbs ppkm selesai aku berangkat ke jkt tapi disuruh nunggu sepupu nikah</t>
  </si>
  <si>
    <t>#Opini — Hampir sebulan PPKM belum memberi harapan menuju babak akhir pandemi di Indonesia. Merasa kalang kabut menyikapi pandemi Covid-19, Presiden rupanya ingin masyarakat melupakan seruannya untuk hidup damai bersama Corona. Kini pemerintah tak berdaya, berharap penuh https://t.co/yJwWIOX9Yh</t>
  </si>
  <si>
    <t>Hampir sebulan PPKM belum memberi harapan menuju babak akhir pandemi di Indonesia. Merasa kalang kabut menyikapi pandemi Covid-19, Presiden rupanya ingin masyarakat melupakan seruannya untuk hidup damai bersama Corona. Kini pemerintah tak berdaya, berharap penuh</t>
  </si>
  <si>
    <t>@bos_sir Lockdown = Biaya ditanggung Pemerintah
 PPKM = Biaya ditanggung sendiri
 Negeri kita terkesan enggan mengeluarkan biaya. Prinsipnya kalau bisa untung, persetan dengan manusia🤣</t>
  </si>
  <si>
    <t>Lockdown = Biaya ditanggung PemerintahPPKM = Biaya ditanggung sendiriNegeri kita terkesan enggan mengeluarkan biaya. Prinsipnya kalau bisa untung, persetan dengan manusia</t>
  </si>
  <si>
    <t>@randhaisrami Dimasa PPKM udah ga kenal siang malam lagi. Semua sama aja, 24 jam nya di pake buat rebahan juga</t>
  </si>
  <si>
    <t>Dimasa PPKM udah ga kenal siang malam lagi. Semua sama aja, jam nya di pake buat rebahan juga</t>
  </si>
  <si>
    <t>@YogiAnandia "ppkm diperpanjang" ~Katanya</t>
  </si>
  <si>
    <t>"ppkm diperpanjang" ~Katanya</t>
  </si>
  <si>
    <t>@Kilo11_40N74W @4nneve @Wedhus999 Tidak merubah fakta:
 Semakin BEBAL semakin panjang PPKM nya.
 Ini yg harusnya kamu SOROTI.
 Negara rakyat bintang 3 tidak bisa menuntut fasilitas bintang 5.
 Seluruh dunia kena pandemi.
 MANA NYINYIRMU UNTUK SEBAGIAN RAKYAT YG BEBAL?
 Otak ada?
 Jangan KHIANATI BANGSA-MU</t>
  </si>
  <si>
    <t>Tidak merubah faktaemakin BEBAL semakin panjang PPKM nya.Ini yg harusnya kamu SOROTI.Negara rakyat bintang tidak bisa menuntut fasilitas bintang .Seluruh dunia kena pandemi.MANA NYINYIRMU UNTUK SEBAGIAN RAKYAT YG BEBAL?Otak ada?Jangan KHIANATI BANGSA-MU</t>
  </si>
  <si>
    <t>Berarti hari ini ppkm kelar?</t>
  </si>
  <si>
    <t>@meispaw Nyewa lapangan yok abis ppkm main badminton</t>
  </si>
  <si>
    <t>Nyewa lapangan yok abis ppkm main badminton</t>
  </si>
  <si>
    <t>yg jomblo pasti seneng karna ini ppkm, dengan begitu kalian ga perlu sakit hati liat konten uwwu weekend bareng pacar</t>
  </si>
  <si>
    <t>Yusril menilai landasan hukum pemerintah dlm penanganan COVID-19 msh bermasalah. Contoh PPKM level 3-4 yg hanya diatur melalui Instruksi Mendagri. Begitu pula terlibatnya Menteri BUMN &amp;amp; Menko Marves dlm penanganan COVID-19 yg dinilai tak sesuai tugas. https://t.co/XzLvMzcHXn</t>
  </si>
  <si>
    <t>Yusril menilai landasan hukum pemerintah dlm penanganan COVID-19 msh bermasalah. Contoh PPKM level $NUMBER$ yg hanya diatur melalui Instruksi Mendagri. Begitu pula terlibatnya Menteri BUMN &amp;amp; Menko Marves dlm penanganan COVID-19 yg dinilai tak sesuai tugas.</t>
  </si>
  <si>
    <t>Semoga rekening g ikut ppkm darurat. https://t.co/S1s3IdUqC1</t>
  </si>
  <si>
    <t>Semoga rekening g ikut ppkm darurat.</t>
  </si>
  <si>
    <t>Sampai kapanpun kalau sebuah kebijakan tidak disertai dengan sangsi hukum akan terus penanggulangan covid-19 ini tidak akan berhasil maksimal. Apalagi disertai dengan perilaku setiap pribadi tidak mengindahkan PPKM...</t>
  </si>
  <si>
    <t>ini gila si banyak bgt orang yang nonton..
 dulu pas smp pernah ikut lomba ke smd terus penginapan pas banget di daerah itu, bayangin jam 4/5 subuh, gue sama temen segrup lagi siap² sekalian latihan, mereka masih ribut suara motor lagi balap liar, tp anehnya ini lagi masa ppkm loh https://t.co/auyBLjKj5u</t>
  </si>
  <si>
    <t>ini gila si banyak bgt orang yang nonton..dulu pas smp pernah ikut lomba ke smd terus penginapan pas banget di daerah itu, bayangin jam /5 subuh, gue sama temen segrup lagi siap sekalian latihan, mereka masih ribut suara motor lagi balap liar, tp anehnya ini lagi masa ppkm loh</t>
  </si>
  <si>
    <t>Selamat pagi🙂🌈 kaum ldr,
 semoga bertemu di tgl 3 ya, kan udah ppkm nya🥲🤣 https://t.co/HcFSkVsgp4</t>
  </si>
  <si>
    <t>Selamat pagi kaum ldr,semoga bertemu di tgl ya, kan udah ppkm nya</t>
  </si>
  <si>
    <t>@sbyfess Kangen night ride disurabaya gak min? Aku kangen banget. Semoga ppkm cepet selesai, dan coronice juga cepet selesai 🥰😭 https://t.co/JutpirLK3z</t>
  </si>
  <si>
    <t>Kangen night ride disurabaya gak min? Aku kangen banget. Semoga ppkm cepet selesai, dan coronice juga cepet selesai</t>
  </si>
  <si>
    <t>udah lama ga dengar didikan subuh kok tiba² hari ini ada didikan subuh? lagi ppkm pula 😮</t>
  </si>
  <si>
    <t>udah lama ga dengar didikan subuh kok tiba hari ini ada didikan subuh? lagi ppkm pula</t>
  </si>
  <si>
    <t>Semoga memang tetap stabil sih meski PPKM https://t.co/3ZuFM0AQPZ</t>
  </si>
  <si>
    <t>Semoga memang tetap stabil sih meski PPKM</t>
  </si>
  <si>
    <t>@nopaltwt Iyaaa dari sd udah radang amandel cuma baru2 ini keluar batunya. Mau ke tht tapi takut lagi ppkm gini :(</t>
  </si>
  <si>
    <t>Iyaaa dari sd udah radang amandel cuma baru2 ini keluar batunya. Mau ke tht tapi takut lagi ppkm gini</t>
  </si>
  <si>
    <t>Motif iseng, abg bawa mobil pagi2 buta, keluar pas lagi PPKM .... ?! 🤦‍♀️🤦‍♀️🤦‍♀️🤦‍♀️ https://t.co/OYtegkRLya</t>
  </si>
  <si>
    <t>Motif iseng, abg bawa mobil pagi2 buta, keluar pas lagi PPKM .... ?!</t>
  </si>
  <si>
    <t>@ikofurqonmas Yah.. BPK gak pamitan dlu c sma BPK ppkm.. mau nemuin ssorg sbntr aja gt..wkwkwk</t>
  </si>
  <si>
    <t>Yah.. BPK gak pamitan dlu c sma BPK ppkm.. mau nemuin ssorg sbntr aja gt..wkwkwk</t>
  </si>
  <si>
    <t>2020 : PSBB
 2021 : PPKM
 2022 : MPLS</t>
  </si>
  <si>
    <t>: PSBB2021 : PPKM2022 : MPLS</t>
  </si>
  <si>
    <t>PPKM : Pernah peduli kemudian melupakan</t>
  </si>
  <si>
    <t>Woi agustus, ada menu ppkm pedas gila gak?</t>
  </si>
  <si>
    <t>@San1Mu @detikcom Emang sudah 2 tahun ini, PSBB, PPKM yg berjilid jilid itu apa, bukan kategori miskin saja yg megap megap, ini semua sudah tumbang bro, dan tidak jelas arahnya kemana,..</t>
  </si>
  <si>
    <t>Emang sudah tahun ini, PSBB, PPKM yg berjilid jilid itu apa, bukan kategori miskin saja yg megap megap, ini semua sudah tumbang bro, dan tidak jelas arahnya kemana,..</t>
  </si>
  <si>
    <t>@alisyarief @jokowi Besok hari (020821) PPKM akan berganti nama lagi kah. Pusing rezim mikirin nama kegiatan bukan isi kegiatan.</t>
  </si>
  <si>
    <t>Besok hari (020821) PPKM akan berganti nama lagi kah. Pusing rezim mikirin nama kegiatan bukan isi kegiatan.</t>
  </si>
  <si>
    <t>@tropicanotslim ih sama atuh, ppkm bikin aku jadi sering mimpi. paling seru mimpi dikejar zombie.</t>
  </si>
  <si>
    <t>ih sama atuh, ppkm bikin aku jadi sering mimpi. paling seru mimpi dikejar zombie.</t>
  </si>
  <si>
    <t>@tempodotco kita tidak elergi psbb ,PPKm ,lock down pak . pertanyaan negara yg buat elergi kita . wong hidup kita ngk di jamin sesuai UUD</t>
  </si>
  <si>
    <t>kita tidak elergi psbb ,PPKm ,lock down pak . pertanyaan negara yg buat elergi kita . wong hidup kita ngk di jamin sesuai UUD</t>
  </si>
  <si>
    <t>@convomf Skrnggg mana mungkin bisa karna ppkm</t>
  </si>
  <si>
    <t>Skrnggg mana mungkin bisa karna ppkm</t>
  </si>
  <si>
    <t>@bokusiapaaa Mau periksa tapi masih takut ke tht karna ppkm gini :(</t>
  </si>
  <si>
    <t>Mau periksa tapi masih takut ke tht karna ppkm gini</t>
  </si>
  <si>
    <t>Tolong ya pa presiden Berita covid d tv di stop. Panggil semua pemilik stasiun tv, Berita yg menyejukkan akan jauh lebih baik dan membuat imun kuat. 
 Untuk satpol PP jgn bikin gaduh klo pas ada tugas penegakan PPKM</t>
  </si>
  <si>
    <t>Tolong ya pa presiden Berita covid d tv di stop. Panggil semua pemilik stasiun tv, Berita yg menyejukkan akan jauh lebih baik dan membuat imun kuat. Untuk satpol PP jgn bikin gaduh klo pas ada tugas penegakan PPKM</t>
  </si>
  <si>
    <t>@bertanyarl Awet donggg karena lagi ppkm aja kita ga main dulu</t>
  </si>
  <si>
    <t>Awet donggg karena lagi ppkm aja kita ga main dulu</t>
  </si>
  <si>
    <t>@MasSam45624844 @wong_ndeso169 PPKM mas.</t>
  </si>
  <si>
    <t>@Dennysiregar7 Ppkm lagi.....</t>
  </si>
  <si>
    <t>Ppkm lagi.....</t>
  </si>
  <si>
    <t>selamat pagi, jadi hari ini masih ppkm ya?</t>
  </si>
  <si>
    <t>@Oyyi14 @BennyHarmanID Kemampuan pemerintah mengkapanyekan PPKM telah sedikit berhasil dgn membuat rakyat menjadi resah akibat perbuatan oknum penegak hukum yg justru menjadi tambah kusut penanganan pandemi covid. 
 Mereka yg memberi masukan malah d sebut nyinyir. IQ jongkok</t>
  </si>
  <si>
    <t>Kemampuan pemerintah mengkapanyekan PPKM telah sedikit berhasil dgn membuat rakyat menjadi resah akibat perbuatan oknum penegak hukum yg justru menjadi tambah kusut penanganan pandemi covid. Mereka yg memberi masukan malah d sebut nyinyir. IQ jongkok</t>
  </si>
  <si>
    <t>semoga agustus udh gaada ppkm ppkm lagi</t>
  </si>
  <si>
    <t>@VIVAcoid Nyalahin Rakyat Kepala Negara Apaan Ini, Coba Saja Lock Dwon Pak secara Ketat sekali Pak dari Pada PPKM Nangung Masyarakat Di Persulit dengan Kebijakan yg Tidak Jelas, di Laksanakan PPKM kan Pemeerintah Tdk Banyak Keluar Biaya, dan dan Bisa Membunuh Rakyat Karena Terjepit Ekonomi</t>
  </si>
  <si>
    <t>Nyalahin Rakyat Kepala Negara Apaan Ini, Coba Saja Lock Dwon Pak secara Ketat sekali Pak dari Pada PPKM Nangung Masyarakat Di Persulit dengan Kebijakan yg Tidak Jelas, di Laksanakan PPKM kan Pemeerintah Tdk Banyak Keluar Biaya, dan dan Bisa Membunuh Rakyat Karena Terjepit Ekonomi</t>
  </si>
  <si>
    <t>@sssuryyaa Solusi di masa ppkm yg tiada akhirnya</t>
  </si>
  <si>
    <t>Solusi di masa ppkm yg tiada akhirnya</t>
  </si>
  <si>
    <t>Terjawab sudah misteri Atika susah tidur pada masa ppkm, yaitu kurang lelah lahir batin. Ya gimana biasanya 3x seminggu muaythai. Gak ada pelampiasaaaaannn</t>
  </si>
  <si>
    <t>Terjawab sudah misteri Atika susah tidur pada masa ppkm, yaitu kurang lelah lahir batin. Ya gimana biasanya x seminggu muaythai. Gak ada pelampiasaaaaannn</t>
  </si>
  <si>
    <t>berharap bgt tgl 2 itu bnr2 terakhir ppkm, sue emang..</t>
  </si>
  <si>
    <t>berharap bgt tgl itu bnr2 terakhir ppkm, sue emang..</t>
  </si>
  <si>
    <t>Jokowi Bilang Rakyat Sudah Menjerit karena PPKM Darurat, Epidemiolog UI: Lalu Apa yang Bisa Kita Lakukan Pak? ya nunggu bantuan bos https://t.co/Ys9llnY9G9</t>
  </si>
  <si>
    <t>Jokowi Bilang Rakyat Sudah Menjerit karena PPKM Darurat, Epidemiolog UI: Lalu Apa yang Bisa Kita Lakukan Pak? ya nunggu bantuan bos</t>
  </si>
  <si>
    <t>kl nga ppkm uda pacaran w</t>
  </si>
  <si>
    <t>@IrutPagut Mereka eksodus mungkin karena ada PPKM lanjutan kali, Peristiwa Puncak Kemarahan Masyarakat</t>
  </si>
  <si>
    <t>Mereka eksodus mungkin karena ada PPKM lanjutan kali, Peristiwa Puncak Kemarahan Masyarakat</t>
  </si>
  <si>
    <t>ppkm bikin w jomblo</t>
  </si>
  <si>
    <t>Bisa ga si kalo kasih pengumunan ngga di hari akhir ppkm, h-1 gitu diumumin kan beberapa hari sebelumnya sudah evaluasi, jadi instansi2 yang lain yang bergantung juga dengan kebijakannya bisa cepat juga merencankan selanjutnya☹</t>
  </si>
  <si>
    <t>Bisa ga si kalo kasih pengumunan ngga di hari akhir ppkm, h-1 gitu diumumin kan beberapa hari sebelumnya sudah evaluasi, jadi instansi2 yang lain yang bergantung juga dengan kebijakannya bisa cepat juga merencankan selanjutnya</t>
  </si>
  <si>
    <t>besok selesai ppkm udah bisa naik krl tanpa surat keterangan jalan blm ya ada yg tau? -11fess</t>
  </si>
  <si>
    <t>besok selesai ppkm udah bisa naik krl tanpa surat keterangan jalan blm ya ada yg tau? fess</t>
  </si>
  <si>
    <t>@Dennysiregar7 PPKM diperpanjang? 🤔</t>
  </si>
  <si>
    <t>PPKM diperpanjang?</t>
  </si>
  <si>
    <t>@ffluwshie jeruk ikut ppkm juga?</t>
  </si>
  <si>
    <t>jeruk ikut ppkm juga?</t>
  </si>
  <si>
    <t>bosen ah di rumah mulu, ppkm ayo cepetan selesaiii!! https://t.co/0BgHGanrYD</t>
  </si>
  <si>
    <t>bosen ah di rumah mulu, ppkm ayo cepetan selesaiii!!</t>
  </si>
  <si>
    <t>@mohmahfudmd Maaf Prof...bapak kan ahli hukum ... bagaimana tanggapan bapak tentang diskon hukuman para koruptor , tuntutan kecil koruptor bansos dan kasus PCNU yang melanggar PPKM..</t>
  </si>
  <si>
    <t>Maaf Prof...bapak kan ahli hukum ... bagaimana tanggapan bapak tentang diskon hukuman para koruptor , tuntutan kecil koruptor bansos dan kasus PCNU yang melanggar PPKM..</t>
  </si>
  <si>
    <t>@naynakoory ppkm kelar kapan sie? mau beli dh, mls gofud mhal wkwk</t>
  </si>
  <si>
    <t>ppkm kelar kapan sie? mau beli dh, mls gofud mhal wkwk</t>
  </si>
  <si>
    <t>@adearmando1 PPKM...Partai Para Koruptor Mangkal
 PPKM...Pernah Pemenang Kini Metong
 Noh @RachlanNashidik tak tambahin dua lagi...</t>
  </si>
  <si>
    <t>PPKM...Partai Para Koruptor MangkalPPKM...Pernah Pemenang Kini MetongNoh tak tambahin dua lagi...</t>
  </si>
  <si>
    <t>@FerdinandHaean3 Amin 🙏
 Apa yang mau dikejar Lae?
 Kan PPKM...</t>
  </si>
  <si>
    <t>Amin Apa yang mau dikejar Lae?Kan PPKM...</t>
  </si>
  <si>
    <t>@anggiedwidowati Ga disiplin jg
 PPKM yo kucing2an</t>
  </si>
  <si>
    <t>Ga disiplin jgPPKM yo kucing2an</t>
  </si>
  <si>
    <t>Ppkm diperpanjang gk sih?</t>
  </si>
  <si>
    <t>tangkap aja pak kalo melanggar PPKM! RT @makLambeTurah: Ngelabrak Hater sampai ke Bojonegoro Saat PPKM, Satgas COVID Sentil Ortu Ayu Ting Ting
 https://t.co/0rZAXyUBh3 https://t.co/3Orx5rGhIx</t>
  </si>
  <si>
    <t>tangkap aja pak kalo melanggar PPKM! RT : Ngelabrak Hater sampai ke Bojonegoro Saat PPKM, Satgas COVID Sentil Ortu Ayu Ting Ting</t>
  </si>
  <si>
    <t>last day ppkm mari kita liat apakah diperpanjang</t>
  </si>
  <si>
    <t>@Askrlfess Ada yang mau nerima ? Lagi ppkm gini</t>
  </si>
  <si>
    <t>Ada yang mau nerima ? Lagi ppkm gini</t>
  </si>
  <si>
    <t>Ppkm dah selesai kan ya ga di perpanjang lagi kan</t>
  </si>
  <si>
    <t>Gue mau curhattt gue ditinggal nikah temen dari awal ngekos awal ke kampus 😭 sedih si walu orgnya ngeselin tpi tetep temen w itu aaaa mana gabisa dtng ggra ppkm luar jawa trus msh pandemi juga hiksss bestie kenapa kmu nikah dolooo sik https://t.co/knGuXna1jh</t>
  </si>
  <si>
    <t>Gue mau curhattt gue ditinggal nikah temen dari awal ngekos awal ke kampus sedih si walu orgnya ngeselin tpi tetep temen w itu aaaa mana gabisa dtng ggra ppkm luar jawa trus msh pandemi juga hiksss bestie kenapa kmu nikah dolooo sik</t>
  </si>
  <si>
    <t>PSBB sudah
 PPKM Darurat sudah diperpanjang dengan PPKM level 4 yg akan berakhir Tgl 2 Agustus 2021.
 Berhubung hasilnya sama
 Selanjutnya panitia plantdemit
 Akan mempersiapkan Adu pinalti 😂</t>
  </si>
  <si>
    <t>PSBB sudahPPKM Darurat sudah diperpanjang dengan PPKM level yg akan berakhir Tgl Agustus .Berhubung hasilnya samaSelanjutnya panitia plantdemitAkan mempersiapkan Adu pinalti</t>
  </si>
  <si>
    <t>@Blouwjzob Ga kemana mana lg ppkm</t>
  </si>
  <si>
    <t>Ga kemana mana lg ppkm</t>
  </si>
  <si>
    <t>selama elsa belum dipenjara, ppkm akan terus diperpanjang</t>
  </si>
  <si>
    <t>@CATSWAGI Hri ini terkahir, ppkm mah dri kmrn kmrn</t>
  </si>
  <si>
    <t>Hri ini terkahir, ppkm mah dri kmrn kmrn</t>
  </si>
  <si>
    <t>Ente pejabat enak, dirumah saja PPKM gaji tetap lancar. Kami dirumah saja PPKM, anak istri kami siapa kasih makan?. Bahalul ente!
 *Keluh Kesah Rakjat</t>
  </si>
  <si>
    <t>Ente pejabat enak, dirumah saja PPKM gaji tetap lancar. Kami dirumah saja PPKM, anak istri kami siapa kasih makan?. Bahalul ente!*Keluh Kesah Rakjat</t>
  </si>
  <si>
    <t>Vaksin Covid-19 berbasis keluarga diharapkan dapat memutus penyebaran Covid-19.
 Senin Agustus PPKM 
 #OnYour23rdMark #KEVINSANJAYABIRTHDAY https://t.co/2VlaCCCzDn</t>
  </si>
  <si>
    <t>Vaksin Covid-19 berbasis keluarga diharapkan dapat memutus penyebaran Covid-19.Senin Agustus PPKM</t>
  </si>
  <si>
    <t>kapan ppkm selesai anjengggg aku mau beli kacamata (｡•́︿•̀｡)</t>
  </si>
  <si>
    <t>kapan ppkm selesai anjengggg aku mau beli kacamata ()</t>
  </si>
  <si>
    <t>@ccuddleyuk iyaa ppkm tapi kurang tau.. gue dom tangsel tapi tiap balik ke jabar selalu bisa 😭</t>
  </si>
  <si>
    <t>iyaa ppkm tapi kurang tau.. gue dom tangsel tapi tiap balik ke jabar selalu bisa</t>
  </si>
  <si>
    <t>@bertanyarl btw ppkm atau ngga keknya tetep aja didepan rumahku kaya misal dijalanan gt rame gak sepi, bukannya kalo ppkm harusnya sepi ya??</t>
  </si>
  <si>
    <t>btw ppkm atau ngga keknya tetep aja didepan rumahku kaya misal dijalanan gt rame gak sepi, bukannya kalo ppkm harusnya sepi ya??</t>
  </si>
  <si>
    <t>Ppkm terus aja di perpanjang sampe gfriend redebut</t>
  </si>
  <si>
    <t>dia gatau kali ya sebulan ppkm bisa bikin org di cut. kntl.</t>
  </si>
  <si>
    <t>The last day ppkm level 4, besok udh bisa jalan² bareng crush🥰</t>
  </si>
  <si>
    <t>The last day ppkm level , besok udh bisa jalan bareng crush</t>
  </si>
  <si>
    <t>Pagi2 dilema ppkm perpanjang ato engga.</t>
  </si>
  <si>
    <t>Mungkin,disebabkan karna suasana pandemi...di tambah ppkm https://t.co/JbEc7G7NZs https://t.co/RHCRTqSKPD</t>
  </si>
  <si>
    <t>Mungkin,disebabkan karna suasana pandemi...di tambah ppkm</t>
  </si>
  <si>
    <t>@ridwankamil pak tolong😭😭rmh sy mau dilelang SM bank HR ini Krn selama covid&amp;amp;ppkm ibu sy GK bs bayar cicilan😭😭dagang sepi pak selama covid😭gk minta uang pak.cuma minta dibantu dispensasi wkt pembayaran😭@jokowi @KemensosRI@BimaAryaS</t>
  </si>
  <si>
    <t>pak tolongrmh sy mau dilelang SM bank HR ini Krn selama covid&amp;ampkm ibu sy GK bs bayar cicilandagang sepi pak selama covidgk minta uang pak.cuma minta dibantu dispensasi wkt pembayaran</t>
  </si>
  <si>
    <t>ppkm sampe kpn sih?</t>
  </si>
  <si>
    <t>@hibooran Ketat bgt bajunya kayak aturan PPKM</t>
  </si>
  <si>
    <t>Ketat bgt bajunya kayak aturan PPKM</t>
  </si>
  <si>
    <t>@CNNIndonesia Ya jelas masi tinggi, krn PPKM cuma istilah tp prakteknya ga jalan.
 Mau bubarin segelintir org aja, yg bubarin bejibun berkerumun.
 Antri fuckseen, bejibun berkerumun ga ditata...</t>
  </si>
  <si>
    <t>Ya jelas masi tinggi, krn PPKM cuma istilah tp prakteknya ga jalan.Mau bubarin segelintir org aja, yg bubarin bejibun berkerumun.Antri fuckseen, bejibun berkerumun ga ditata...</t>
  </si>
  <si>
    <t>Ingat ppkm yang di perpanjang..
 Chat mu sama dia yg makin pendek..
 Yuk sadar kawand !??</t>
  </si>
  <si>
    <t>Ingat ppkm yang di perpanjang..Chat mu sama dia yg makin pendek..Yuk sadar kawand !??</t>
  </si>
  <si>
    <t>@tribunnews Perpanjang trs ppkm dan sangsi tegas hrs diterapkan utk yg melanggar,penyekatan hrs perbanyak di jaga 24jam penjagaan hrs ditambah</t>
  </si>
  <si>
    <t>Perpanjang trs ppkm dan sangsi tegas hrs diterapkan utk yg melanggar,penyekatan hrs perbanyak di jaga jam penjagaan hrs ditambah</t>
  </si>
  <si>
    <t>Kenalkan 
 JARKONI... 
 IPS..
 PSBB
 PPKM
 kalau belum kelar ya bikin istilah baru lagi. https://t.co/ZhHyJnjEYU</t>
  </si>
  <si>
    <t>Kenalkan JARKONI... IPS..PSBBPPKMkalau belum kelar ya bikin istilah baru lagi.</t>
  </si>
  <si>
    <t>Syg! Kira2 ada perpanjangan ppkm lg ga ya?</t>
  </si>
  <si>
    <t>dari mikir ppkm mending melihara bunga https://t.co/jzEjENPk8Z</t>
  </si>
  <si>
    <t>dari mikir ppkm mending melihara bunga</t>
  </si>
  <si>
    <t>@mycrowaft sar, aku pernah stuck 2 bulan juga. tapi pas ppkm ini bisa turun lagi. jangan stress dan sedi dulu. mari berjuang bersama. https://t.co/4kqdQj24Iz</t>
  </si>
  <si>
    <t>sar, aku pernah stuck bulan juga. tapi pas ppkm ini bisa turun lagi. jangan stress dan sedi dulu. mari berjuang bersama.</t>
  </si>
  <si>
    <t>@detikcom Angka kematian diatas seribu , lha terus ga mau ada orng yg mati apa . Masa iya ppkm berhenti kalau udh ga ada orng yg mati , aneh</t>
  </si>
  <si>
    <t>Angka kematian diatas seribu , lha terus ga mau ada orng yg mati apa . Masa iya ppkm berhenti kalau udh ga ada orng yg mati , aneh</t>
  </si>
  <si>
    <t>@Hilmi28 Mungkin pak Ade galau tingkat dewa krna kelamaan di PPKM.....abaikan ajalah, kasiaaaaann idupnya ribeett begituu 😂😂🙏</t>
  </si>
  <si>
    <t>Mungkin pak Ade galau tingkat dewa krna kelamaan di PPKM.....abaikan ajalah, kasiaaaaann idupnya ribeett begituu</t>
  </si>
  <si>
    <t>Pak @jokowi , sudah ya, jangan diperpanjang PPKM nya. Banyak yang sengsara pak.</t>
  </si>
  <si>
    <t>Pak , sudah ya, jangan diperpanjang PPKM nya. Banyak yang sengsara pak.</t>
  </si>
  <si>
    <t>Pagibosq... Gimanaa kabarnya PPKM di perpanjang gak🤔🤭 https://t.co/EBrAEbVDp8</t>
  </si>
  <si>
    <t>Pagibosq... Gimanaa kabarnya PPKM di perpanjang gak</t>
  </si>
  <si>
    <t>Istilah - istilah di masa pandemi
 PSBB 
 PSBB Total
 PSBB Transmisi
 PPKM
 PPKM Mikro
 PPKM Darurat
 PPKM Level 1
 PPKM Level 2
 PPKM Level 3
 PPKM Level 4
 PPKM pedas gila
 PPKM pedas setan
 PPKM pedas banget ampe guling²</t>
  </si>
  <si>
    <t>Istilah - istilah di masa pandemiPSBB PSBB TotalPSBB TransmisiPPKMPPKM MikroPPKM DaruratPPKM Level PPKM Level PPKM Level PPKM Level PPKM pedas gilaPPKM pedas setanPPKM pedas banget ampe guling</t>
  </si>
  <si>
    <t>Terasa bener ini penerapan PPKM, jalanan lenggang. https://t.co/3Sf2MSEkF1</t>
  </si>
  <si>
    <t>Terasa bener ini penerapan PPKM, jalanan lenggang.</t>
  </si>
  <si>
    <t>Plis PPKM jangan diperpanjang dongg</t>
  </si>
  <si>
    <t>Udah sih ppkm gausah diperpanjang 😩</t>
  </si>
  <si>
    <t>Udah sih ppkm gausah diperpanjang</t>
  </si>
  <si>
    <t>@aagunawan Duuh kelamaan PPKM...🥺😱</t>
  </si>
  <si>
    <t>Duuh kelamaan PPKM...</t>
  </si>
  <si>
    <t>Kita lihat, apakah PPKM akan di perpanjan atau tidak.....
 Ngak sabar nunggu singkatan apa lagi nih dari pemerintah untuk menyesiati "semi lockdown" hihihihi.</t>
  </si>
  <si>
    <t>Kita lihat, apakah PPKM akan di perpanjan atau tidak.....Ngak sabar nunggu singkatan apa lagi nih dari pemerintah untuk menyesiati "semi lockdown" hihihihi.</t>
  </si>
  <si>
    <t>ppkm jangan di perpanjang lgi plis😔😔😔</t>
  </si>
  <si>
    <t>ppkm jangan di perpanjang lgi plis</t>
  </si>
  <si>
    <t>pengumuman ppkm aja nyicil, payah ! https://t.co/hugWrqsOCL</t>
  </si>
  <si>
    <t>pengumuman ppkm aja nyicil, payah !</t>
  </si>
  <si>
    <t>@Sherlynaliv07 Dulu sih waktu sekolah 
 Abis PPKM ada MTK 😶</t>
  </si>
  <si>
    <t>Dulu sih waktu sekolah Abis PPKM ada MTK</t>
  </si>
  <si>
    <t>@mliaavg ppkm kan</t>
  </si>
  <si>
    <t>ppkm kan</t>
  </si>
  <si>
    <t>PPKM kalo diperpanjang apakah levelnya Ada kenaikan dari 4 ke 5 misal dan seterusnya</t>
  </si>
  <si>
    <t>PPKM kalo diperpanjang apakah levelnya Ada kenaikan dari ke misal dan seterusnya</t>
  </si>
  <si>
    <t>Udahan nih ppkm? Ayo kta eksplor jkarta</t>
  </si>
  <si>
    <t>PPKM = Pemberlakuan Pembatasan Kegiatan Menpa https://t.co/sum4rXa3np</t>
  </si>
  <si>
    <t>PPKM = Pemberlakuan Pembatasan Kegiatan Menpa</t>
  </si>
  <si>
    <t>ppkm dh lse gk</t>
  </si>
  <si>
    <t>yuk ppkm selese yuk</t>
  </si>
  <si>
    <t>@brillyannn ayoo abis ppkm mau mendaki tida?</t>
  </si>
  <si>
    <t>ayoo abis ppkm mau mendaki tida?</t>
  </si>
  <si>
    <t>@bertanyarl Jangaan, sekolah ku kalau ppkm gk diperpanjang rencananya mau luring'((</t>
  </si>
  <si>
    <t>Jangaan, sekolah ku kalau ppkm gk diperpanjang rencananya mau luring'((</t>
  </si>
  <si>
    <t>PPKM udahan ya, kasian mba-mba modis yk udah ngebet pengeng menuhin Le travail.</t>
  </si>
  <si>
    <t>@detikcom ppkm mau setaun full juga ga akan ngaruh pak wong rakyatnya masi aja belum sadar prokes minimal pake masker+ga kerumunan deh, ppkm atau ngga kelakuanya sama aja 🥲 masker mahal? no. masih bisa pake masker kain cuci kering pake. at least semua pake masker. SEMUA.</t>
  </si>
  <si>
    <t>ppkm mau setaun full juga ga akan ngaruh pak wong rakyatnya masi aja belum sadar prokes minimal pake masker+ga kerumunan deh, ppkm atau ngga kelakuanya sama aja masker mahal? no. masih bisa pake masker kain cuci kering pake. at least semua pake masker. SEMUA.</t>
  </si>
  <si>
    <t>Pagi ges, semoga hari ini ppkm ga dilanjut ya~🌝🌞</t>
  </si>
  <si>
    <t>Pagi ges, semoga hari ini ppkm ga dilanjut ya~</t>
  </si>
  <si>
    <t>Selama PPKM, belanja lauk gw makin rajin via online aja. Apalagi di Surabaya banyak banget bakul daging seafood yang bersedia ngirim ke rumah.</t>
  </si>
  <si>
    <t>@diaaan14_ Kagak kayaknya. Tapi kemaren emang diNaekin ke ppkm lvl4 .</t>
  </si>
  <si>
    <t>Kagak kayaknya. Tapi kemaren emang diNaekin ke ppkm lvl4 .</t>
  </si>
  <si>
    <t>@CNNIndonesia Karena akan ada ppkm level 5,6,7 dan sterusnya</t>
  </si>
  <si>
    <t>Karena akan ada ppkm level dan sterusnya</t>
  </si>
  <si>
    <t>Semoga tidak di perpanjang ppkm</t>
  </si>
  <si>
    <t>@maulidyhp09_ ppkm kalo ga keras tegas ya</t>
  </si>
  <si>
    <t>ppkm kalo ga keras tegas ya</t>
  </si>
  <si>
    <t>@bertanyarl ini mah ppkm ngalahin jembatan sirotol mustaqim kalo di perpanjang lagi.</t>
  </si>
  <si>
    <t>ini mah ppkm ngalahin jembatan sirotol mustaqim kalo di perpanjang lagi.</t>
  </si>
  <si>
    <t>-nunggu inpo PPKM
 -nunggu gajian
 Kek nya nungguin kabar dr dr kamu lebih menyenangkan wkwk</t>
  </si>
  <si>
    <t>-nunggu inpo PPKM-nunggu gajianKek nya nungguin kabar dr dr kamu lebih menyenangkan wkwk</t>
  </si>
  <si>
    <t>Ibunya sakit dijagain anaknya masih kelas 6 Sd. Bapaknya di jakarta karna ppkm nggak bisa pulang. Si ibu meninggal pagi ini dan anaknya masih bisa bales wa temen2 ibunya "terima kasih semua yang sudah mendoakan" 🌻</t>
  </si>
  <si>
    <t>Ibunya sakit dijagain anaknya masih kelas Sd. Bapaknya di jakarta karna ppkm nggak bisa pulang. Si ibu meninggal pagi ini dan anaknya masih bisa bales wa temen2 ibunya "terima kasih semua yang sudah mendoakan"</t>
  </si>
  <si>
    <t>@detikcom @bonenx73 Mngkin lockdown, ppkm jg percuma x, jk msyarkt kurang sadar prokes</t>
  </si>
  <si>
    <t>Mngkin lockdown, ppkm jg percuma x, jk msyarkt kurang sadar prokes</t>
  </si>
  <si>
    <t>ya Allah pagi pagi dah pengen nyerah aje tugas di suruh nyari di koran nyari di mana ppkm ga punya koran gue dah lah ayo menyerah</t>
  </si>
  <si>
    <t>@PRFMnews kang tata cara pengaduan PDAM tirtawening gimana ya di masa PPKM gini? apa kantor buka ?
 nuhun min 🙏</t>
  </si>
  <si>
    <t>kang tata cara pengaduan PDAM tirtawening gimana ya di masa PPKM gini? apa kantor buka ?nuhun min</t>
  </si>
  <si>
    <t>eh lupa ppkm..</t>
  </si>
  <si>
    <t>Kelar ppkm aku mau ngebolang.</t>
  </si>
  <si>
    <t>@kompascom Tanggung sih harusnya PPKM lv 4 lanjut lagi sampai seminggu sampai benar benar turun kasusnya. Yg ada kalo ga PPKM kasus naik tambah lama yg akhirnya harus PPKM dari awal lagi 😌</t>
  </si>
  <si>
    <t>Tanggung sih harusnya PPKM lv lanjut lagi sampai seminggu sampai benar benar turun kasusnya. Yg ada kalo ga PPKM kasus naik tambah lama yg akhirnya harus PPKM dari awal lagi</t>
  </si>
  <si>
    <t>@topupgopay Ppkm woy</t>
  </si>
  <si>
    <t>Ppkm woy</t>
  </si>
  <si>
    <t>@bertanyarl Jangann ya Allah jangaannnn plissss membaikkk yaaa membaikkkk jadi ppkm gak diperpanjang, terus semuanya lama2 beresss ya Allah capekkk tauu capekkkk</t>
  </si>
  <si>
    <t>Jangann ya Allah jangaannnn plissss membaikkk yaaa membaikkkk jadi ppkm gak diperpanjang, terus semuanya lama2 beresss ya Allah capekkk tauu capekkkk</t>
  </si>
  <si>
    <t>@minguriiscomin tengok keputusan ppkm coks</t>
  </si>
  <si>
    <t>tengok keputusan ppkm coks</t>
  </si>
  <si>
    <t>@snackmcd Sbar a smoga PPKM lulus</t>
  </si>
  <si>
    <t>Sbar a smoga PPKM lulus</t>
  </si>
  <si>
    <t>@txtdaritng plot twist
 nanti siang pak Jokowi rapat menteri buat perpanjang PPKM</t>
  </si>
  <si>
    <t>plot twistnanti siang pak Jokowi rapat menteri buat perpanjang PPKM</t>
  </si>
  <si>
    <t>Smoga Ppkm nya udahan</t>
  </si>
  <si>
    <t>@jumatdinihari Penyegaran mata. Pusing ppkm trus ng sby 🤣</t>
  </si>
  <si>
    <t>Penyegaran mata. Pusing ppkm trus ng sby</t>
  </si>
  <si>
    <t>@AlNTDYLAN Nggak bang!! Dia bilang mau keliling kota gitu wkwkwk aneh lagi ppkm malah ngajak keluar</t>
  </si>
  <si>
    <t>Nggak bang!! Dia bilang mau keliling kota gitu wkwkwk aneh lagi ppkm malah ngajak keluar</t>
  </si>
  <si>
    <t>Moga ppkm nya gak diperpanjang lagi</t>
  </si>
  <si>
    <t>Bismillahirrahmanirrahim... Assalamu'alaikum..pageee....sudah Senin lagi....PPKM diperpanjang baeklaaah...saatnya kita kokoreh...semangat dan tetap selooow 💪✊😁❤️ https://t.co/lvemUaTtl4</t>
  </si>
  <si>
    <t>Bismillahirrahmanirrahim... Assalamu'alaikum..pageee....sudah Senin lagi....PPKM diperpanjang baeklaaah...saatnya kita kokoreh...semangat dan tetap selooow</t>
  </si>
  <si>
    <t>@airman673 Di tambah tekanan rezim yg dgn arogan memaksa ppkm. Terus sambung menyambung. Uang sementara sudah menipis. Yg mau di jual pun sudah tak ada. Stress.. Naik asam lambung nya.</t>
  </si>
  <si>
    <t>Di tambah tekanan rezim yg dgn arogan memaksa ppkm. Terus sambung menyambung. Uang sementara sudah menipis. Yg mau di jual pun sudah tak ada. Stress.. Naik asam lambung nya.</t>
  </si>
  <si>
    <t>@eko63691 Ini dia lagi mencoba sarkas apa gimana sih? Lagi nyoba kek Rildwan Kamaludin. Mungkin dia lagi menganalogikan bahwa PPKM ibarat kandang hewan, hewannya adalah manusia yang kena corona. Biar orang pada nyoba bundir ke kebun binatang, kayak orang rame-rame makan mie instan 20 mnt?</t>
  </si>
  <si>
    <t>Ini dia lagi mencoba sarkas apa gimana sih? Lagi nyoba kek Rildwan Kamaludin. Mungkin dia lagi menganalogikan bahwa PPKM ibarat kandang hewan, hewannya adalah manusia yang kena corona. Biar orang pada nyoba bundir ke kebun binatang, kayak orang rame-rame makan mie instan mnt?</t>
  </si>
  <si>
    <t>@kalla_jengking @AliBej0 @jokowi PPKM diperpanjang lagi kah....</t>
  </si>
  <si>
    <t>PPKM diperpanjang lagi kah....</t>
  </si>
  <si>
    <t>@antaranews Penjelasan Pres Jokowi kemarin terkait PPKM akan dilonggarkan secara bertahap dan disesuaikan kondisi masing-2 daerah itu adh bagus, kebijakan seperti itu cukup fleksibel antara roda perekomian dan cara mengatasi covid-19.</t>
  </si>
  <si>
    <t>Penjelasan Pres Jokowi kemarin terkait PPKM akan dilonggarkan secara bertahap dan disesuaikan kondisi masing-2 daerah itu adh bagus, kebijakan seperti itu cukup fleksibel antara roda perekomian dan cara mengatasi covid-19.</t>
  </si>
  <si>
    <t>AKU SUKA PPKM TAPI GAPAKE PP</t>
  </si>
  <si>
    <t>@detikcom Rakyat siap tapi ganti istilah istilah itu dg langkah nyata, masak ppkm hny urusi warung makan</t>
  </si>
  <si>
    <t>Rakyat siap tapi ganti istilah istilah itu dg langkah nyata, masak ppkm hny urusi warung makan</t>
  </si>
  <si>
    <t>-rek bank BC4 klo ppkm buka sampe jam berapa ya</t>
  </si>
  <si>
    <t>smoga uda ga diperpanjang lgi nih ppkm gw uda mulai agak jenuh ya bund di ruma</t>
  </si>
  <si>
    <t>Dari awal nikah belum ngerasain honeymoon, karna lockdown buka tutup. Udh rencanain pas anniv mau honeymoon, ternyata masih juga ppkm. YaAllah pingin juga liburan ke sg kyk orang orang lain 😭😭😭</t>
  </si>
  <si>
    <t>Dari awal nikah belum ngerasain honeymoon, karna lockdown buka tutup. Udh rencanain pas anniv mau honeymoon, ternyata masih juga ppkm. YaAllah pingin juga liburan ke sg kyk orang orang lain</t>
  </si>
  <si>
    <t>@CNNIndonesia ppkm ekstra pedas.,. https://t.co/1ry39vhQSv</t>
  </si>
  <si>
    <t>ppkm ekstra pedas.,.</t>
  </si>
  <si>
    <t>@KompasTV PPKM level sedang, sedang tidak enak jadi Warga, mau jadi Anggota Dewan yg isoman d Hotel Bintang 3</t>
  </si>
  <si>
    <t>PPKM level sedang, sedang tidak enak jadi Warga, mau jadi Anggota Dewan yg isoman d Hotel Bintang</t>
  </si>
  <si>
    <t>jan sampe grgr ppkm diperjpanjang lagi gua mulai nonton one piece 🥵</t>
  </si>
  <si>
    <t>jan sampe grgr ppkm diperjpanjang lagi gua mulai nonton one piece</t>
  </si>
  <si>
    <t>@bertanyarl ...padahal gue mau ke ragunan selesai ppkm..</t>
  </si>
  <si>
    <t>...padahal gue mau ke ragunan selesai ppkm..</t>
  </si>
  <si>
    <t>dah tgl2, ppkm besok jd gimna ya</t>
  </si>
  <si>
    <t>@dittameliaa Bangku2 diangkatin kaya warung yang terdampak ppkm</t>
  </si>
  <si>
    <t>Bangku2 diangkatin kaya warung yang terdampak ppkm</t>
  </si>
  <si>
    <t>@LNastaiin Alasan pertama ppkm
 Alasan kedua covid
 Alasan ketiga ppkm
 😢</t>
  </si>
  <si>
    <t>Alasan pertama ppkmAlasan kedua covidAlasan ketiga ppkm</t>
  </si>
  <si>
    <t>Terima kasih @ririesta utk info nya. Skr gak bingung lagi klo bos nyuruh ke kantor sebentar. Malah berharap PPKM diperpanjang, biar busway/commuterline kosong. https://t.co/2ecgHXmirP</t>
  </si>
  <si>
    <t>Terima kasih utk info nya. Skr gak bingung lagi klo bos nyuruh ke kantor sebentar. Malah berharap PPKM diperpanjang, biar busway/commuterline kosong.</t>
  </si>
  <si>
    <t>jog! ppkm di jogja tuh sampai tanggal berapa sih?</t>
  </si>
  <si>
    <t>@Kunto_Drummer @abubakarsegaf Semutnya lolos penyekatan PPKM</t>
  </si>
  <si>
    <t>Semutnya lolos penyekatan PPKM</t>
  </si>
  <si>
    <t>PPKM = Pengen Peluk Kak Mharuto https://t.co/or0ymQpRHx</t>
  </si>
  <si>
    <t>PPKM = Pengen Peluk Kak Mharuto</t>
  </si>
  <si>
    <t>PPKM DIPERPANJANG / PPKM TIDAK DIPERPANJANG
 Silahkan rakyat!!!</t>
  </si>
  <si>
    <t>PPKM DIPERPANJANG / PPKM TIDAK DIPERPANJANGSilahkan rakyat!!!</t>
  </si>
  <si>
    <t>Kayaknya turun sih ini....
 Level ppkm woy, bukan Jokowi</t>
  </si>
  <si>
    <t>Kayaknya turun sih ini....Level ppkm woy, bukan Jokowi</t>
  </si>
  <si>
    <t>Bima Arya Sugiarto Dukung Perpanjangan PPKM Level 4
 https://t.co/Agv9sFrHaC Bersama Rakyat</t>
  </si>
  <si>
    <t>Bima Arya Sugiarto Dukung Perpanjangan PPKM Level Bersama Rakyat</t>
  </si>
  <si>
    <t>@catatankaqihati Dukung PPKM
 #BersatuPaduAtasiPandemi</t>
  </si>
  <si>
    <t>Rencana jalan jalan buat besok, semoga PPKM tidak di perpanjang lagi</t>
  </si>
  <si>
    <t>Bima Arya Sugiarto Dukung Perpanjangan PPKM Level 4
 https://t.co/yul8Nl6icC Bersama Rakyat</t>
  </si>
  <si>
    <t>Hari ini ppkm terakhir ga sii trs blm tau diperpanjang atau ga.. tp keknya si ga diperpanjang soalnya uda byk jg yg keluar2 aku liat kapan lalu 🤔</t>
  </si>
  <si>
    <t>Hari ini ppkm terakhir ga sii trs blm tau diperpanjang atau ga.. tp keknya si ga diperpanjang soalnya uda byk jg yg keluar2 aku liat kapan lalu</t>
  </si>
  <si>
    <t>@drpriono1 @jokowi PPKM saja seumur hidup biar rakyat habis mati kelaparan.</t>
  </si>
  <si>
    <t>PPKM saja seumur hidup biar rakyat habis mati kelaparan.</t>
  </si>
  <si>
    <t>Halo, PPKM gimana jadinya ya? Apakah diperpanjang? Ketinggalan berita nih, kemaren seharian tepar.</t>
  </si>
  <si>
    <t>@RadioElshinta percepatan vaksinasi, gunakan masker. 
 ppkm kalau lanjut erus yang ada bukan mati karena covid tapi kelaparan. 
 pejabat enak punya gaji, lah yg kerja harian?? bansos juga cuma segelintir orang yg dapat itu but 2-3 hari juga abis.</t>
  </si>
  <si>
    <t>percepatan vaksinasi, gunakan masker. ppkm kalau lanjut erus yang ada bukan mati karena covid tapi kelaparan. pejabat enak punya gaji, lah yg kerja harian?? bansos juga cuma segelintir orang yg dapat itu but $NUMBER$ hari juga abis.</t>
  </si>
  <si>
    <t>@OjolPangeran01 Bissmillah dapet buat jajan selama ppkm ekekeke</t>
  </si>
  <si>
    <t>Bissmillah dapet buat jajan selama ppkm ekekeke</t>
  </si>
  <si>
    <t>Ppkm lagi dong😔</t>
  </si>
  <si>
    <t>Ppkm lagi dong</t>
  </si>
  <si>
    <t>agak kesel ya di phpin ppkm dikit2 mau selesai diperpanjang sekalian ae loh ppkm jangka 6bulan/1thn wkakaka biar sekaligus aku bertahan didunia kebabuan dirumah🙂</t>
  </si>
  <si>
    <t>agak kesel ya di phpin ppkm dikit2 mau selesai diperpanjang sekalian ae loh ppkm jangka bulan/1thn wkakaka biar sekaligus aku bertahan didunia kebabuan dirumah</t>
  </si>
  <si>
    <t>PPKM diperpanjang lagi ga yaaaa...🤔🤔</t>
  </si>
  <si>
    <t>PPKM diperpanjang lagi ga yaaaa...</t>
  </si>
  <si>
    <t>@gibran_tweet @LC01L IMHO: Pengisian oksigen gratis bukan mengatasi lonjakan covid-19, tetapi mengurangi penderitaan dan kematian kasus2 covid yg butuh O2.
 Sedangkan untuk mengatasi lonjakan covid-19 dengan PROKES dan PPKM
 CMIIW</t>
  </si>
  <si>
    <t>IMHO: Pengisian oksigen gratis bukan mengatasi lonjakan covid-19, tetapi mengurangi penderitaan dan kematian kasus2 covid yg butuh O2.Sedangkan untuk mengatasi lonjakan covid-19 dengan PROKES dan PPKMCMIIW</t>
  </si>
  <si>
    <t>@Bank_Aconk Patuhi aturan PPKM..
 #BersatuPaduAtasiPandemi</t>
  </si>
  <si>
    <t>Patuhi aturan PPKM..</t>
  </si>
  <si>
    <t>@FKadrun Jangankan minum vitamin, mau makan saja sudah kagak ada yg mau dimakan.
 Kerja dibatasi batuan kagak ada.
 PPKM ini adalah pembunuhan yg disahkan oleh UU.</t>
  </si>
  <si>
    <t>Jangankan minum vitamin, mau makan saja sudah kagak ada yg mau dimakan.Kerja dibatasi batuan kagak ada.PPKM ini adalah pembunuhan yg disahkan oleh UU.</t>
  </si>
  <si>
    <t>@Sherlynaliv07 Mungkin judulnya PPKM kenormalan baru atau PPKM transisi atau PPKM siaga atau Mukidi mundur🤔</t>
  </si>
  <si>
    <t>Mungkin judulnya PPKM kenormalan baru atau PPKM transisi atau PPKM siaga atau Mukidi mundur</t>
  </si>
  <si>
    <t>Ppkm apa seblak sih? Ko ada levelnya</t>
  </si>
  <si>
    <t>Dgn kondisi seperti ini, mau tidak mau PPKM Level 4 di Jawa &amp;amp; Bali hrs diperpanjang.Mari kita berdoa, bersabar dan bertobat. Tuhan Kasihanilah
 Sejumlah Negara Perketat Pembatasan Covid-19 karena Varian Delta, dari China hingga Australia
 Klik untuk baca: https://t.co/nLv1IdtmlW</t>
  </si>
  <si>
    <t>Dgn kondisi seperti ini, mau tidak mau PPKM Level di Jawa &amp;amp; Bali hrs diperpanjang.Mari kita berdoa, bersabar dan bertobat. Tuhan KasihanilahSejumlah Negara Perketat Pembatasan Covid-19 karena Varian Delta, dari China hingga AustraliaKlik untuk baca:</t>
  </si>
  <si>
    <t>@PT_Transjakarta Padahal SE Kemenhub sudah tidak mewajibkan STRP. Sekarang juga masuk PPKM level 4 kan? Bukan lagi PPKM darurat https://t.co/NtboUlfOIy</t>
  </si>
  <si>
    <t>Padahal SE Kemenhub sudah tidak mewajibkan STRP. Sekarang juga masuk PPKM level kan? Bukan lagi PPKM darurat</t>
  </si>
  <si>
    <t>Menunggu episode terbaru dari istilah PPKM di Indonesia 😦</t>
  </si>
  <si>
    <t>Menunggu episode terbaru dari istilah PPKM di Indonesia</t>
  </si>
  <si>
    <t>Alhamdulillah PPKM darurat di Jakarta berhasil kendalikan Covid 19. Kasus aktif turun hampir 100.000 dalam dua pekan. Keterisian tempat tidur pasien covid turun. Positivity rate turun yg sempat 45% jadi 15%.
 PPKM + vaccines work : @aniesbaswedan
 https://t.co/eosnV594yQ</t>
  </si>
  <si>
    <t>Alhamdulillah PPKM darurat di Jakarta berhasil kendalikan Covid . Kasus aktif turun hampir dalam dua pekan. Keterisian tempat tidur pasien covid turun. Positivity rate turun yg sempat % jadi %.PPKM + vaccines work : ://</t>
  </si>
  <si>
    <t>Mau ppkm smpe level brapa juga klo rakyatnya sama pemerintahnya bebel ya gangaruh</t>
  </si>
  <si>
    <t>@aik_arif Gimana mau perbaikan emang ppkm jalan masih aja banyak kelayapan kemana aja bisa lolos, pulang kampung aja pada bisa malam2 atau subuh2</t>
  </si>
  <si>
    <t>Gimana mau perbaikan emang ppkm jalan masih aja banyak kelayapan kemana aja bisa lolos, pulang kampung aja pada bisa malam2 atau subuh2</t>
  </si>
  <si>
    <t>@detikcom jangan sampe diperpanjang lagi, saya berdampak banget sama ppkm ini, susah nyari uang untuk bayar kuliah.</t>
  </si>
  <si>
    <t>jangan sampe diperpanjang lagi, saya berdampak banget sama ppkm ini, susah nyari uang untuk bayar kuliah.</t>
  </si>
  <si>
    <t>@detikcom Semoga PPKM Tidak Berlanjut Aamiin Ya Allah</t>
  </si>
  <si>
    <t>Semoga PPKM Tidak Berlanjut Aamiin Ya Allah</t>
  </si>
  <si>
    <t>PPKM kayanya udah kelar tiket kereta aja sampe engga kebagian</t>
  </si>
  <si>
    <t>@chetrries risol tu kenapa enak banget?! terutama yang risol mayo ya, bener bener kalo dapet snack dari acara tuu pasti berdoanya dapet risol mayo, kalo ngga pas jajan gitu berharap risol mayonya belum abiss, dan sekarang krn ppkm jadi gabisa jajan risol lagii huhuu pdhl bm bangettt😭</t>
  </si>
  <si>
    <t>risol tu kenapa enak banget?! terutama yang risol mayo ya, bener bener kalo dapet snack dari acara tuu pasti berdoanya dapet risol mayo, kalo ngga pas jajan gitu berharap risol mayonya belum abiss, dan sekarang krn ppkm jadi gabisa jajan risol lagii huhuu pdhl bm bangettt</t>
  </si>
  <si>
    <t>@lightwithnonu gk tau, ppkm aja diperpanjang. eh iya gk si?</t>
  </si>
  <si>
    <t>gk tau, ppkm aja diperpanjang. eh iya gk si?</t>
  </si>
  <si>
    <t>Ppkm masih diperpanjang lagi ga sih guys?</t>
  </si>
  <si>
    <t>@detikcom Statemen beliau ude gak berlaku karena ude gak Jadi Kapolri, apa melanggar PPKM tidak termasuk menyimpang? ruwet-ruwet
 https://t.co/BMvPoRGsOg</t>
  </si>
  <si>
    <t>Statemen beliau ude gak berlaku karena ude gak Jadi Kapolri, apa melanggar PPKM tidak termasuk menyimpang? ruwet-ruwet</t>
  </si>
  <si>
    <t>Udah tgl 2 coy moga2 ppkm ga diperpanjang lagi 😰</t>
  </si>
  <si>
    <t>Udah tgl coy moga2 ppkm ga diperpanjang lagi</t>
  </si>
  <si>
    <t>@detikcom Alangkah baiknya di perpanjang baiknya lagi masyarakat di rumah aja anjur kan puasa beres ppkm sediakan tanah kuburan.</t>
  </si>
  <si>
    <t>Alangkah baiknya di perpanjang baiknya lagi masyarakat di rumah aja anjur kan puasa beres ppkm sediakan tanah kuburan.</t>
  </si>
  <si>
    <t>Bersyukur sebab dengan PPKM dan Prokes Indonesia berhasil utk menekan terjadinya penyebaran virus copid-19....
 PPKM tentu saja sangat membantu utk menyelamatkan kita...
 #BersatuPaduAtasiPandemi https://t.co/ML3l7QZkvS</t>
  </si>
  <si>
    <t>Bersyukur sebab dengan PPKM dan Prokes Indonesia berhasil utk menekan terjadinya penyebaran virus copid-19....PPKM tentu saja sangat membantu utk menyelamatkan kita...</t>
  </si>
  <si>
    <t>@MahasiswaUMS ppkm terakhir</t>
  </si>
  <si>
    <t>ppkm terakhir</t>
  </si>
  <si>
    <t>@ailuropiel @insecurerabbit ppkm dah selesai, terus awal bulan. Masa ga gow?</t>
  </si>
  <si>
    <t>ppkm dah selesai, terus awal bulan. Masa ga gow?</t>
  </si>
  <si>
    <t>@MudasirRomini @msimsims @Dennysiregar7 @KejaksaanRI @jokowi apa yg ko andalkan dari bpkmu itu . mengatasi rakyat yg mnjadi korban ppkm saja pada mnjerit itu blm dapat ganti rugi waktuxvyg di smbil untuk beketja</t>
  </si>
  <si>
    <t>apa yg ko andalkan dari bpkmu itu . mengatasi rakyat yg mnjadi korban ppkm saja pada mnjerit itu blm dapat ganti rugi waktuxvyg di smbil untuk beketja</t>
  </si>
  <si>
    <t>Ppkm dilanjutin gak sih..</t>
  </si>
  <si>
    <t>Jadi lah menjadi Warga Negara yg Bangga Pada Negara kita Indonesia.
 Buktikan Kebanggaan mu thdp Indonesia dengan mematuhi Aturan PPKM &amp;amp; Prokes. Bisa?
 #BersatuPaduAtasiPandemi https://t.co/vAvWXrp6S2</t>
  </si>
  <si>
    <t>Jadi lah menjadi Warga Negara yg Bangga Pada Negara kita Indonesia.Buktikan Kebanggaan mu thdp Indonesia dengan mematuhi Aturan PPKM &amp;amp; Prokes. Bisa?</t>
  </si>
  <si>
    <t>Hati-hati yaa klo PPKM lagi "Para Peselingkuh Ke GEP molo" sama Detektif Angel .. 🤭😁 
 #selingkuh #perselingkuhan #peselingkuh #detektif #perselingkuhan #detektifangel #detektifswasta #jasadetektif #PPKM https://t.co/Z4ROXLA9I7</t>
  </si>
  <si>
    <t>Hati-hati yaa klo PPKM lagi "Para Peselingkuh Ke GEP molo" sama Detektif Angel ..</t>
  </si>
  <si>
    <t>PPKM aja lanjut, masa chatan kamu sama dia berhenti di stiker</t>
  </si>
  <si>
    <t>Wkwk bener badminton menemani ppkm ku https://t.co/u0G5XsUNst</t>
  </si>
  <si>
    <t>Wkwk bener badminton menemani ppkm ku</t>
  </si>
  <si>
    <t>Semalem sy ketiduran. Mau tny PPKM jd nya perpanjang atau bgmn ?</t>
  </si>
  <si>
    <t>@CNNIndonesia Ganti ganti istilah, psbb, new normal, rem darurat, ppkm, ppkm level... Tak ada yg berhasil diterus teruskan, bodoh amat</t>
  </si>
  <si>
    <t>Ganti ganti istilah, psbb, new normal, rem darurat, ppkm, ppkm level... Tak ada yg berhasil diterus teruskan, bodoh amat</t>
  </si>
  <si>
    <t>@from_youngk6 Ppkm alias pagi pagi kita menggalau</t>
  </si>
  <si>
    <t>Ppkm alias pagi pagi kita menggalau</t>
  </si>
  <si>
    <t>@ekowboy2 @fasyam7 @mohmahfudmd Aiiih...Si @mohmahfudmd lbih penting komentari MASALAH HUKUM SINETRON DITENGAH PPKM. Klw msalah HRS buta mata hatinya tuh? apalagi masalah hukum pmbntaian 6 syuhada, pelaku yg tdk ditahan sampai sekarang, gak bakal bunyi dia tuh, buta juwa juga tuh?</t>
  </si>
  <si>
    <t>Aiiih...Si lbih penting komentari MASALAH HUKUM SINETRON DITENGAH PPKM. Klw msalah HRS buta mata hatinya tuh? apalagi masalah hukum pmbntaian syuhada, pelaku yg tdk ditahan sampai sekarang, gak bakal bunyi dia tuh, buta juwa juga tuh?</t>
  </si>
  <si>
    <t>@Anny_auliaf Efek Corona efek PPKM,,
 Yahh Bu dini mikir Cuan lah 🤣🤣
 Dari season semlam..gw GK ada gairah lagi buat nonton...mending nonton flem kena azab😂</t>
  </si>
  <si>
    <t>Efek Corona efek PPKM,,Yahh Bu dini mikir Cuan lah Dari season semlam..gw GK ada gairah lagi buat nonton...mending nonton flem kena azab</t>
  </si>
  <si>
    <t>Oh jadi gini rasanya terkekang dalam suatu hubungan. Lewat juga ya PPKM satu bulannya 😌😌
 Jan nambah lagi ye, capek diposesifin🥲</t>
  </si>
  <si>
    <t>Oh jadi gini rasanya terkekang dalam suatu hubungan. Lewat juga ya PPKM satu bulannya Jan nambah lagi ye, capek diposesifin</t>
  </si>
  <si>
    <t>@BigGuzz Iya nih, kontrakan udah abis harusnya awal bulan Juli gw harus pindah tp gagal gegara PPKM kemaren. Kalo abis ini ada lagi gw bakal nekat terabas aja deh.</t>
  </si>
  <si>
    <t>Iya nih, kontrakan udah abis harusnya awal bulan Juli gw harus pindah tp gagal gegara PPKM kemaren. Kalo abis ini ada lagi gw bakal nekat terabas aja deh.</t>
  </si>
  <si>
    <t>Skrg tgl 2 awas aja kl muncul berita ppkm diperpanjang 🤬</t>
  </si>
  <si>
    <t>Skrg tgl awas aja kl muncul berita ppkm diperpanjang</t>
  </si>
  <si>
    <t>@angedespoir5 Sama sama 1 partai yang 1 minta lockdown ke pemerintah yg lain dukung demo ppkm , partai edan</t>
  </si>
  <si>
    <t>Sama sama partai yang minta lockdown ke pemerintah yg lain dukung demo ppkm , partai edan</t>
  </si>
  <si>
    <t>@eunhagalau @WE_THE_BOYZ anjg 😭😭 ppkm trs</t>
  </si>
  <si>
    <t>anjg ppkm trs</t>
  </si>
  <si>
    <t>@detikcom Yg bilang PPKM diperpanjang karena perut kenyang... Lihat rakyat bawah yang serba kesulitan</t>
  </si>
  <si>
    <t>Yg bilang PPKM diperpanjang karena perut kenyang... Lihat rakyat bawah yang serba kesulitan</t>
  </si>
  <si>
    <t>Kira-kira PPKM diperpanjang atau engga ya</t>
  </si>
  <si>
    <t>Ppkm udhn belum? Mau naik kereta:')</t>
  </si>
  <si>
    <t>Selama PPKM kan belanja online terus. ya jarang nge cek saldo, barusan cek dengan degdegan. liat saldo, alhamdulillah. ternyata aku gak seboros yg dipikirkan</t>
  </si>
  <si>
    <t>loh ppkm dh berakhir y?</t>
  </si>
  <si>
    <t>@geloraco Baliho plus Biaya Pasang plus lainnya dapat 1Jt?
 Dan sudah berapa banyak Baliho seperti itu?
 Mending beliin kebutuhan pokok warga yg terdampak PPKM</t>
  </si>
  <si>
    <t>Baliho plus Biaya Pasang plus lainnya dapat Jt?Dan sudah berapa banyak Baliho seperti itu?Mending beliin kebutuhan pokok warga yg terdampak PPKM</t>
  </si>
  <si>
    <t>Udah kan ini ppkm gak diperpanjang ya?</t>
  </si>
  <si>
    <t>Kok ga lancar bahasa banjar padahal udah 2 tahun disana, hmmm kau dengerkan sendiri lah ajg mereka ngomong pake bahasa apa bajingan..
 *sebelum ppkm waktu gada wuhan kntl https://t.co/VawvUzN0kv</t>
  </si>
  <si>
    <t>Kok ga lancar bahasa banjar padahal udah tahun disana, hmmm kau dengerkan sendiri lah ajg mereka ngomong pake bahasa apa bajingan..*sebelum ppkm waktu gada wuhan kntl</t>
  </si>
  <si>
    <t>@PemkotaBogor @PemkotBogor Memangnya yg terdampak ppkm cuma pekerja seni? bgmn nasib Ribuan pekerja di mall yg sdh 1 bulan dtutup? SintinG!!!! disaat kaya gini malah gelar konser, ga ada akhlak dn empati!</t>
  </si>
  <si>
    <t>Memangnya yg terdampak ppkm cuma pekerja seni? bgmn nasib Ribuan pekerja di mall yg sdh bulan dtutup? SintinG!!!! disaat kaya gini malah gelar konser, ga ada akhlak dn empati!</t>
  </si>
  <si>
    <t>@jeberwocky Yg darinkelurahan? Kalo itu mah emang udh. Ini mah yg 1juta dr pemerintah buat karyawan terdampak ppkm</t>
  </si>
  <si>
    <t>Yg darinkelurahan? Kalo itu mah emang udh. Ini mah yg juta dr pemerintah buat karyawan terdampak ppkm</t>
  </si>
  <si>
    <t>Apa kubilang, kaya pencet balok khan ! Jabotabek turun lha wong pada eksodus balik kampung gegara PPKM. Jadi merata dimana-mana #Covid_19 #CovidIsNotOver #COVIDIOTS https://t.co/eruxc4jAmg</t>
  </si>
  <si>
    <t>Apa kubilang, kaya pencet balok khan ! Jabotabek turun lha wong pada eksodus balik kampung gegara PPKM. Jadi merata dimana-mana</t>
  </si>
  <si>
    <t>@yunita36A @msaid_didu Klamaan PPKM... eh..malah otak yg dimasker.. 🤣🤣</t>
  </si>
  <si>
    <t>Klamaan PPKM... eh..malah otak yg dimasker..</t>
  </si>
  <si>
    <t>Seperti biasa informasi perpanjangan PPKM pasti infonya kaya kita lagi nungguin hilal.</t>
  </si>
  <si>
    <t>@keuangannews_id Makanya di singkat PPKM ( Pelan Pelan Kami Mati )</t>
  </si>
  <si>
    <t>Makanya di singkat PPKM ( Pelan Pelan Kami Mati )</t>
  </si>
  <si>
    <t>Ya Alloh 
 Aku harap ppkm ga diperpanjang..
 Bisa mati kelaparan ga bisa jemput rezeki yg engkau terbarkan.dan aku akan. Jemput dgn tenagaku..
 Aamiin</t>
  </si>
  <si>
    <t>Ya Alloh Aku harap ppkm ga diperpanjang..Bisa mati kelaparan ga bisa jemput rezeki yg engkau terbarkan.dan aku akan. Jemput dgn tenagaku..Aamiin</t>
  </si>
  <si>
    <t>@iraprasetia76 @DonAdam68 sepertinya 
 jawaban orang yang tambah kenyang 
 saat diberlakukan PPKM</t>
  </si>
  <si>
    <t>sepertinya jawaban orang yang tambah kenyang saat diberlakukan PPKM</t>
  </si>
  <si>
    <t>Ppkm bikinnnn resahhh biasanya dosen gue gamau nih bimbingan online karna ribet :((</t>
  </si>
  <si>
    <t>Ppkm bikinnnn resahhh biasanya dosen gue gamau nih bimbingan online karna ribet</t>
  </si>
  <si>
    <t>jangan matahari terbenam sebelum pengumuman &amp;gt;&amp;gt;&amp;gt; Keputusan soal Perpanjangan PPKM Akan Diumumkan Sebelum Berakhir Hari ini
 Klik untuk baca: https://t.co/XdBNMaFmGE</t>
  </si>
  <si>
    <t>jangan matahari terbenam sebelum pengumuman &amp;gt;&amp;gt;&amp;gt; Keputusan soal Perpanjangan PPKM Akan Diumumkan Sebelum Berakhir Hari iniKlik untuk baca:</t>
  </si>
  <si>
    <t>@KompasTV Pak @jokowi mohon untuk tidak memperpanjang PPKM. Rakyat sudah sangat sulit dengan PPKM. Bangun optimisme rakyat, gencarkan vaksinasi, dan mudahkan Rakyat untuk membangun kembali kehidupan pasca pandemi. #semogaindonesiamembaik</t>
  </si>
  <si>
    <t>Pak mohon untuk tidak memperpanjang PPKM. Rakyat sudah sangat sulit dengan PPKM. Bangun optimisme rakyat, gencarkan vaksinasi, dan mudahkan Rakyat untuk membangun kembali kehidupan pasca pandemi.</t>
  </si>
  <si>
    <t>Sy berharap ppkm tdk diperpanjang lg...dr awal tdk dpt bantuan bansos...biarkan rakyat menjaga dirinya sendiri dgn kesadarannya</t>
  </si>
  <si>
    <t>Kayaknya PPKM bakal diturunin levelnya. 🤔 Level 4 udah gak ada bedanya sama sebelum PPKM 😅</t>
  </si>
  <si>
    <t>Kayaknya PPKM bakal diturunin levelnya. Level udah gak ada bedanya sama sebelum PPKM</t>
  </si>
  <si>
    <t>PPKM santuy... Level 3 https://t.co/iuySbfxXz7</t>
  </si>
  <si>
    <t>PPKM santuy... Level</t>
  </si>
  <si>
    <t>Semoga jelang pengumuman keputusan periode PPKM hari ini kesehatan Tol JORR Selatan sudah membaik @hk_jorrs #Hensat 
 https://t.co/wm6eFLIgk2</t>
  </si>
  <si>
    <t>Semoga jelang pengumuman keputusan periode PPKM hari ini kesehatan Tol JORR Selatan sudah membaik</t>
  </si>
  <si>
    <t>Nyumbang Istilah PPKM Baru:
 Setelah Namanya PPKM Darurat sekarang 
 "PPKM yok Bisa Yok Terakhir"...
 Abis itu
 "PPKM Darah Penghabisan"</t>
  </si>
  <si>
    <t>Nyumbang Istilah PPKM Baruetelah Namanya PPKM Darurat sekarang "PPKM yok Bisa Yok Terakhir"...Abis itu"PPKM Darah Penghabisan"</t>
  </si>
  <si>
    <t>@Lheea13 maaf sy tdk bisa merayakan secara merdeka krn jiwa raga terbelenggu prokes dan ppkm.</t>
  </si>
  <si>
    <t>maaf sy tdk bisa merayakan secara merdeka krn jiwa raga terbelenggu prokes dan ppkm.</t>
  </si>
  <si>
    <t>Bukan cuma soal vaksin bang, penegakan PPKM, prokes sampai penyaluran bantuan juga dikerjakan https://t.co/k5eEFkcGpr</t>
  </si>
  <si>
    <t>Bukan cuma soal vaksin bang, penegakan PPKM, prokes sampai penyaluran bantuan juga dikerjakan</t>
  </si>
  <si>
    <t>Semangat Pagi 🔥🔥
 Semangat PPKM lagi 💪💪
 Semangat sampe LAUT MATI HIDUP LAGI 💦💦</t>
  </si>
  <si>
    <t>Semangat Pagi Semangat PPKM lagi Semangat sampe LAUT MATI HIDUP LAGI</t>
  </si>
  <si>
    <t>Utang satu belum lunas, ngutang lagi. Gitu terus sampai ppkm berakhir. Ya Allah kaya kan lah aku, biar gak utang melulu.</t>
  </si>
  <si>
    <t>ini sumpah pantat gua bakal menyatu sama kasur , tangan gua melebur di meja lipet jari stuck di keyboard kalo ppkm ga kelar kelar anj. https://t.co/NgVb7G63yX</t>
  </si>
  <si>
    <t>ini sumpah pantat gua bakal menyatu sama kasur , tangan gua melebur di meja lipet jari stuck di keyboard kalo ppkm ga kelar kelar anj.</t>
  </si>
  <si>
    <t>Ppkm makin diperpanjang sampai dia peka.</t>
  </si>
  <si>
    <t>Sejak awal PPKM Lokal, Darurat hingga ke PPKM Level 4 jumlah kasus harian cenderung menunjukan angka penurunan. Selain harus tetap menjaga Prokes ketat,dan Vaksinasi patuh pada PPKM adalah jalan untuk kita segera dapat lepas dari situasi sulit ini. 
 #PPKMSuksesKendalikanPandemi https://t.co/wtggmwM7EN</t>
  </si>
  <si>
    <t>Sejak awal PPKM Lokal, Darurat hingga ke PPKM Level jumlah kasus harian cenderung menunjukan angka penurunan. Selain harus tetap menjaga Prokes ketat,dan Vaksinasi patuh pada PPKM adalah jalan untuk kita segera dapat lepas dari situasi sulit ini.</t>
  </si>
  <si>
    <t>@detikcom Karepmu wes karepmu....
 Yg penting ppkm diperpanjang
 KAREPMU.......
 @jokowi 
 @kemenkomarves</t>
  </si>
  <si>
    <t>Karepmu wes karepmu....Yg penting ppkm diperpanjangKAREPMU.......</t>
  </si>
  <si>
    <t>@sijioneloro Pak satpam. Lagi ppkm 😃</t>
  </si>
  <si>
    <t>Pak satpam. Lagi ppkm</t>
  </si>
  <si>
    <t>@menfesssyg Kan ppkm</t>
  </si>
  <si>
    <t>Kan ppkm</t>
  </si>
  <si>
    <t>Kita negara Besar, apa yg di lakukan pemerintah tentunya sudah di perhitungkan masak masak dn kordinasi dengan beberpa pihak terkait. Keputusan PPKM sudah tepat untuk menekan krisis kesehatan yg melanda dunia
 #PPKMSuksesKendalikanPandemi https://t.co/YRgHkGQLpU</t>
  </si>
  <si>
    <t>Kita negara Besar, apa yg di lakukan pemerintah tentunya sudah di perhitungkan masak masak dn kordinasi dengan beberpa pihak terkait. Keputusan PPKM sudah tepat untuk menekan krisis kesehatan yg melanda dunia</t>
  </si>
  <si>
    <t>@_nunaJungwonie @Wonuuyu bar ppkm gasssss</t>
  </si>
  <si>
    <t>bar ppkm gasssss</t>
  </si>
  <si>
    <t>@caramelandou ppkm cui</t>
  </si>
  <si>
    <t>ppkm cui</t>
  </si>
  <si>
    <t>@jawiii22 Gak bisa neng
 Kebagian tugas nya
 malem terus..,,
 efek ppkm.</t>
  </si>
  <si>
    <t>Gak bisa nengKebagian tugas nyamalem terus..,,efek ppkm.</t>
  </si>
  <si>
    <t>@orangjlas Astagfirullah mna temen gw janji traktirnya abis ppkm, tunggu kiamat dong</t>
  </si>
  <si>
    <t>Astagfirullah mna temen gw janji traktirnya abis ppkm, tunggu kiamat dong</t>
  </si>
  <si>
    <t>Sudah selayaknya jika kita ingin selamat dari bahaya Covid 19 kita saling mengingatkan untuk tetap patuh pada aturan Pemerintah untuk PPKM Level 4 dan tetap teguh untuk Patuh terhadap Prokes ketat. 
 #PPKMSuksesKendalikanPandemi https://t.co/93ZUyKMBG3</t>
  </si>
  <si>
    <t>Sudah selayaknya jika kita ingin selamat dari bahaya Covid kita saling mengingatkan untuk tetap patuh pada aturan Pemerintah untuk PPKM Level dan tetap teguh untuk Patuh terhadap Prokes ketat.</t>
  </si>
  <si>
    <t>@psikoplok @kelelalay Masih ppkm kayaknya</t>
  </si>
  <si>
    <t>Masih ppkm kayaknya</t>
  </si>
  <si>
    <t>Menkumham: Kebijakan PPKM Bukan untuk Mengekang Masyarakat Tapi Demi Keselamatan Kita Bersama
 https://t.co/LoknEpLKDy MerahPutih Lawan Covid</t>
  </si>
  <si>
    <t>Menkumham: Kebijakan PPKM Bukan untuk Mengekang Masyarakat Tapi Demi Keselamatan Kita Bersama MerahPutih Lawan Covid</t>
  </si>
  <si>
    <t>@tyasyustina Wkwkwk kalo sekarang sampe apa yas yang ppkm?</t>
  </si>
  <si>
    <t>Wkwkwk kalo sekarang sampe apa yas yang ppkm?</t>
  </si>
  <si>
    <t>@txtdarisisange Ortu cewek gw dah kaya' ppkm bos suruh jaga jarak sm anaknya</t>
  </si>
  <si>
    <t>Ortu cewek gw dah kaya' ppkm bos suruh jaga jarak sm anaknya</t>
  </si>
  <si>
    <t>https://t.co/lnoHv2Y2Nv
 Pemerintah memutuskan memperpanjang PPKM level 4 di sejumlah daerah di Indonesia. Ada 141 kota/kabupaten di RI yang masih harus menerapkan PPKM level 4.</t>
  </si>
  <si>
    <t>memutuskan memperpanjang PPKM level di sejumlah daerah di Indonesia. Ada kota/kabupaten di RI yang masih harus menerapkan PPKM level .</t>
  </si>
  <si>
    <t>@nenengaulia__ Ppkm bdebah</t>
  </si>
  <si>
    <t>Ppkm bdebah</t>
  </si>
  <si>
    <t>@friedchickends Udh kluar putusannya kak?
 Ppkm lvl 4 perpnjang lagi smpai kapanm</t>
  </si>
  <si>
    <t>Udh kluar putusannya kak?Ppkm lvl perpnjang lagi smpai kapanm</t>
  </si>
  <si>
    <t>@detikcom Tris solusinya apa? Atop ppkm karena ga guna, biarin aja kalo yg ga kuat mati, atau terusin ppkm sampe kiamat? Putusin cepat jgn tanggung2, kako ga mampu dan ga tau, mundur saja. Jangan hari ini a besok b tp tetap merasa bener dan paling tau/ pintar</t>
  </si>
  <si>
    <t>Tris solusinya apa? Atop ppkm karena ga guna, biarin aja kalo yg ga kuat mati, atau terusin ppkm sampe kiamat? Putusin cepat jgn tanggung2, kako ga mampu dan ga tau, mundur saja. Jangan hari ini a besok b tp tetap merasa bener dan paling tau/ pintar</t>
  </si>
  <si>
    <t>ppkm dilanjut teruus bae sampe one piece tamat</t>
  </si>
  <si>
    <t>Ppkm di perpanjang, trus saya kapan maju nya ya.</t>
  </si>
  <si>
    <t>lihat si luhutt malah di perpanjang ppkm</t>
  </si>
  <si>
    <t>@inikuproycanss Iyeesss bener, ntr kalo udah ppkm baru ketemuan, ngedate gitu hehe</t>
  </si>
  <si>
    <t>Iyeesss bener, ntr kalo udah ppkm baru ketemuan, ngedate gitu hehe</t>
  </si>
  <si>
    <t>Menkumham: Kebijakan PPKM Bukan untuk Mengekang Masyarakat Tapi Demi Keselamatan Kita Bersama
 https://t.co/DR90K4euwp MerahPutih Lawan Covid</t>
  </si>
  <si>
    <t>🐷: Selain Hutang, hal apalagi yg bisa dicicil?
 🐶: PPKM !!</t>
  </si>
  <si>
    <t>: Selain Hutang, hal apalagi yg bisa dicicil?: PPKM !!</t>
  </si>
  <si>
    <t>@bobidream @Samidi_69 PPKM
 Pagi pagi kelingan mantan</t>
  </si>
  <si>
    <t>PPKMPagi pagi kelingan mantan</t>
  </si>
  <si>
    <t>@jakartaakeras ppkm level 15 aje sekalian biar late game sekalian asw</t>
  </si>
  <si>
    <t>ppkm level aje sekalian biar late game sekalian asw</t>
  </si>
  <si>
    <t>trgantung kdg diperpanjang kek ppkm kdg iya oke ap oh https://t.co/CzejA8DDIO</t>
  </si>
  <si>
    <t>trgantung kdg diperpanjang kek ppkm kdg iya oke ap oh</t>
  </si>
  <si>
    <t>Ooo PPKM di perpanjang tapi masih di level 4,, cuma ga tauk level 4 itu kuning, merah atau ungu</t>
  </si>
  <si>
    <t>Ooo PPKM di perpanjang tapi masih di level ,, cuma ga tauk level itu kuning, merah atau ungu</t>
  </si>
  <si>
    <t>PPKM tambah lama tambah dicicil perminggu, udah kaya skripsi aja.</t>
  </si>
  <si>
    <t>Begitu banyak peristiwa terjadi kemarin.
 Atlet Indonesia meraih emas dan perunggu di Oimpiade.
 Presiden mengungumkan PPKM diperpanjang.
 Satu sisi, masih banyak yang terus berjuang demi bertahan hidup ditengah kondisi sulit. https://t.co/WkkHQ2vm3M</t>
  </si>
  <si>
    <t>Begitu banyak peristiwa terjadi kemarin.Atlet Indonesia meraih emas dan perunggu di Oimpiade.Presiden mengungumkan PPKM diperpanjang.Satu sisi, masih banyak yang terus berjuang demi bertahan hidup ditengah kondisi sulit.</t>
  </si>
  <si>
    <t>PPKM Level 4 diperpanjang sampai 9 Agustus.
 Masih ngaruh ga sih sama pergerakan $IHSG?</t>
  </si>
  <si>
    <t>PPKM Level diperpanjang sampai Agustus.Masih ngaruh ga sih sama pergerakan $IHSG?</t>
  </si>
  <si>
    <t>ada juga google meet, ada skype, ato bisa vc lewat line wa kakaotalk. jangan so penting blg “inima acara kampus aku bla bla bla jd panitia bla bla bla” alah anjing bacot, orang orang kaya maneh tah yg bikin ppkm diperpanjang.</t>
  </si>
  <si>
    <t>ada juga google meet, ada skype, ato bisa vc lewat line wa kakaotalk. jangan so penting blg inima acara kampus aku bla bla bla jd panitia bla bla bla alah anjing bacot, orang orang kaya maneh tah yg bikin ppkm diperpanjang.</t>
  </si>
  <si>
    <t>yu biar ppkm ga diperpanjang lagi pada di rumah ajaaaaaaaaaa saria teh anjing. sebel kan ppkm diperpanjang? MAKANYA DIEM AJA DI RUMAH JGN PERGI PERGI KECUALI PERLU BANGETTTTT MEKIIIIIIII. kalo ada acara rapat ato apa jg ged weeh lewat zoomm, kan udah ada tu aplikasi namanya zoom</t>
  </si>
  <si>
    <t>@KAI121 Kak, untuk kereta dharmawangsa kok tiba tiba tidak ada di jadwal kai ya? Apakah krn peraturan ppkm yg mendadak?</t>
  </si>
  <si>
    <t>Kak, untuk kereta dharmawangsa kok tiba tiba tidak ada di jadwal kai ya? Apakah krn peraturan ppkm yg mendadak?</t>
  </si>
  <si>
    <t>Tetangga kerjaannya Di tempat wisata, selama PPKM jadi nggak Ada pemasukan Sama sekali, kecuali berharap Sama sapi² mereka utk dijual. Aku yg terima gaji bulanan (walaupun Masih jauh dari UMR) kok ngrasa bersalah ya?? Padahal Kalo mereka Jual Sapi ya duitnya bakal lebih banyak</t>
  </si>
  <si>
    <t>Tetangga kerjaannya Di tempat wisata, selama PPKM jadi nggak Ada pemasukan Sama sekali, kecuali berharap Sama sapi mereka utk dijual. Aku yg terima gaji bulanan (walaupun Masih jauh dari UMR) kok ngrasa bersalah ya?? Padahal Kalo mereka Jual Sapi ya duitnya bakal lebih banyak</t>
  </si>
  <si>
    <t>ini ppkm kapan selesainya yah</t>
  </si>
  <si>
    <t>@IamHong__ Oh disana ppkm ya</t>
  </si>
  <si>
    <t>Oh disana ppkm ya</t>
  </si>
  <si>
    <t>PPKM udah kayak beli motor yang dicicil aja.
 #JokowiMusibahBangsa</t>
  </si>
  <si>
    <t>PPKM udah kayak beli motor yang dicicil aja.</t>
  </si>
  <si>
    <t>Apakah perpanjangan PPKM akan berdampak pada penundaan jadwal lagi? Padahal udah planning</t>
  </si>
  <si>
    <t>Ppkm diperpanjang hubungan sama doi jadi makin renggang 🤦‍♀️ https://t.co/ANlSWfai0q</t>
  </si>
  <si>
    <t>Ppkm diperpanjang hubungan sama doi jadi makin renggang</t>
  </si>
  <si>
    <t>PPKM kek cuman akal2an tok. Sekalian perpannjang 1 tahun kek biar mati sekalian.. tanggung 😑. Kek diberiharapan yang tak pasti https://t.co/Pk4m8Be3vv</t>
  </si>
  <si>
    <t>PPKM kek cuman akal2an tok. Sekalian perpannjang tahun kek biar mati sekalian.. tanggung . Kek diberiharapan yang tak pasti</t>
  </si>
  <si>
    <t>ppkm diperpanjang sampai dokdes @ryuhasan bilang, "iya, tuhan itu ada". :))) #rauwisuwis</t>
  </si>
  <si>
    <t>ppkm diperpanjang sampai dokdes bilang, "iya, tuhan itu ada".</t>
  </si>
  <si>
    <t>@infodrakor_id Yaelah udh kaya ppkm aja dahhhh🤡</t>
  </si>
  <si>
    <t>Yaelah udh kaya ppkm aja dahhhh</t>
  </si>
  <si>
    <t>PPKM...
 Pakai dicicil biar apa yaa https://t.co/2j48hXlY72 https://t.co/uyyyoMuT6H</t>
  </si>
  <si>
    <t>PPKM...Pakai dicicil biar apa yaa</t>
  </si>
  <si>
    <t>Ppkm menimbulkan banyak arena baru 🤣 https://t.co/zSmJtE6onc</t>
  </si>
  <si>
    <t>Ppkm menimbulkan banyak arena baru</t>
  </si>
  <si>
    <t>Acara Agustusan seperti lomba2 &amp;amp; kegiatan lain yg menimbulkan kerumunan di stop dulu yok, agar PPKM lekas selesai. https://t.co/f9y1gWFNds</t>
  </si>
  <si>
    <t>Acara Agustusan seperti lomba2 &amp;amp; kegiatan lain yg menimbulkan kerumunan di stop dulu yok, agar PPKM lekas selesai.</t>
  </si>
  <si>
    <t>cape cape nge jungle biar bisa ulti, yang level 4 duluan malah ppkm</t>
  </si>
  <si>
    <t>cape cape nge jungle biar bisa ulti, yang level duluan malah ppkm</t>
  </si>
  <si>
    <t>@radenmaslangit di cicil bukan diperpanjang ppkm teh ieumah</t>
  </si>
  <si>
    <t>di cicil bukan diperpanjang ppkm teh ieumah</t>
  </si>
  <si>
    <t>@Luubiis akibat ppkm yg menyebalkan 😅</t>
  </si>
  <si>
    <t>akibat ppkm yg menyebalkan</t>
  </si>
  <si>
    <t>Salah banget emang ninggalin laptop di kantor tuh. Sekarang PPKM diperpanjang, kaga bisa ke kantor, di rumah kaga bisa kerja krn laptop di sana. Obat jg ketinggalan 😂😂😂</t>
  </si>
  <si>
    <t>Salah banget emang ninggalin laptop di kantor tuh. Sekarang PPKM diperpanjang, kaga bisa ke kantor, di rumah kaga bisa kerja krn laptop di sana. Obat jg ketinggalan</t>
  </si>
  <si>
    <t>Ppkm diperpanjang, tgl bayar uktnya juga gamau diperpanjang gt? Ato diturunin setengah gt?🤐</t>
  </si>
  <si>
    <t>Ppkm diperpanjang, tgl bayar uktnya juga gamau diperpanjang gt? Ato diturunin setengah gt?</t>
  </si>
  <si>
    <t>PPKM darurat level 4 diperpanjang sampai kau jadi milikku🙃</t>
  </si>
  <si>
    <t>PPKM darurat level diperpanjang sampai kau jadi milikku</t>
  </si>
  <si>
    <t>@gxgacc ga jelas bgt kek peraturan ppkm</t>
  </si>
  <si>
    <t>ga jelas bgt kek peraturan ppkm</t>
  </si>
  <si>
    <t>@triindonesia Apa 3store buka lagi kondisi ppkm gini?</t>
  </si>
  <si>
    <t>Apa store buka lagi kondisi ppkm gini?</t>
  </si>
  <si>
    <t>kok pada kesel ppkm diperpanjang</t>
  </si>
  <si>
    <t>Selamat pagi, tbtb bangun kepikiran kalo ppkm diperpanjang terus terus, dan pemerintah hanya bilang sabar sabar, kenapa tidak untuk berhenti bekerja, berpendidikan, dan segala aspek kehidupan. Biar sekalian mati satu, mati semua, katanya menjunjung tinggi persatuan..</t>
  </si>
  <si>
    <t>@vinnapplewhite @semestasains Wkwkwkwk....sabar 😂😂😂
 Kita cari jawaban nya bersama² mumpung PPKM diperpanjang.</t>
  </si>
  <si>
    <t>Wkwkwkwk....sabar Kita cari jawaban nya bersama mumpung PPKM diperpanjang.</t>
  </si>
  <si>
    <t>PPKM setahun bisa ga, @jokowi? 🤔 https://t.co/Sn2qLqwlt3</t>
  </si>
  <si>
    <t>PPKM setahun bisa ga, ?</t>
  </si>
  <si>
    <t>Kapan kelarnnya ini series PPKM Level 4, nambah episode mulu kayak tukang haji naik bubur</t>
  </si>
  <si>
    <t>Kapan kelarnnya ini series PPKM Level , nambah episode mulu kayak tukang haji naik bubur</t>
  </si>
  <si>
    <t>@jombloembrio ppkm diperpanjang sampe araa dpt pacar</t>
  </si>
  <si>
    <t>ppkm diperpanjang sampe araa dpt pacar</t>
  </si>
  <si>
    <t>PPKM di perpanjangan rasa cinta kita engga. https://t.co/29cIsx2Fgh</t>
  </si>
  <si>
    <t>PPKM di perpanjangan rasa cinta kita engga.</t>
  </si>
  <si>
    <t>@KAI121 Info min, syarat naik KA Lokal dan KAJJ selama ppkm?</t>
  </si>
  <si>
    <t>Info min, syarat naik KA Lokal dan KAJJ selama ppkm?</t>
  </si>
  <si>
    <t>@BiznetHome untuk bulan Agustus gak ada promo free pemasangan lagi nih, ppkm dilanjut loh.</t>
  </si>
  <si>
    <t>untuk bulan Agustus gak ada promo free pemasangan lagi nih, ppkm dilanjut loh.</t>
  </si>
  <si>
    <t>Trima kasih pak jokowi..buat ppkm nya..sehat sehat slalu PRESIDENKU...</t>
  </si>
  <si>
    <t>Ppkm terus udh tau aku rindu</t>
  </si>
  <si>
    <t>@bknUkhtea Berkah itu kalo disini ppkm</t>
  </si>
  <si>
    <t>Berkah itu kalo disini ppkm</t>
  </si>
  <si>
    <t>GABISA GABISAAA, GUA GAAKAN PRNAH BISA GINI, PASTI DIAKHIRNYA DIPERPANJANG KEK PPKM https://t.co/v8pF1p9uDu</t>
  </si>
  <si>
    <t>GABISA GABISAAA, GUA GAAKAN PRNAH BISA GINI, PASTI DIAKHIRNYA DIPERPANJANG KEK PPKM</t>
  </si>
  <si>
    <t>@zoelfick Pengen komen takut didatengin ke kostan... ntar jd alasan dia melanggar ppkm pdhal pengen jalan2 aja dia sbnrnya</t>
  </si>
  <si>
    <t>Pengen komen takut didatengin ke kostan... ntar jd alasan dia melanggar ppkm pdhal pengen jalan2 aja dia sbnrnya</t>
  </si>
  <si>
    <t>Cape banget
 Jangan dpaksa atuh ini beneran cape
 Ppkm membuat istrhat ku berantakan :((</t>
  </si>
  <si>
    <t>Cape bangetJangan dpaksa atuh ini beneran capePpkm membuat istrhat ku berantakan</t>
  </si>
  <si>
    <t>Pagiii hari pertama setelah PPKM. Ayok main huftttt eah</t>
  </si>
  <si>
    <t>@sseagullls gasss abis ppkm 9 agustus tapi main dirumah jangan keluar keluar yuuu kai @dionybae tapi kalian boleh gaa main????</t>
  </si>
  <si>
    <t>gasss abis ppkm agustus tapi main dirumah jangan keluar keluar yuuu kai tapi kalian boleh gaa main????</t>
  </si>
  <si>
    <t>ppkm diperpanjang sampai team KIII come back</t>
  </si>
  <si>
    <t>Yallah cm pgn beli parfum yg udh abis dr 3 hari yg lalu aja kehalang ppkm trs 🤬 mana ga ada di online lg 😡</t>
  </si>
  <si>
    <t>Yallah cm pgn beli parfum yg udh abis dr hari yg lalu aja kehalang ppkm trs mana ga ada di online lg</t>
  </si>
  <si>
    <t>@ by.u hotstar aku udh habis mau kasih perpanjangan lg ga, ini ppkm di perpanjang ni :( https://t.co/CYV3wmTc7f</t>
  </si>
  <si>
    <t>by.u hotstar aku udh habis mau kasih perpanjangan lg ga, ini ppkm di perpanjang ni</t>
  </si>
  <si>
    <t>ppkm diperpanjang tapi hari ini disuruh wfo nyok semangat bintang</t>
  </si>
  <si>
    <t>@panjiyodantara Dia pikir ppkm itu untuk seluruh dunia hahaha</t>
  </si>
  <si>
    <t>Dia pikir ppkm itu untuk seluruh dunia hahaha</t>
  </si>
  <si>
    <t>anjir kalo ppkm diperpanjang duit ga cair cair anjirr🙂</t>
  </si>
  <si>
    <t>anjir kalo ppkm diperpanjang duit ga cair cair anjirr</t>
  </si>
  <si>
    <t>@SiaranBolaLive ayo perutnya di PPKM dulu</t>
  </si>
  <si>
    <t>ayo perutnya di PPKM dulu</t>
  </si>
  <si>
    <t>PPKM di perpanjang sampai kita jadi debu https://t.co/iCXlpYzHSQ</t>
  </si>
  <si>
    <t>PPKM di perpanjang sampai kita jadi debu</t>
  </si>
  <si>
    <t>@sukangemilbgt Gara-gara ppkm diperpanjang, ya?!</t>
  </si>
  <si>
    <t>Gara-gara ppkm diperpanjang, ya?!</t>
  </si>
  <si>
    <t>ppkm sampe tgl 9. padahal nomor 9 nomor sial saya</t>
  </si>
  <si>
    <t>ppkm sampe tgl . padahal nomor nomor sial saya</t>
  </si>
  <si>
    <t>Ppkm diperpanjang sampai kau jadi milikkuuuuu uwooow uwoou oooo</t>
  </si>
  <si>
    <t>@yourbae bismillah tf buat biaya hidup selama ppkm 🙏🏻</t>
  </si>
  <si>
    <t>bismillah tf buat biaya hidup selama ppkm</t>
  </si>
  <si>
    <t>ppkm diperpanjang terus, mending lockdown total kyk nyepi selama 3 hari, bansos 200k untuk per kartu keluarga tidak mampu. kegiatan selama 3 hari pemerintah nyemprot jalanan pake disnifektan. semisal kegiatan ini tidak efektif, dilanjutkan penganggapan covid seperti flu biasa</t>
  </si>
  <si>
    <t>ppkm diperpanjang terus, mending lockdown total kyk nyepi selama hari, bansos k untuk per kartu keluarga tidak mampu. kegiatan selama hari pemerintah nyemprot jalanan pake disnifektan. semisal kegiatan ini tidak efektif, dilanjutkan penganggapan covid seperti flu biasa</t>
  </si>
  <si>
    <t>Kalau lockdown smua ga boleh keluar, lha goblok aja yg ppkm dibilang lockdown full, ini menyiasati kds negara. Ini aja msh banyak yg sok kuat &amp;amp; ga percaya covid...
 Katanya lbh takut Tuhan drpd covid...
  Taii yg ngomong itu, sbab covid diijinkan Tuhan ada. Memanipulasi Tuhan itu😇 https://t.co/qIY15IPRRU</t>
  </si>
  <si>
    <t>Kalau lockdown smua ga boleh keluar, lha goblok aja yg ppkm dibilang lockdown full, ini menyiasati kds negara. Ini aja msh banyak yg sok kuat &amp;amp; ga percaya covid...Katanya lbh takut Tuhan drpd covid... Taii yg ngomong itu, sbab covid diijinkan Tuhan ada. Memanipulasi Tuhan itu</t>
  </si>
  <si>
    <t>ppkm nya dicicil, tautau udah 2022 _-</t>
  </si>
  <si>
    <t>ppkm nya dicicil, tautau udah _-</t>
  </si>
  <si>
    <t>Horee PPKM diperpanjang, makasi Pak De</t>
  </si>
  <si>
    <t>@ruanggalau_id Ppkm di perpanjang sampai kak ros nikah</t>
  </si>
  <si>
    <t>Ppkm di perpanjang sampai kak ros nikah</t>
  </si>
  <si>
    <t>Ppkm di perpanjang jadi pppppkkkkmmmm gaes</t>
  </si>
  <si>
    <t>Pak Jokowi : Mau sampai kapan PPKM diperpanjang?
 Rakyat : Sak karep2mu wes pak. Wes waleh😪😌</t>
  </si>
  <si>
    <t>Pak Jokowi : Mau sampai kapan PPKM diperpanjang?Rakyat : Sak karep2mu wes pak. Wes waleh</t>
  </si>
  <si>
    <t>Orang pada potong rambut di mana sih lagi PPKM gini?</t>
  </si>
  <si>
    <t>@terkimul @edofarlanda udah saatnya kimul menembus ibu kota nih.. tapi tunggu ppkm siap duku mul sama aja disana jg lg ga da job 😌</t>
  </si>
  <si>
    <t>udah saatnya kimul menembus ibu kota nih.. tapi tunggu ppkm siap duku mul sama aja disana jg lg ga da job</t>
  </si>
  <si>
    <t>@jokowi 11.000 T sama yg masih banyak di kantong Pakde, keluarin dong, mayan kan, siapa tahu rakyat bisa makan enak selama PPKM, cuekin aja yg prank 2T mah, ya ga? 👍</t>
  </si>
  <si>
    <t>T sama yg masih banyak di kantong Pakde, keluarin dong, mayan kan, siapa tahu rakyat bisa makan enak selama PPKM, cuekin aja yg prank T mah, ya ga?</t>
  </si>
  <si>
    <t>Sampe pilpres baru udahan ppkm</t>
  </si>
  <si>
    <t>PPKM bukan diperpanjang, tapi di lanjutkan.</t>
  </si>
  <si>
    <t>@lim_adriani @ChantikaMutiar6 @memory_usang @adearmando1 Kirain gw yg mecah belah itu yg bikin ppkm terus menerus 🤣</t>
  </si>
  <si>
    <t>Kirain gw yg mecah belah itu yg bikin ppkm terus menerus</t>
  </si>
  <si>
    <t>@jokowi Harusnya penerapan ppkm level 4, biaya hidup rakyat selama ppkm 4 ditanggung negara. Sesekali ya negara menanggung, itupun yg digunakan uang rakyat juga dengan membayar uang pajak. Rakyat lebih takut kelaparan daripada covid 19.</t>
  </si>
  <si>
    <t>Harusnya penerapan ppkm level , biaya hidup rakyat selama ppkm ditanggung negara. Sesekali ya negara menanggung, itupun yg digunakan uang rakyat juga dengan membayar uang pajak. Rakyat lebih takut kelaparan daripada covid .</t>
  </si>
  <si>
    <t>PPKM diperpanjang sampai kau menjadi milikku</t>
  </si>
  <si>
    <t>Ppkm diperpanjang 😷🙄🙄</t>
  </si>
  <si>
    <t>@sashimiseo TAPI LGIE PPKM KITA PEGANGAN JRAK JWUH AJJ YH</t>
  </si>
  <si>
    <t>TAPI LGIE PPKM KITA PEGANGAN JRAK JWUH AJJ YH</t>
  </si>
  <si>
    <t>Katanya untuk pertahanin perekonomian negara biar ga menurun, tapi perekonomian yg mana? Yang jual obat dan vaksin, yang sakit lagsung di covidkan? Ko pedagang kecil yang cari nafkah tiba tiba di bubarin, ppkm di perpanjang semoga rasa kemanusiaan juga ga pelan pelan hilang</t>
  </si>
  <si>
    <t>Dilema pagi ini : PPKM resmi diperpanjang tp surat edarann dri kntor blm ada, sdngkan jadwal hri ini dinas, udh stngh 8 bingung mau ngantor apa ngga dtmbah hujan gabrenti brenti jd mager, trs udh mau mandi di jam 7:45 eh arahan dri paboss WFH 🤦</t>
  </si>
  <si>
    <t>Dilema pagi ini : PPKM resmi diperpanjang tp surat edarann dri kntor blm ada, sdngkan jadwal hri ini dinas, udh stngh bingung mau ngantor apa ngga dtmbah hujan gabrenti brenti jd mager, trs udh mau mandi di jam :45 eh arahan dri paboss WFH</t>
  </si>
  <si>
    <t>@lyxtws Efek PPKM kali</t>
  </si>
  <si>
    <t>Efek PPKM kali</t>
  </si>
  <si>
    <t>ppkm diperpanjang teros dah hampir gila aku (: https://t.co/xPDEeqdkDU</t>
  </si>
  <si>
    <t>ppkm diperpanjang teros dah hampir gila aku (:</t>
  </si>
  <si>
    <t>PPKM di perpanjang. Bangun pagi buka wa, “Fahay, km WFH hari ini ya..” 
 Oke pak. Tidur lagi.</t>
  </si>
  <si>
    <t>PPKM di perpanjang. Bangun pagi buka wa, Fahay, km WFH hari ini ya.. Oke pak. Tidur lagi.</t>
  </si>
  <si>
    <t>melintas 11.000 T di pagii nya perpanjangan PPKM</t>
  </si>
  <si>
    <t>melintas T di pagii nya perpanjangan PPKM</t>
  </si>
  <si>
    <t>Ppkm d perpanjang smpe kinderjoy turun harga</t>
  </si>
  <si>
    <t>ppkm diperpanjang sampai fisika di takedown</t>
  </si>
  <si>
    <t>@anditalarasatii Doain ya biar lekas gitu, PPKM ada perubahan kbijakan, masih LDR Dit...</t>
  </si>
  <si>
    <t>Doain ya biar lekas gitu, PPKM ada perubahan kbijakan, masih LDR Dit...</t>
  </si>
  <si>
    <t>Ppkm diperpanjang, ampe gue lupa klo gue punya pekerjaan karna kelamaan ppkm🥴</t>
  </si>
  <si>
    <t>Ppkm diperpanjang, ampe gue lupa klo gue punya pekerjaan karna kelamaan ppkm</t>
  </si>
  <si>
    <t>@PRFMnews Apakah PPKM itu hanya brlaku utk masyarakat yg di Akui saja? (Masyarakat yg dpet BANSOS ) jdi krna saya tdk prnah mndpat BANSOS artinya saja tdk wajib mngikuti PPKM trsbut.</t>
  </si>
  <si>
    <t>Apakah PPKM itu hanya brlaku utk masyarakat yg di Akui saja? (Masyarakat yg dpet BANSOS ) jdi krna saya tdk prnah mndpat BANSOS artinya saja tdk wajib mngikuti PPKM trsbut.</t>
  </si>
  <si>
    <t>PPKM di perpanjang tiap minggu
 Udah kayak anime aja tiap minggu rilis</t>
  </si>
  <si>
    <t>PPKM di perpanjang tiap mingguUdah kayak anime aja tiap minggu rilis</t>
  </si>
  <si>
    <t>Pelan Pelan Kita Mati, PPKM Level Kiamat 
 #PPKM 
 #diperpanjang</t>
  </si>
  <si>
    <t>Pelan Pelan Kita Mati, PPKM Level Kiamat</t>
  </si>
  <si>
    <t>Jog soto pak parno udah buka blm ya selama ppkm?</t>
  </si>
  <si>
    <t>Ppkm diperpanjang sampek lali carane kencan</t>
  </si>
  <si>
    <t>PPKM gagal masih aja diperpanjang</t>
  </si>
  <si>
    <t>Oiya Yu Na-Bi belum sadar kan, beg* lagi kan di eps kemaren. Pantes PPKM diperpanjang lagi dia belum sadar ternyata :)</t>
  </si>
  <si>
    <t>Oiya Yu Na-Bi belum sadar kan, beg* lagi kan di eps kemaren. Pantes PPKM diperpanjang lagi dia belum sadar ternyata</t>
  </si>
  <si>
    <t>PPKM bukan kebijakan yg asal-asalan dibuat. Tapi berdasar masukan banyak pihak.
 #PPKMSuksesKendalikanPandemi https://t.co/gl6HjH7Gqu</t>
  </si>
  <si>
    <t>PPKM bukan kebijakan yg asal-asalan dibuat. Tapi berdasar masukan banyak pihak.</t>
  </si>
  <si>
    <t>ppkm diperpanjang sampai aq nemu punchline</t>
  </si>
  <si>
    <t>PPKM diperpanjang sampai lufy dan kru udah ketemu pulau raftel</t>
  </si>
  <si>
    <t>ppkm diperpanjang sampai kim sunoo beneran pink hair</t>
  </si>
  <si>
    <t>ppkm diperpanjang terus, gue kapan keluar rumahnya ini 😭</t>
  </si>
  <si>
    <t>ppkm diperpanjang terus, gue kapan keluar rumahnya ini</t>
  </si>
  <si>
    <t>Belum puas buat rakyat menderita? #ppkmMendagri Terbitkan Tiga Instruksi Perpanjangan PPKM Level 4 https://t.co/7ojvBRbPET</t>
  </si>
  <si>
    <t>Belum puas buat rakyat menderita? Terbitkan Tiga Instruksi Perpanjangan PPKM Level</t>
  </si>
  <si>
    <t>@convomf Masih pagi setan nya baru nyampe pake gojek abis ppkm tadi malem g sempet keburu di cegat Satpol</t>
  </si>
  <si>
    <t>Masih pagi setan nya baru nyampe pake gojek abis ppkm tadi malem g sempet keburu di cegat Satpol</t>
  </si>
  <si>
    <t>@banjarbase ppkm harini tntung jar</t>
  </si>
  <si>
    <t>ppkm harini tntung jar</t>
  </si>
  <si>
    <t>Menggravel di kala PPKM. Sepedahannya cuma berani blusuk-blusuk naik, masuk kampung, hutan, kali. Kota kotanya besok dulu ya kalo udah membaik. #Madeforfun</t>
  </si>
  <si>
    <t>Menggravel di kala PPKM. Sepedahannya cuma berani blusuk-blusuk naik, masuk kampung, hutan, kali. Kota kotanya besok dulu ya kalo udah membaik.</t>
  </si>
  <si>
    <t>@nitarose38 Dengan ini saya putuskan di perpanjang lagi anggaran bansos di tambah akan segera d bagikan. Trus ppkm-level 1-4 kemana banpernya kok di cek gk nerima trus..</t>
  </si>
  <si>
    <t>Dengan ini saya putuskan di perpanjang lagi anggaran bansos di tambah akan segera d bagikan. Trus ppkm-level $NUMBER$ kemana banpernya kok di cek gk nerima trus..</t>
  </si>
  <si>
    <t>Ppkm diperpanjang 6 minggu
 Cuma dicicil aja https://t.co/AS0Ey624Is</t>
  </si>
  <si>
    <t>Ppkm diperpanjang mingguCuma dicicil aja</t>
  </si>
  <si>
    <t>ppkm diperpanjang lagi ya</t>
  </si>
  <si>
    <t>@KataOpreker saat ngopi, saya tanya ke temen : "hoi fren, tak biasanya muka kau terlipat begitu, ada apa gerangan???"
 Teman saya pun menjawab :"pagi ini, istriku marah dan cemberut, katanya: "HARUSNYA BUKAN PPKM YG DIPERPANJANG, TAPI PUNYA KAU TUH YG DIPANJANGIN!" 
 Ngakak saya 😄😄😄</t>
  </si>
  <si>
    <t>saat ngopi, saya tanya ke temen : "hoi fren, tak biasanya muka kau terlipat begitu, ada apa gerangan???"Teman saya pun menjawab :"pagi ini, istriku marah dan cemberut, katanya: "HARUSNYA BUKAN PPKM YG DIPERPANJANG, TAPI PUNYA KAU TUH YG DIPANJANGIN!" Ngakak saya</t>
  </si>
  <si>
    <t>@miliknonu Lagi ppkm sist, selesai ppkm langsung akad aja sm wonu🤣🤣🤣</t>
  </si>
  <si>
    <t>Lagi ppkm sist, selesai ppkm langsung akad aja sm wonu</t>
  </si>
  <si>
    <t>Denger" PPKM di perpanjang lagi? Sampe kapan?</t>
  </si>
  <si>
    <t>Ppkm diperpanjang lagi! Mau sampe kapan kegini?</t>
  </si>
  <si>
    <t>@bertanyarl Punya hati nurani,alias GA ngadain pesta saat ppkm cok</t>
  </si>
  <si>
    <t>Punya hati nurani,alias GA ngadain pesta saat ppkm cok</t>
  </si>
  <si>
    <t>9 Agustus gue udah mulai PKL, pliss sih! yakalik di undur lagi gegara ppkm diperpanjang.</t>
  </si>
  <si>
    <t>Agustus gue udah mulai PKL, pliss sih! yakalik di undur lagi gegara ppkm diperpanjang.</t>
  </si>
  <si>
    <t>Ppkm berkonsep temen di tagih utang, minggu depan minggu depan mulu.</t>
  </si>
  <si>
    <t>@cutieehwang oh iya ppkm</t>
  </si>
  <si>
    <t>oh iya ppkm</t>
  </si>
  <si>
    <t>Masyarakat Kecamatan Tahuna mendukung Pelaksanaan PPKM https://t.co/90p6uKJWRN</t>
  </si>
  <si>
    <t>Masyarakat Kecamatan Tahuna mendukung Pelaksanaan PPKM</t>
  </si>
  <si>
    <t>Masyarakat Kecamatan Tamako mendukung Pelaksanaan PPKM https://t.co/zRVPhakeEh</t>
  </si>
  <si>
    <t>Masyarakat Kecamatan Tamako mendukung Pelaksanaan PPKM</t>
  </si>
  <si>
    <t>Assalamualaikum wr wb
 Met pagi met beraktivitas, tetap disiplin prokes, taati PPKM, tetap Semangat dg MERAH PUTIH🇲🇨🇲🇨🇲🇨✊✊✊ https://t.co/HRo1FUjEEm</t>
  </si>
  <si>
    <t>Assalamualaikum wr wbMet pagi met beraktivitas, tetap disiplin prokes, taati PPKM, tetap Semangat dg MERAH PUTIH</t>
  </si>
  <si>
    <t>Ngurus administrasi begini bikin lelah sekali. Berasa dipingpong sana sini. Apalagi PPKM jadi alasan semua ga melayani offline. Trus semua-muanya off gitu ya? :(</t>
  </si>
  <si>
    <t>Ngurus administrasi begini bikin lelah sekali. Berasa dipingpong sana sini. Apalagi PPKM jadi alasan semua ga melayani offline. Trus semua-muanya off gitu ya?</t>
  </si>
  <si>
    <t>ppkm diperpanjang
 hubungan diakhiri https://t.co/444i5DsgOI</t>
  </si>
  <si>
    <t>ppkm diperpanjanghubungan diakhiri</t>
  </si>
  <si>
    <t>ppkm diperpanjang, penderitaan gw dirumah juga ikut diperpanjang...</t>
  </si>
  <si>
    <t>PPKM diperpanjang, pengen banting rasanya</t>
  </si>
  <si>
    <t>meskipun ppkm gk diperpanjang juga sama aja idup gini2 doang💅🏻</t>
  </si>
  <si>
    <t>meskipun ppkm gk diperpanjang juga sama aja idup gini2 doang</t>
  </si>
  <si>
    <t>@MbahDinNU Walaupun ppkm ya harus kerja..
 Kerja bisa meningkatkan imun.</t>
  </si>
  <si>
    <t>Walaupun ppkm ya harus kerja..Kerja bisa meningkatkan imun.</t>
  </si>
  <si>
    <t>Ppkm nya diperpanjang sampe kamu mau chat aku duluan</t>
  </si>
  <si>
    <t>ada 1 merk besar totalnya 5000 armada n cuma beroperasi puluhan selama PPKM ini. berarti awak busnya byk yg nganggur. krn bus komersil antar kota provinsi biasanya sistem setoran. 
 4000 sekian nganggur dikalikan anggota kluarga yg dia nafkahi. https://t.co/cKyBgx69hM</t>
  </si>
  <si>
    <t>ada merk besar totalnya armada n cuma beroperasi puluhan selama PPKM ini. berarti awak busnya byk yg nganggur. krn bus komersil antar kota provinsi biasanya sistem setoran. sekian nganggur dikalikan anggota kluarga yg dia nafkahi.</t>
  </si>
  <si>
    <t>@KompasTV Kalau PPKM level 4 sukses ngapain diperpanjang..?
 Anak sd saja tahu kalau remidi itu nilai ujiannya jeblok..</t>
  </si>
  <si>
    <t>Kalau PPKM level sukses ngapain diperpanjang..?Anak sd saja tahu kalau remidi itu nilai ujiannya jeblok..</t>
  </si>
  <si>
    <t>PPKM
 Pelan
 Pelan
 Kemudian
 Menghilang</t>
  </si>
  <si>
    <t>PPKMPelanPelanKemudianMenghilang</t>
  </si>
  <si>
    <t>@_estehboba Ak miskin :( ga kerja kerja gegara ppkm</t>
  </si>
  <si>
    <t>Ak miskin ga kerja kerja gegara ppkm</t>
  </si>
  <si>
    <t>@otekpreketek @angeelsonya bapakku kerja di jambu dua suka nge service laptop dan komputer dan ppkm masih di perpanjang (katanya) sampe tgl 9 agustus. btw klo kamu mau service laptop, bapakku bisa. kalo minat, di dm aja ya hehe</t>
  </si>
  <si>
    <t>bapakku kerja di jambu dua suka nge service laptop dan komputer dan ppkm masih di perpanjang (katanya) sampe tgl agustus. btw klo kamu mau service laptop, bapakku bisa. kalo minat, di dm aja ya hehe</t>
  </si>
  <si>
    <t>PPKM diperpanjang sampai wanita bisa bilang "maaf aku yang salah"..
 ㅤ</t>
  </si>
  <si>
    <t>PPKM diperpanjang sampai wanita bisa bilang "maaf aku yang salah"..</t>
  </si>
  <si>
    <t>Ppkm tadi malam di akun youtube di kompas tv k</t>
  </si>
  <si>
    <t>Selamat pagi semua💃💃💃..
  Jgn lupa sarapan , jaga kesehatan dna juga Jangan lupa Untk selalu bahagia.. Meski PPKM diperpanjang☹️.. 
 Semaaaangat..</t>
  </si>
  <si>
    <t>Selamat pagi semua.. Jgn lupa sarapan , jaga kesehatan dna juga Jangan lupa Untk selalu bahagia.. Meski PPKM diperpanjang.. Semaaaangat..</t>
  </si>
  <si>
    <t>Alhamdulillah, bukan sekedar mengikuti PPKM, tapi juga memberi perhatian dan fasilitas PPKM @DKIJakarta @PemdaDKIJakarta @dinkesJKT @aniesbaswedan https://t.co/XEsKcYHdli</t>
  </si>
  <si>
    <t>Alhamdulillah, bukan sekedar mengikuti PPKM, tapi juga memberi perhatian dan fasilitas PPKM</t>
  </si>
  <si>
    <t>Kalau tidak punya usulan lain yg lbh efektif... patuhi saja PPKM.
 #PPKMSuksesKendalikanPandemi https://t.co/KkAx3wtTSO</t>
  </si>
  <si>
    <t>Kalau tidak punya usulan lain yg lbh efektif... patuhi saja PPKM.</t>
  </si>
  <si>
    <t>@Taula_ @fullmoonfolks Inspirasi kegiatan buat mengisi hari pas ppkm</t>
  </si>
  <si>
    <t>Inspirasi kegiatan buat mengisi hari pas ppkm</t>
  </si>
  <si>
    <t>@AREAJULID Bener, jadi sedih banget, soalnya temen gue ada yg harus berhenti kuliah, karena PPKM lagi kan, terus ga bisa dapet keringanan.</t>
  </si>
  <si>
    <t>Bener, jadi sedih banget, soalnya temen gue ada yg harus berhenti kuliah, karena PPKM lagi kan, terus ga bisa dapet keringanan.</t>
  </si>
  <si>
    <t>@SahabatSaber @SantorinisSun Setuju PPKM diperpanjang sih kalau begini, semua cewek turun demo pakai bikini, jadi meningkatkan imun.</t>
  </si>
  <si>
    <t>Setuju PPKM diperpanjang sih kalau begini, semua cewek turun demo pakai bikini, jadi meningkatkan imun.</t>
  </si>
  <si>
    <t>Pak jog kok ppkm di perpanjang to, pening saya kalau gini</t>
  </si>
  <si>
    <t>@Murranrais dikiranya seminggu2 biar ga keliatan lama kali ya, tau2 udah sebulan ppkm. bansosnya pada ngga sampe, datanya ngga sinkron. emang dasar irlandia negeri dagelan</t>
  </si>
  <si>
    <t>dikiranya seminggu2 biar ga keliatan lama kali ya, tau2 udah sebulan ppkm. bansosnya pada ngga sampe, datanya ngga sinkron. emang dasar irlandia negeri dagelan</t>
  </si>
  <si>
    <t>PPKM aja rakyat udah teriak, apalagi lokdon, Saya kira bapak emang ngerti mudik sama pulang kampung https://t.co/yUaS0mPDC7</t>
  </si>
  <si>
    <t>PPKM aja rakyat udah teriak, apalagi lokdon, Saya kira bapak emang ngerti mudik sama pulang kampung</t>
  </si>
  <si>
    <t>@detikcom Saya pemilih Bapak di 2 periode... TAPI SAYA SANGAT KECEWA DENGAN PERPANJANGAN PPKM, perusahaan tempat saya bekerja terancam tidak bisa bayar gaji karyawan, dan tidak ada biaya buat operasional perusahaan... KECEWA DENGAN KEBIJAKAN BAPAK</t>
  </si>
  <si>
    <t>Saya pemilih Bapak di periode... TAPI SAYA SANGAT KECEWA DENGAN PERPANJANGAN PPKM, perusahaan tempat saya bekerja terancam tidak bisa bayar gaji karyawan, dan tidak ada biaya buat operasional perusahaan... KECEWA DENGAN KEBIJAKAN BAPAK</t>
  </si>
  <si>
    <t>@ikhwalyakub @radenrauf Udh bilang tapi masih aja ppkm diperpanjang</t>
  </si>
  <si>
    <t>Udh bilang tapi masih aja ppkm diperpanjang</t>
  </si>
  <si>
    <t>ppkm mulu bgst kelar kaga covid</t>
  </si>
  <si>
    <t>-rek info dong yang berpergian malang-surabaya selama ppkm ini naik kereta/bis?</t>
  </si>
  <si>
    <t>PPKM (Papa Pingin Kerja Maa..)
 level Piro Iki luur 😀 https://t.co/sUoBscW6IK</t>
  </si>
  <si>
    <t>PPKM (Papa Pingin Kerja Maa..)level Piro Iki luur</t>
  </si>
  <si>
    <t>Mereka udah gak ngantuk. Lapar.
 Ngajak temennya nyari makan pagi2. Ngajak cepet2 berangkat sebelum dicegat oleh petugas PPKM. https://t.co/17pE40Xdhs</t>
  </si>
  <si>
    <t>Mereka udah gak ngantuk. Lapar.Ngajak temennya nyari makan pagi2. Ngajak cepet2 berangkat sebelum dicegat oleh petugas PPKM.</t>
  </si>
  <si>
    <t>Terlalu memaksakan, udah tau ppkm</t>
  </si>
  <si>
    <t>@renbuzzlight Pagi ren, abis ppkm kudu nyoto ya 🤣🤣🤣</t>
  </si>
  <si>
    <t>Pagi ren, abis ppkm kudu nyoto ya</t>
  </si>
  <si>
    <t>Kok ada ya orang seneng ppkm diperpanjang</t>
  </si>
  <si>
    <t>PPKM diperpanjang dan banyak yg nasehatin gw dengan kata SABAR...KITA PASTI BISA LALUIN SEMUA,DEMI MASYARAKAT...AYO DUKUNG JOKOWI...BLA BLA BLA..
 telek bletek...
 @jokowi</t>
  </si>
  <si>
    <t>PPKM diperpanjang dan banyak yg nasehatin gw dengan kata SABAR...KITA PASTI BISA LALUIN SEMUA,DEMI MASYARAKAT...AYO DUKUNG JOKOWI...BLA BLA BLA..telek bletek...</t>
  </si>
  <si>
    <t>@TofaTofa_id Tinggal kan ppkm juga kelar🤭</t>
  </si>
  <si>
    <t>Tinggal kan ppkm juga kelar</t>
  </si>
  <si>
    <t>masi ppkm lg</t>
  </si>
  <si>
    <t>Klo pake UU karantina, klo gagal alias makin parah pandeminya ya pasti semua nyalahinnya presiden. Klo pake ppkm, klo gagal nanganin pandemi ya gubernur yg paling terdepan dicaci maki, walau ada ppkm sgala macem pasti ada kebijakan setiap daerah yg berbeda2.</t>
  </si>
  <si>
    <t>@AREAJULID lagian yee di tempat gua msh bnyk yg kaga pake masker pas ke masjid. trs 2 hari lalu ngadain nikahan. ga efektif kan? paling cuma beberapa aja yg mau taat sama ppkm. kasian jg yg mo nikah. walaupun bisa sih akad dulu. hufffffttt</t>
  </si>
  <si>
    <t>lagian yee di tempat gua msh bnyk yg kaga pake masker pas ke masjid. trs hari lalu ngadain nikahan. ga efektif kan? paling cuma beberapa aja yg mau taat sama ppkm. kasian jg yg mo nikah. walaupun bisa sih akad dulu. hufffffttt</t>
  </si>
  <si>
    <t>PPKM kaya prank aja sekarang 🙃</t>
  </si>
  <si>
    <t>PPKM kaya prank aja sekarang</t>
  </si>
  <si>
    <t>@jokowi Presiden terburuk...sepanjang indonesia merdeka.. yg tidak peduli derita rakyat kecil.. udh jelas banyak yg protes PPKM ehh malah cmn dengerin para menterinya saja. Coba dibalik posisinya kalian pejabat dan aparat yg khilangan pekerjaan akibat PPKM pasti juga protes kan??</t>
  </si>
  <si>
    <t>Presiden terburuk...sepanjang indonesia merdeka.. yg tidak peduli derita rakyat kecil.. udh jelas banyak yg protes PPKM ehh malah cmn dengerin para menterinya saja. Coba dibalik posisinya kalian pejabat dan aparat yg khilangan pekerjaan akibat PPKM pasti juga protes kan??</t>
  </si>
  <si>
    <t>Indeks PMI Indonesia bulan juli anjlok. salah satu penyebabnya karena kebijakan PPKM yang membatasi daya beli masyarakat mengakibatkan perlambatan money velocity. Teman teman jaga kesehatan ya! semoga Indonesia segera membaik dari segi kesehatan maupun ekonominya. https://t.co/5N2sSo4FlP</t>
  </si>
  <si>
    <t>Indeks PMI Indonesia bulan juli anjlok. salah satu penyebabnya karena kebijakan PPKM yang membatasi daya beli masyarakat mengakibatkan perlambatan money velocity. Teman teman jaga kesehatan ya! semoga Indonesia segera membaik dari segi kesehatan maupun ekonominya.</t>
  </si>
  <si>
    <t>@its_leeaa ppkm bisa nambah tabungan 😆</t>
  </si>
  <si>
    <t>ppkm bisa nambah tabungan</t>
  </si>
  <si>
    <t>Selamat pagi hari pertama PPKM perpanjangan, semoga kita selalu dikuatkan ,dimampukan, jangan lupa pasang bendera merah PUTIH ,🙏</t>
  </si>
  <si>
    <t>Selamat pagi hari pertama PPKM perpanjangan, semoga kita selalu dikuatkan ,dimampukan, jangan lupa pasang bendera merah PUTIH ,</t>
  </si>
  <si>
    <t>Perpanjang ppkm udah kaya cicilan paylater. Nambah teros</t>
  </si>
  <si>
    <t>@Stevaniehuangg Ooh mungkin ini alasan ppkm diperpanjang kali ya, banyak imun cecebs yg drop jadi berpotensi menaikkan jumlah yg terpapar koronce 🤣</t>
  </si>
  <si>
    <t>Ooh mungkin ini alasan ppkm diperpanjang kali ya, banyak imun cecebs yg drop jadi berpotensi menaikkan jumlah yg terpapar koronce</t>
  </si>
  <si>
    <t>Ppkm manjang terus = semua planning pergi jauh auto cancel corona asuuuu</t>
  </si>
  <si>
    <t>PPKM 
 Pas Pertamakali Ketemu Minder 😬</t>
  </si>
  <si>
    <t>PPKM Pas Pertamakali Ketemu Minder</t>
  </si>
  <si>
    <t>PPKM = PALA PUYENG KURANG MONEY</t>
  </si>
  <si>
    <t>@kppn_klaten apakah kantor KPPN Klaten selama PPKM buka ya? Untuk mengurus bukti SKPP syaratnya apa ya min</t>
  </si>
  <si>
    <t>apakah kantor KPPN Klaten selama PPKM buka ya? Untuk mengurus bukti SKPP syaratnya apa ya min</t>
  </si>
  <si>
    <t>@aarunae Tau jir. Ppkm malah gk bener org2😭</t>
  </si>
  <si>
    <t>Tau jir. Ppkm malah gk bener org2</t>
  </si>
  <si>
    <t>Goblok emang ya bang itu namanya foya foya anggaran 2M ada buat ganti warna pesawat @jokowi ntu rakyatnya lagi PPKM bansos aja lamban ditangani apa loe gak selidiki mimin @DivHumas_Polri kenapa bansosnya lamban? https://t.co/uVwDGH76sL</t>
  </si>
  <si>
    <t>Goblok emang ya bang itu namanya foya foya anggaran M ada buat ganti warna pesawat ntu rakyatnya lagi PPKM bansos aja lamban ditangani apa loe gak selidiki mimin kenapa bansosnya lamban?</t>
  </si>
  <si>
    <t>@runtoya nie yg kmrn lagi ppkm ngadain birthday party</t>
  </si>
  <si>
    <t>nie yg kmrn lagi ppkm ngadain birthday party</t>
  </si>
  <si>
    <t>Stop untuk memikirkan soal cinta atau hal yang tak bermanfaat. Yang harus kita pikirkan saat ini adalah bagaimana cara bertahan hidup di saat PPKM yang belum jelas kapan berakhirnya.
 #KataBijak 
 #PPKM</t>
  </si>
  <si>
    <t>Stop untuk memikirkan soal cinta atau hal yang tak bermanfaat. Yang harus kita pikirkan saat ini adalah bagaimana cara bertahan hidup di saat PPKM yang belum jelas kapan berakhirnya.</t>
  </si>
  <si>
    <t>Secara sifat kepolisian kan tegas dan pasti. Pedagang langgar PPKM denda jutaan sampai ada yang masuk bui, DPRD hajatan 500k denda, tegas kan. Lu jadi korban aja bisa jafi tersangka kok. Bisa diliat di Makasar(?) sono. Orangnya masuk bui (?) usahanya/rumah ancur dimasalahin. 👍</t>
  </si>
  <si>
    <t>Secara sifat kepolisian kan tegas dan pasti. Pedagang langgar PPKM denda jutaan sampai ada yang masuk bui, DPRD hajatan k denda, tegas kan. Lu jadi korban aja bisa jafi tersangka kok. Bisa diliat di Makasar(?) sono. Orangnya masuk bui (?) usahanya/rumah ancur dimasalahin.</t>
  </si>
  <si>
    <t>Presiden Jokowi mengumumkan PPKM Level 4 mulai dari 3 Agustus sampai 9 Agustus 2021 #PPKMLevel4SolusiBaik https://t.co/OAgefOdSDH</t>
  </si>
  <si>
    <t>Presiden Jokowi mengumumkan PPKM Level mulai dari Agustus sampai Agustus</t>
  </si>
  <si>
    <t>@adeabdwhb ppkm pilot ya?</t>
  </si>
  <si>
    <t>ppkm pilot ya?</t>
  </si>
  <si>
    <t>Sukseskan kembali PPKM level 4 , krna sdh menunjukan bukti penurunan angka positif harian. Dan tetap jaga Protokol kesehatan secara ketat. 
 #PPKMDemiPemulihanNKRI https://t.co/nbm5h2F1dP</t>
  </si>
  <si>
    <t>Sukseskan kembali PPKM level , krna sdh menunjukan bukti penurunan angka positif harian. Dan tetap jaga Protokol kesehatan secara ketat.</t>
  </si>
  <si>
    <t>Ppkm dah kek bon cabe</t>
  </si>
  <si>
    <t>smoga ppkm berhenti di tnggl 17 agustus, trus covid ilang trus indonesia merdeka skali lagi.</t>
  </si>
  <si>
    <t>smoga ppkm berhenti di tnggl agustus, trus covid ilang trus indonesia merdeka skali lagi.</t>
  </si>
  <si>
    <t>@IsbaniMulyanto Ya bos karna kl cuma bacot aja sih gampang.
 Sabar,demi kita sebuah,semua juga susah,ayok patuhi,dukung ppkm bla bla bla bla.....
 Heh bos...tiap org kondisi beda2,brsyukur anda msh punya pemasukan walaupun brkurang,beda dgn org2 yg bner2 NIHIL oleh dampak ppkm ini.</t>
  </si>
  <si>
    <t>Ya bos karna kl cuma bacot aja sih gampang.Sabar,demi kita sebuah,semua juga susah,ayok patuhi,dukung ppkm bla bla bla bla.....Heh bos...tiap org kondisi beda2,brsyukur anda msh punya pemasukan walaupun brkurang,beda dgn org2 yg bner2 NIHIL oleh dampak ppkm ini.</t>
  </si>
  <si>
    <t>Terus yg diomongin selalu kepatuham masyarakat kan ya? Ada ga ngomongin kepatuham petugas? Di posko ppkm aja g ada yg jaga cmn ada kursi2 doang. Plus itu dr berita2 kalau org berkuasa g dipenjara lgsg tp rakyat dipenjara lgsg hem</t>
  </si>
  <si>
    <t>Waaah...??
 Kabupaten Tasikmalaya Satu-satunya di Jawa yang PPKM Level 2, Bersiap Buka Sekolah Tatap Muka
 Klik untuk baca: https://t.co/g8pljFQfuY</t>
  </si>
  <si>
    <t>Waaah...??Kabupaten Tasikmalaya Satu-satunya di Jawa yang PPKM Level , Bersiap Buka Sekolah Tatap MukaKlik untuk baca:</t>
  </si>
  <si>
    <t>@Winks4Jjack @aniesbaswedan Masalah kebijakan PPKM dan segalanya itu dr Pusat mas... Jadi Pemda mau tidak mau harus menjalankannya, tinggal dilihat bgmn pelaksanaan bagi warganya</t>
  </si>
  <si>
    <t>Masalah kebijakan PPKM dan segalanya itu dr Pusat mas... Jadi Pemda mau tidak mau harus menjalankannya, tinggal dilihat bgmn pelaksanaan bagi warganya</t>
  </si>
  <si>
    <t>@udagapapaa @Askrlfess dia ngerayain ultah besar-besaran pas lagi ppkm di hotel. udah gitu dianya ga pake masker</t>
  </si>
  <si>
    <t>dia ngerayain ultah besar-besaran pas lagi ppkm di hotel. udah gitu dianya ga pake masker</t>
  </si>
  <si>
    <t>sekarang tuh ppkm level brapa sih</t>
  </si>
  <si>
    <t>pemerintahan dipegang mak erot, ppkm diperpanjang terus.</t>
  </si>
  <si>
    <t>@betapstyn Masih ppkm</t>
  </si>
  <si>
    <t>Blm bisa usulkan online concert, soalnya pengalaman kmrn aja sampe ketunda gegara ppkm versi sokor</t>
  </si>
  <si>
    <t>@kumparan 2 M itu bisa mengisi perut rakyat yg kelaparan krn PPKM</t>
  </si>
  <si>
    <t>M itu bisa mengisi perut rakyat yg kelaparan krn PPKM</t>
  </si>
  <si>
    <t>@ELFARAFM @annisamgfr @yudhaliciouss Sudah, apalagi lagi ppkm jarang makan ditempat jadi pesen makanan online,request Kalau Bosan by Lyodra. Thanks</t>
  </si>
  <si>
    <t>Sudah, apalagi lagi ppkm jarang makan ditempat jadi pesen makanan online,request Kalau Bosan by Lyodra. Thanks</t>
  </si>
  <si>
    <t>ppkm malah kena positif</t>
  </si>
  <si>
    <t>Banyak orang yang pingin mewujudkan impiannya tapi tertahan/ngerem diri karena cvd dan sadar lagi ppkm, mbak. https://t.co/BFUDF8lwv1</t>
  </si>
  <si>
    <t>Banyak orang yang pingin mewujudkan impiannya tapi tertahan/ngerem diri karena cvd dan sadar lagi ppkm, mbak.</t>
  </si>
  <si>
    <t>PPKM diperpanjang ae terus sampe aku jadi PNS.</t>
  </si>
  <si>
    <t>@bucinJeykey16 😂 ya ampun jauh amat sampe korea , idung nya bebas dri ppkm</t>
  </si>
  <si>
    <t>ya ampun jauh amat sampe korea , idung nya bebas dri ppkm</t>
  </si>
  <si>
    <t>stok ppkm diperpanjang udah mau satu bulan nyosis terus wkwk https://t.co/Q3etApFBpC</t>
  </si>
  <si>
    <t>stok ppkm diperpanjang udah mau satu bulan nyosis terus wkwk</t>
  </si>
  <si>
    <t>@Dennysiregar7 @aniesbaswedan wakakkaka... bener juga yak...
 semangat semangat
 cariii duit lagi hari ini.
 .
 .
 .
 eh ppkm di perpanjang gk sih?</t>
  </si>
  <si>
    <t>wakakkaka... bener juga yak...semangat semangatcariii duit lagi hari ini....eh ppkm di perpanjang gk sih?</t>
  </si>
  <si>
    <t>@Askrlfess Jan egois lah, ga cuman lu doang yg pengen di rayain ultahnya, beberapa orng jg mau tp mereka mikir lagi ppkm gini</t>
  </si>
  <si>
    <t>Jan egois lah, ga cuman lu doang yg pengen di rayain ultahnya, beberapa orng jg mau tp mereka mikir lagi ppkm gini</t>
  </si>
  <si>
    <t>@Rammadalls ppkm lagii</t>
  </si>
  <si>
    <t>ppkm lagii</t>
  </si>
  <si>
    <t>PPKM Diperpanjang, Jokowi Jamin Bansos Buat Masyarakat
 https://t.co/OnL2Uu9qz4.
 Berjuang Bersama Jokowi</t>
  </si>
  <si>
    <t>PPKM Diperpanjang, Jokowi Jamin Bansos Buat Masyarakat Bersama Jokowi</t>
  </si>
  <si>
    <t>Awal WFH 
 Mandi : 05.30 / 06.00
 Melewati PSBB lanjut ke PPKM, mandinya jam 7.45 (dimana jam 8 lanjut meeting) 🤣</t>
  </si>
  <si>
    <t>Awal WFH Mandi : / Melewati PSBB lanjut ke PPKM, mandinya jam (dimana jam lanjut meeting)</t>
  </si>
  <si>
    <t>Sesuai anjuran, jarang keluar rumah selama PPKM. Sekalinya kayuh sepeda, sepuluh kilo saja sudah kembang kempis. Ngeri juga efek PPKM untuk pesepeda kasual begini.</t>
  </si>
  <si>
    <t>Ppkm diperpanjang sampe Haikyuu season 5 rilis</t>
  </si>
  <si>
    <t>Ppkm diperpanjang sampe Haikyuu season rilis</t>
  </si>
  <si>
    <t>Pengen seharian nde JP 2 lagi, tapi masi tutup karna ppkm ._.</t>
  </si>
  <si>
    <t>Pengen seharian nde JP lagi, tapi masi tutup karna ppkm ._.</t>
  </si>
  <si>
    <t>Guys, ga papa kan ya aku nolak tawaran doi untuk di gofood in aku soalnya takut ga bisa bales kebaikan dia soalnya dampak ppkm gini cari duit susah bgt [askrl]</t>
  </si>
  <si>
    <t>@IsbaniMulyanto Protes dengan kebijakan itu bukam brarti membenci,lihat post2 saya sebelumnya.
 Saya pendukung,pemilih dan pembela jokowi.
 Namun dengan kebijakan ppkm ini saya protes keras,knapa...?jelas ini membuat saya dan org2 yg cari nafkah disektor yg sama dengan saya jadi MATI.
 paham drun?</t>
  </si>
  <si>
    <t>Protes dengan kebijakan itu bukam brarti membenci,lihat post2 saya sebelumnya.Saya pendukung,pemilih dan pembela jokowi.Namun dengan kebijakan ppkm ini saya protes keras,knapa...?jelas ini membuat saya dan org2 yg cari nafkah disektor yg sama dengan saya jadi MATI.paham drun?</t>
  </si>
  <si>
    <t>@jajaw11 Ha ha ha gimana, perasaan dulu bukan ini balesannya. Gaakan ngajak karaokean nih? Ppkm yaAllah 😅😂</t>
  </si>
  <si>
    <t>Ha ha ha gimana, perasaan dulu bukan ini balesannya. Gaakan ngajak karaokean nih? Ppkm yaAllah</t>
  </si>
  <si>
    <t>@mlbbfess ppkm gimana si maksudnya? ga paham 😭</t>
  </si>
  <si>
    <t>ppkm gimana si maksudnya? ga paham</t>
  </si>
  <si>
    <t>@ridwanhr hawanya selesai PPKM nambah ini</t>
  </si>
  <si>
    <t>hawanya selesai PPKM nambah ini</t>
  </si>
  <si>
    <t>@rinyourbae Awalnya ppkm, jadinya ppppkkkkmmmmmm</t>
  </si>
  <si>
    <t>Awalnya ppkm, jadinya ppppkkkkmmmmmm</t>
  </si>
  <si>
    <t>tpi ko opini w ngerasa ppkm gabikin efek apa-apa yaa?cmiiw🙌🏼 https://t.co/sU7W6Wbroh</t>
  </si>
  <si>
    <t>tpi ko opini w ngerasa ppkm gabikin efek apa-apa yaa?cmiiw</t>
  </si>
  <si>
    <t>PPKM level 4 Diperpanjang sampe 9 Agustus, tgl 10 jadi level 5</t>
  </si>
  <si>
    <t>PPKM level Diperpanjang sampe Agustus, tgl jadi level</t>
  </si>
  <si>
    <t>Yang udah hampir divaksin semua mau lockdown lagi. Apa kabar indonesia? Bisa bisa ppkm sampe 2025 https://t.co/CGEiwGH8QQ</t>
  </si>
  <si>
    <t>Yang udah hampir divaksin semua mau lockdown lagi. Apa kabar indonesia? Bisa bisa ppkm sampe</t>
  </si>
  <si>
    <t>@Ar1Pangeran Pala kau yg gk ada akal!!!
 Tuh rakyat nunggu bantuan imbas dr PPKM, lha kamu enak lapar tinggl jilatin badan pesawat dah kenyang 😂</t>
  </si>
  <si>
    <t>Pala kau yg gk ada akal!!!Tuh rakyat nunggu bantuan imbas dr PPKM, lha kamu enak lapar tinggl jilatin badan pesawat dah kenyang</t>
  </si>
  <si>
    <t>Sdf! Dr sda ke mlg naik bis masih bisa ga ppkm lanjut gini? Harus bawa suket vaks!n kah? Oh ya tarifnya brp biasanya?
 Thxx</t>
  </si>
  <si>
    <t>Sdf! Dr sda ke mlg naik bis masih bisa ga ppkm lanjut gini? Harus bawa suket vaks!n kah? Oh ya tarifnya brp biasanya?Thxx</t>
  </si>
  <si>
    <t>menurut w yg bukan siapa2 ini, ppkm itu pentingnya cm buat menjaga faskes biar nggak kolaps. masalah tingkat penyebaran dan jumlah kematian beda lagi, wong masyarakatnya gak bisa sadar patuh sukarela dan pemerintah prioritasnya gak jelas juga</t>
  </si>
  <si>
    <t>bingung deh kl ngomelin cowo tuh knp mereka milih diem? kan bikin aing mikir, ini org ngerasa bersalah trs mikir apa males diomelin trs nnt diulang lg. dsr stn ajg ppkm asmr</t>
  </si>
  <si>
    <t>PPKM sesuai dg kondisi masing2 daerah✊ https://t.co/OhTvBQLMyz</t>
  </si>
  <si>
    <t>PPKM sesuai dg kondisi masing2 daerah</t>
  </si>
  <si>
    <t>Hmmmm first day kerja lagi setelah ppkm dan bentet dirumah🤣</t>
  </si>
  <si>
    <t>Hmmmm first day kerja lagi setelah ppkm dan bentet dirumah</t>
  </si>
  <si>
    <t>Oalah ppkm disana diperpanjang 😓</t>
  </si>
  <si>
    <t>Oalah ppkm disana diperpanjang</t>
  </si>
  <si>
    <t>@infomalang info, tempat wisata yg buka selama ppkm lvl 4 ini dmn ya gaes?</t>
  </si>
  <si>
    <t>info, tempat wisata yg buka selama ppkm lvl ini dmn ya gaes?</t>
  </si>
  <si>
    <t>@acerID Apakah harus ada pendaftaran sblm ke service centre? Karena ppkm juga diperpanjang lagi..</t>
  </si>
  <si>
    <t>Apakah harus ada pendaftaran sblm ke service centre? Karena ppkm juga diperpanjang lagi..</t>
  </si>
  <si>
    <t>@DivHumas_Polri Maaf pak, saya kelaparan sejak ppkm asam lambung sampe naik terus. Kalo saya udah meninggal gara2 jarang makan sejak ppkm, nanti saya kabarin.</t>
  </si>
  <si>
    <t>Maaf pak, saya kelaparan sejak ppkm asam lambung sampe naik terus. Kalo saya udah meninggal gara2 jarang makan sejak ppkm, nanti saya kabarin.</t>
  </si>
  <si>
    <t>@RieGucciano coba bikin strategi PPKM 
 yg out of the box
 jika anda pergi melewati baliho puan, artinya anda pendukung puan
 nanti kita lihat, mobilitas masih tinggi gak</t>
  </si>
  <si>
    <t>coba bikin strategi PPKM yg out of the boxjika anda pergi melewati baliho puan, artinya anda pendukung puannanti kita lihat, mobilitas masih tinggi gak</t>
  </si>
  <si>
    <t>@Gerindra Pagi min jangan lupa bilangin pak @prabowo suruh GA buku, lumayan buat ngisi waktu luang PPKM level-levelan.</t>
  </si>
  <si>
    <t>Pagi min jangan lupa bilangin pak suruh GA buku, lumayan buat ngisi waktu luang PPKM level-levelan.</t>
  </si>
  <si>
    <t>Tiap hari ada aja yg pamitan,hari terakhir kerja.. magang 9bulan udah dibela2in gak ijin absen biar diperpanjang tapi sia2 cuman gara2 kebijakan ppkm diperpanjang.. mentok sana sini dah,</t>
  </si>
  <si>
    <t>Tiap hari ada aja yg pamitan,hari terakhir kerja.. magang bulan udah dibela2in gak ijin absen biar diperpanjang tapi sia2 cuman gara2 kebijakan ppkm diperpanjang.. mentok sana sini dah,</t>
  </si>
  <si>
    <t>emang paling bener cari suasana baru buat ngerjain skripsi, bosen juga di rumah terus. tapi ppkm diperpanjang🥲</t>
  </si>
  <si>
    <t>emang paling bener cari suasana baru buat ngerjain skripsi, bosen juga di rumah terus. tapi ppkm diperpanjang</t>
  </si>
  <si>
    <t>@Wanlovesaja Ohh, PPKM selesai ini rencana mau ke Kalimantan ada teman yg ngajak</t>
  </si>
  <si>
    <t>Ohh, PPKM selesai ini rencana mau ke Kalimantan ada teman yg ngajak</t>
  </si>
  <si>
    <t>Patah hati seorang anak adalah ketika orang tua lagi sakit, tapi ga bisa nengokin karna jauh dan masi ppkm. Semoga papamama cepat sembuh ya Allah biar ga kepikiran terus 🥲</t>
  </si>
  <si>
    <t>Patah hati seorang anak adalah ketika orang tua lagi sakit, tapi ga bisa nengokin karna jauh dan masi ppkm. Semoga papamama cepat sembuh ya Allah biar ga kepikiran terus</t>
  </si>
  <si>
    <t>Harusnya waktunya Quality Time, eh malah PPKM</t>
  </si>
  <si>
    <t>@VIVAcoid PPKm dg anggaran triliunan salah satu gunanya mencegah kerumunan...eh.. malah pemerintah sndiri yg membuat kerumunan parah lagi.. hrsnya pemerintah kena denda dg aturanya sndiri. Mau krn vaksin atw apa tetap aja berkerumun. Konyol!!</t>
  </si>
  <si>
    <t>PPKm dg anggaran triliunan salah satu gunanya mencegah kerumunan...eh.. malah pemerintah sndiri yg membuat kerumunan parah lagi.. hrsnya pemerintah kena denda dg aturanya sndiri. Mau krn vaksin atw apa tetap aja berkerumun. Konyol!!</t>
  </si>
  <si>
    <t>@KRMTRoySuryo2 rakyat butuh anggaran krn efek ppkm dan ppkm, misal ngecat pesawat setelah pandemi itu lebih bijak. contoh, mau ngecat mobil kelgnya kelaparan, apakah tetep ngecat mobil.?? salam ambyaar....makin ambyaar</t>
  </si>
  <si>
    <t>rakyat butuh anggaran krn efek ppkm dan ppkm, misal ngecat pesawat setelah pandemi itu lebih bijak. contoh, mau ngecat mobil kelgnya kelaparan, apakah tetep ngecat mobil.?? salam ambyaar....makin ambyaar</t>
  </si>
  <si>
    <t>Jadi, buat kalian yang murang-muring perkara PPKM, bukan kamu thok yang rempong. Aku yang butuh pijet gini yo rempong...</t>
  </si>
  <si>
    <t>@irsyd__ Yg ulang taun pas ppkm kmarin ituu kn?</t>
  </si>
  <si>
    <t>Yg ulang taun pas ppkm kmarin ituu kn?</t>
  </si>
  <si>
    <t>Akibat perpanjangan ppkm jilid xxxxxxxxx https://t.co/h5dIAsCoMs</t>
  </si>
  <si>
    <t>Akibat perpanjangan ppkm jilid xxxxxxxxx</t>
  </si>
  <si>
    <t>PPKM didukung, bansos dikurung, pedagang tak untung, korupsi dianggap bencana.</t>
  </si>
  <si>
    <t>mama ngirim vn lagi katanya nanti ppkm kelar harus langsung pulang.. adek2, mama, sama bapak udah kangen gua katanya wkwkwk. pagi2 dah mewek mulu nih jadinya😂</t>
  </si>
  <si>
    <t>mama ngirim vn lagi katanya nanti ppkm kelar harus langsung pulang.. adek2, mama, sama bapak udah kangen gua katanya wkwkwk. pagi2 dah mewek mulu nih jadinya</t>
  </si>
  <si>
    <t>@syapasyapaaa Kelar ppkm haha</t>
  </si>
  <si>
    <t>Kelar ppkm haha</t>
  </si>
  <si>
    <t>@Askrlfess yaa sah sah aja. tapi gak waktu ppkm juga dong cantik</t>
  </si>
  <si>
    <t>yaa sah sah aja. tapi gak waktu ppkm juga dong cantik</t>
  </si>
  <si>
    <t>Ppkm diperpanjang, sampai kamu tobat.</t>
  </si>
  <si>
    <t>@WSulchan Kocak ya, bikin hiburan Di masa PPKM</t>
  </si>
  <si>
    <t>Kocak ya, bikin hiburan Di masa PPKM</t>
  </si>
  <si>
    <t>@kopibubuk2000 Suasananya ituloh.....
 Huhu, moga ini ppkm terakhir.. g ada perpanjangan lg ;(</t>
  </si>
  <si>
    <t>Suasananya ituloh.....Huhu, moga ini ppkm terakhir.. g ada perpanjangan lg</t>
  </si>
  <si>
    <t>Kemenangan grey apri di tahun ini membawa dampak positif bagi banyak pihak, memberikan harapan, banyak kebhagiaan di tengah2 hiruk pikuknya ppkm yang menghimpit banyak masyarakat ditengah pandemi.</t>
  </si>
  <si>
    <t>Masa PPKM tapi gak ada hiburan, ya sudahlah</t>
  </si>
  <si>
    <t>@tarolatteice_ Aku dibilangi sm WO, kalopengen nikah mending tunda dulu sampe ppkm selese. Karna bener2 ribet nikah waktu ppkm. Sabar yaa. Aku juga pejuang halal sama kaya kamu 🥰</t>
  </si>
  <si>
    <t>Aku dibilangi sm WO, kalopengen nikah mending tunda dulu sampe ppkm selese. Karna bener2 ribet nikah waktu ppkm. Sabar yaa. Aku juga pejuang halal sama kaya kamu</t>
  </si>
  <si>
    <t>Meskipun kasus Covid-19 membaik namun belum cukup aman untuk mencabut PPKM https://t.co/mSXc3BJ6KC</t>
  </si>
  <si>
    <t>Meskipun kasus Covid-19 membaik namun belum cukup aman untuk mencabut PPKM</t>
  </si>
  <si>
    <t>@bijiketapang2_ Kelar ppkm yak...</t>
  </si>
  <si>
    <t>Kelar ppkm yak...</t>
  </si>
  <si>
    <t>pasti ngomongnya pPkM aDa tApi gAk pAda pEduLi</t>
  </si>
  <si>
    <t>Pernah ngga sii mimpi jalan jalan sama doi tapi bahagianya sampai kedunia nyata ?
 Efek ppkm Kali yaa~</t>
  </si>
  <si>
    <t>Pernah ngga sii mimpi jalan jalan sama doi tapi bahagianya sampai kedunia nyata ?Efek ppkm Kali yaa~</t>
  </si>
  <si>
    <t>@FerdinandHaean3 Biji lu bukan foya2..
 Rakyat di PPKM, makan bsk aja mikir..</t>
  </si>
  <si>
    <t>Biji lu bukan foya2..Rakyat di PPKM, makan bsk aja mikir..</t>
  </si>
  <si>
    <t>@Mawar_Hitam09 Pagi bos, sudah balik maning nang Bali toh,welcome to Bali, selamat menjalankan PPKM=Pelan tapi Pasti Kita Menang melawan COVID-19, jangan lupa himbauan Pak Yan Koster, minum kopi pait + arak biar semangat 😁</t>
  </si>
  <si>
    <t>Pagi bos, sudah balik maning nang Bali toh,welcome to Bali, selamat menjalankan PPKMelan tapi Pasti Kita Menang melawan COVID-19, jangan lupa himbauan Pak Yan Koster, minum kopi pait + arak biar semangat</t>
  </si>
  <si>
    <t>@MEY_MAKNYAAREK2 @SriRahayu1675 @Raka_shiwie @M60kNE_Arek2 Lagi ppkm kak bahaya 😌
 Tar aq diculik ke RS 😆</t>
  </si>
  <si>
    <t>Lagi ppkm kak bahaya Tar aq diculik ke RS</t>
  </si>
  <si>
    <t>Selamat pagi jiwa muda nikahnya terhambat ppkm</t>
  </si>
  <si>
    <t>literally kerjaannya jalan jalan dan acuh ppkm</t>
  </si>
  <si>
    <t>@NikenRG Kalo di ketentuannya sih masih.. karena PPKM diperpanjang. Tp belum tau nihhhh Insya Allah besok baru mauu berangkat . Doain ya Ken ☺️</t>
  </si>
  <si>
    <t>Kalo di ketentuannya sih masih.. karena PPKM diperpanjang. Tp belum tau nihhhh Insya Allah besok baru mauu berangkat . Doain ya Ken</t>
  </si>
  <si>
    <t>@94afii Alhamdulillah aku dan keluargaku baik-baik saja..
 Semoga PPKM ini membawa kebaikan bagi kita semua, Aamiin..</t>
  </si>
  <si>
    <t>Alhamdulillah aku dan keluargaku baik-baik saja..Semoga PPKM ini membawa kebaikan bagi kita semua, Aamiin..</t>
  </si>
  <si>
    <t>@binnafahrianim Daring terus cape bun, padahal dari agustus 2020 - juni 2021 kemarin dah masuk. Skrg ppkm jadi daring :(</t>
  </si>
  <si>
    <t>Daring terus cape bun, padahal dari agustus - juni kemarin dah masuk. Skrg ppkm jadi daring</t>
  </si>
  <si>
    <t>Pernah Perhatian Kemudian Menghilang
 Ia kamu sama kyk PPKM 🙃</t>
  </si>
  <si>
    <t>Pernah Perhatian Kemudian MenghilangIa kamu sama kyk PPKM</t>
  </si>
  <si>
    <t>Siap-siap ngonten lagi... and more... dan semoga PPKM hasilnya maksimal dan nyata. https://t.co/7VX5B8E8cE</t>
  </si>
  <si>
    <t>Siap-siap ngonten lagi... and more... dan semoga PPKM hasilnya maksimal dan nyata.</t>
  </si>
  <si>
    <t>ini saking dari semeter kemarin hampir 24 jam nugas kek orang gila pas ppkm gak ada tugas malah gabut anjir pengen nugas 😭😭😭, tapi pas dikasih ya mager juga, paham gak sih ⚠️⚠️</t>
  </si>
  <si>
    <t>ini saking dari semeter kemarin hampir jam nugas kek orang gila pas ppkm gak ada tugas malah gabut anjir pengen nugas , tapi pas dikasih ya mager juga, paham gak sih</t>
  </si>
  <si>
    <t>@contactap2 mau nanya min, udah vaksin tapi penyitas covid gimana? Soalnya hasil pcrnya bisa aja positif, apa gaada solusi untuk masalah ini? Padahal sudah dari awal ppkm loh tapi masih belum ada solusi dan ppkm terus diperpanjang. Rute yia-mks</t>
  </si>
  <si>
    <t>mau nanya min, udah vaksin tapi penyitas covid gimana? Soalnya hasil pcrnya bisa aja positif, apa gaada solusi untuk masalah ini? Padahal sudah dari awal ppkm loh tapi masih belum ada solusi dan ppkm terus diperpanjang. Rute yia-mks</t>
  </si>
  <si>
    <t>@yskarr bismillah, mauuu buat nemenin selama ppkm biar ngga gabut wish me luck🥳🧡</t>
  </si>
  <si>
    <t>bismillah, mauuu buat nemenin selama ppkm biar ngga gabut wish me luck</t>
  </si>
  <si>
    <t>Dih mles bgt sklh guhe hari ini ada pengambilan buku. Knp sie sklh2 skrg bnyk bgt nyari kesempatan dlm kesempitan?? Dah tau lg ppkm, nekad bgt nyuruh murid ambil buku hrs ke sklh</t>
  </si>
  <si>
    <t>Ppkm oh ppkmmmmm🥲</t>
  </si>
  <si>
    <t>Ppkm oh ppkmmmmm</t>
  </si>
  <si>
    <t>@danutapr Aku nunggu ppkm ki kelar hufff</t>
  </si>
  <si>
    <t>Aku nunggu ppkm ki kelar hufff</t>
  </si>
  <si>
    <t>Dah bosen ppkm mulu. https://t.co/4nN2NltGZF</t>
  </si>
  <si>
    <t>Dah bosen ppkm mulu.</t>
  </si>
  <si>
    <t>@bertanyarl posthink aja nder kesendat ppkm jadi di undur trs kaya gw ini mau bikin surprise ke bestie tp malah di perpanjang ppkmnya mwu marah😭🙏🏻</t>
  </si>
  <si>
    <t>posthink aja nder kesendat ppkm jadi di undur trs kaya gw ini mau bikin surprise ke bestie tp malah di perpanjang ppkmnya mwu marah</t>
  </si>
  <si>
    <t>Udah kangen jember
 Tapi program masih ga jelas
 Kalau nurutin PPKM mah sampek kapan? Setiap hari terakhir Ppkm bakal diumuin setelah magrib kalau diperpanjang seminggu lagi.</t>
  </si>
  <si>
    <t>Udah kangen jemberTapi program masih ga jelasKalau nurutin PPKM mah sampek kapan? Setiap hari terakhir Ppkm bakal diumuin setelah magrib kalau diperpanjang seminggu lagi.</t>
  </si>
  <si>
    <t>PPKM diperpanjang, gimana mau nyari jodoh kalo dibatesin mulu yak</t>
  </si>
  <si>
    <t>@Thinkergurly kalau udah ga PPkm yaa</t>
  </si>
  <si>
    <t>kalau udah ga PPkm yaa</t>
  </si>
  <si>
    <t>ppkm ppkm, ga mesisan lockdown ae se. karuan kabeh berhenti untuk beberapa waktu. ppkm sm sehari2 ramenya msh gajauh beda pdhl. cvd asu og ancen.</t>
  </si>
  <si>
    <t>@GYUKOTH Efek PPKM dan pandemi ya? Biasanya disana selalu rame karena pusat seni</t>
  </si>
  <si>
    <t>Efek PPKM dan pandemi ya? Biasanya disana selalu rame karena pusat seni</t>
  </si>
  <si>
    <t>Saya heran, saya kuliah di kesehatan tapi orang-orangnya gak tau PPKM. Mengadakan praktek, mengadakan bimbingan secara offline. Kasian kami yang rumahnya jauh harus menghadapi PPKM.</t>
  </si>
  <si>
    <t>@Penyair_Berdiri Ayo dukung PPKM</t>
  </si>
  <si>
    <t>Ayo dukung PPKM</t>
  </si>
  <si>
    <t>Hr ini Covid19 dunia tembus 200jt kasus.
 10jt kasus terakhir dicapai dlm 18 hari. 6hr lbh cepat dr seblmnya. Pandemi sedunia meningkat kembali. Id mulai menurun berkat PPKM dan gencarnya vaksinasi.
 Agustus bln keramat bagi bangsa Indonesia. Semoga bawa berkah pandemi sgr berlalu. https://t.co/Ti7ZokKYjp</t>
  </si>
  <si>
    <t>Hr ini Covid19 dunia tembus jt kasus.10jt kasus terakhir dicapai dlm hari. hr lbh cepat dr seblmnya. Pandemi sedunia meningkat kembali. Id mulai menurun berkat PPKM dan gencarnya vaksinasi.Agustus bln keramat bagi bangsa Indonesia. Semoga bawa berkah pandemi sgr berlalu.</t>
  </si>
  <si>
    <t>Apakabar indo 😂 ppkm mlulu dr dulu, kapan kelarnya, toh jg gak ada perubahan.</t>
  </si>
  <si>
    <t>Apakabar indo ppkm mlulu dr dulu, kapan kelarnya, toh jg gak ada perubahan.</t>
  </si>
  <si>
    <t>@Srinthiel__ Patuhi PPKM
 #PPKMDemiPemulihanNKRI</t>
  </si>
  <si>
    <t>Patuhi PPKM</t>
  </si>
  <si>
    <t>RI negara merdeka, Palestina negara terjajah. Di RI banyak orang susah, di Palestina juga. Tapi di sini karena merdeka dan bisa bebas berkegiatan ekonomi (sebelum PPKM) tentunya kesejahteraannya bisa lebih baik dari Palestina, terutama Gaza yg ke mana2 ada checkpoint. https://t.co/YPW6k1ZpAp</t>
  </si>
  <si>
    <t>RI negara merdeka, Palestina negara terjajah. Di RI banyak orang susah, di Palestina juga. Tapi di sini karena merdeka dan bisa bebas berkegiatan ekonomi (sebelum PPKM) tentunya kesejahteraannya bisa lebih baik dari Palestina, terutama Gaza yg ke mana2 ada checkpoint.</t>
  </si>
  <si>
    <t>Kira² fleet twitter hilang knapa ya?
 Apa saking gk lakunya ? Atau emang lagi ppkm aja makanya gk nongol ?</t>
  </si>
  <si>
    <t>Kira fleet twitter hilang knapa ya?Apa saking gk lakunya ? Atau emang lagi ppkm aja makanya gk nongol ?</t>
  </si>
  <si>
    <t>@tinywinniepooh Ppkm jeee, jaga jarak biar gak rame</t>
  </si>
  <si>
    <t>Ppkm jeee, jaga jarak biar gak rame</t>
  </si>
  <si>
    <t>@susipudjiastuti Ppkm di jalan..pembatasan..mobilisasi...manfaatnya apa? Mo menuju kesana...muter2 dulu nggak jelas jalannya...telat di kantor..dimarahin..dll
 eh..malah vaksinasi ..acaranya pelanggaran prokes🤭🤭berkerumun massal..bikin cluster penularan ..bisa banget ini😁😁</t>
  </si>
  <si>
    <t>Ppkm di jalan..pembatasan..mobilisasi...manfaatnya apa? Mo menuju kesana...muter2 dulu nggak jelas jalannya...telat di kantor..dimarahin..dlleh..malah vaksinasi ..acaranya pelanggaran prokesberkerumun massal..bikin cluster penularan ..bisa banget ini</t>
  </si>
  <si>
    <t>Ppkm diperpanjang aja sampai one piece tamat</t>
  </si>
  <si>
    <t>@LinaMichael93 @MeliaAgustin_ @YantiBahrii Aamiin kak pas ini di masa2 PPKM.. 
 Yom kk ikutan jg</t>
  </si>
  <si>
    <t>Aamiin kak pas ini di masa2 PPKM.. Yom kk ikutan jg</t>
  </si>
  <si>
    <t>yang punya instagram dimasa ppkm ini cuman buat giveaway kita satu server kawand</t>
  </si>
  <si>
    <t>@bertanyarl Mau ke JKT tpi gajadi gegara PPKM diperpanjang 🐷🐷</t>
  </si>
  <si>
    <t>Mau ke JKT tpi gajadi gegara PPKM diperpanjang</t>
  </si>
  <si>
    <t>PPKM Level 3 Diperpanjang, Makan di Warteg Bisa 30 Menit https://t.co/QNoFDK0RMy</t>
  </si>
  <si>
    <t>PPKM Level Diperpanjang, Makan di Warteg Bisa Menit</t>
  </si>
  <si>
    <t>Pandegalng-bintaro 
 Ketika kuliah normal aja kesusahan sekrang ditambah dengan PPKM, kesusahan itu semakin membuat saya depresi.
 Brangkat dari rumah yang biasanya ke stasiun 1 jam kini harus 2 jam perjalanan karena harus ke stasiun cikoya yang letaknya di tanggerang. https://t.co/4z5ah4rz4k</t>
  </si>
  <si>
    <t>Pandegalng-bintaro Ketika kuliah normal aja kesusahan sekrang ditambah dengan PPKM, kesusahan itu semakin membuat saya depresi.Brangkat dari rumah yang biasanya ke stasiun jam kini harus jam perjalanan karena harus ke stasiun cikoya yang letaknya di tanggerang.</t>
  </si>
  <si>
    <t>@Cakranettga @Cimol_Moza @geloraco Emang presiden mo kemana, lagi ppkm jg , buang2 duit, 🧐</t>
  </si>
  <si>
    <t>Emang presiden mo kemana, lagi ppkm jg , buang2 duit,</t>
  </si>
  <si>
    <t>Assalamualaikum wr wb
 Met pagi met beraktivitas 
 Tetap disiplin prokes, taati PPKM, segera vaksin tetap Semangat dg MERAH PUTIH✊✊✊ https://t.co/IBDjavjduS</t>
  </si>
  <si>
    <t>Assalamualaikum wr wbMet pagi met beraktivitas Tetap disiplin prokes, taati PPKM, segera vaksin tetap Semangat dg MERAH PUTIH</t>
  </si>
  <si>
    <t>Dukung PPKM level 4 tapi nggak ada yang ngasih makan Yaaa nggak jadi Covid bisa jadi Gizi buruk jugaaa. Jangan cuma teriak prokas Prokes kalau rakyat miskin masih teriak Makan! Mau kapan selesai? Kalau Pemerintah nggak korupsi dan nggak terlalu haus kekuasaan</t>
  </si>
  <si>
    <t>Dukung PPKM level tapi nggak ada yang ngasih makan Yaaa nggak jadi Covid bisa jadi Gizi buruk jugaaa. Jangan cuma teriak prokas Prokes kalau rakyat miskin masih teriak Makan! Mau kapan selesai? Kalau Pemerintah nggak korupsi dan nggak terlalu haus kekuasaan</t>
  </si>
  <si>
    <t>Dukung PPKM Mikro di Kota Ambon https://t.co/JfTBhOVRZA</t>
  </si>
  <si>
    <t>Dukung PPKM Mikro di Kota Ambon</t>
  </si>
  <si>
    <t>PPKM Mikro Efektif turunkan kasus aktif Corona https://t.co/O9BxMS8Bm0</t>
  </si>
  <si>
    <t>PPKM Mikro Efektif turunkan kasus aktif Corona</t>
  </si>
  <si>
    <t>Anak anak ANJING HMI BANGSAT
 GAK ADA KERJAAN....
 MASYARAKAT LUAS SETENGAH HIDUP BERTAHAN DAN BERJUANG DENGAN EKONOMI DI TENGAH PANDEMI
 MENAHAN DIRI DARI PPKM
 E.....LU PADA KAYAK BABI,GAK ADA OTAK
 DEMA DEMO AJA,DASAR ANJING
 JANGAN KAU BAWA BAWA NAMA RAKYAT UNTUK AKSIMU YA NJING https://t.co/6ztSKQMP8W</t>
  </si>
  <si>
    <t>Anak anak ANJING HMI BANGSATGAK ADA KERJAAN....MASYARAKAT LUAS SETENGAH HIDUP BERTAHAN DAN BERJUANG DENGAN EKONOMI DI TENGAH PANDEMIMENAHAN DIRI DARI PPKME.....LU PADA KAYAK BABI,GAK ADA OTAKDEMA DEMO AJA,DASAR ANJINGJANGAN KAU BAWA BAWA NAMA RAKYAT UNTUK AKSIMU YA NJING</t>
  </si>
  <si>
    <t>@SNW0012IC @sooblanluv @bubunnytae @starfess ya ampuun gue dah mau percaya, yakaliiii pak jokowi dikritik urusan level ppkm malah nyuruh stream 😭</t>
  </si>
  <si>
    <t>ya ampuun gue dah mau percaya, yakaliiii pak jokowi dikritik urusan level ppkm malah nyuruh stream</t>
  </si>
  <si>
    <t>PPKM Level 4 pada kabupaten/kota tertentu Dilanjutkan hingga 9 Agustus.
 Tetap semangat ya guys...,
 Tetap Patuh... 
 Agar tidak sia² penerapan PPKM sebelum²nya.
 #PPKMDemiPemulihanNKRI https://t.co/xND2N1lyCe</t>
  </si>
  <si>
    <t>PPKM Level pada kabupaten/kota tertentu Dilanjutkan hingga Agustus.Tetap semangat ya guys...,Tetap Patuh... Agar tidak sia penerapan PPKM sebelumnya.</t>
  </si>
  <si>
    <t>#PPKMDemiPemulihanNKRI
 4. Dukung PPKM Darurat Level 4 tersebut dengan taat aturan PPKM yg diberlakukan, Disiplin ketat Protokol Kesehatan serta segera datangi Fakes2 diwilayahmu untuk ikut Vaksinasi. Bantu Indonesia pulih kembali sehingga Pemulihan Ekonomi pun dapat dilakukan. https://t.co/0kkN6IZjZJ</t>
  </si>
  <si>
    <t>. Dukung PPKM Darurat Level tersebut dengan taat aturan PPKM yg diberlakukan, Disiplin ketat Protokol Kesehatan serta segera datangi Fakes2 diwilayahmu untuk ikut Vaksinasi. Bantu Indonesia pulih kembali sehingga Pemulihan Ekonomi pun dapat dilakukan.</t>
  </si>
  <si>
    <t>PPKM level 4 telah terbukti efektif menurunkan angka Positif harian, Jumlah pasir pun berkurang drastis di RS Rujukan covid . 
 #PPKMDemiPemulihanNKRI https://t.co/x5kUt4Gnl0</t>
  </si>
  <si>
    <t>PPKM level telah terbukti efektif menurunkan angka Positif harian, Jumlah pasir pun berkurang drastis di RS Rujukan covid .</t>
  </si>
  <si>
    <t>#PPKMDemiPemulihanNKRI
 3. Yuk tuips pastikan kita menjadi bagian yg mendukung penuh Program Pemerintah dalam penanganan Covid19. Mendukung kebijakan pemerintah terkait PPKM Darurat Level 4 dalam rangka memutus mata rantai penyebaran Covid-19. https://t.co/VgJeifmCPf</t>
  </si>
  <si>
    <t>. Yuk tuips pastikan kita menjadi bagian yg mendukung penuh Program Pemerintah dalam penanganan Covid19. Mendukung kebijakan pemerintah terkait PPKM Darurat Level dalam rangka memutus mata rantai penyebaran Covid-19.</t>
  </si>
  <si>
    <t>Sah pemerintah telah memperpanjang PPKM lv 4,yg berlalu di bbrpa daerah sesuai kebijakan daerah masing masing, dan ingat kecepatan vaksinasi agar kita cepat terbebas dn kembali normal
 #PPKMDemiPemulihanNKRI https://t.co/aRbFvlO7ig</t>
  </si>
  <si>
    <t>Sah pemerintah telah memperpanjang PPKM lv ,yg berlalu di bbrpa daerah sesuai kebijakan daerah masing masing, dan ingat kecepatan vaksinasi agar kita cepat terbebas dn kembali normal</t>
  </si>
  <si>
    <t>Dilanjutkan nya PPKM hingga 9 Agustus pada beberapa kabupaten dan kota tertentu dengan malakukan penyesuaian ...
 Optimis...bahwa angka kasus kopid akan semakin berkurang dan semakin banyak yg terselamatkan...
 #PPKMDemiPemulihanNKRI https://t.co/tdHbAZhNwQ</t>
  </si>
  <si>
    <t>Dilanjutkan nya PPKM hingga Agustus pada beberapa kabupaten dan kota tertentu dengan malakukan penyesuaian ...Optimis...bahwa angka kasus kopid akan semakin berkurang dan semakin banyak yg terselamatkan...</t>
  </si>
  <si>
    <t>Mari kita tetap Prokes dan taati aturan perpanjangan PPKM Level4.
 Kebijakan ini untuk satu tujuan,
 untuk terus menekan angka penyebaran dan menghilangkan virus COVID-19 dari Indonesia.
 #PPKMDemiPemulihanNKRI https://t.co/rae86fOSig</t>
  </si>
  <si>
    <t>Mari kita tetap Prokes dan taati aturan perpanjangan PPKM Level4.Kebijakan ini untuk satu tujuan,untuk terus menekan angka penyebaran dan menghilangkan virus COVID-19 dari Indonesia.</t>
  </si>
  <si>
    <t>Betul banget 👍
 Keputusan pemerintah memperpanjang PPKM level 4 sudah tepat
 Namun,Tentu nya Agar kebijakan ini efektif, masyarakat harus terus disiplin menjalankan protokol kesehatan yaa kan ??
 Yok tetap taat Prokes Gaes..
 #PPKMDemiPemulihanNKRI
 https://t.co/KfBoDw7wU4</t>
  </si>
  <si>
    <t>Betul banget Keputusan pemerintah memperpanjang PPKM level sudah tepatNamun,Tentu nya Agar kebijakan ini efektif, masyarakat harus terus disiplin menjalankan protokol kesehatan yaa kan ??Yok tetap taat Prokes Gaes..://</t>
  </si>
  <si>
    <t>@clysiaca @AREAJULID PPKM ga PPKM juga kan kebanyakan orang emang mental pengemis aja</t>
  </si>
  <si>
    <t>PPKM ga PPKM juga kan kebanyakan orang emang mental pengemis aja</t>
  </si>
  <si>
    <t>Meski tren positif sdh menunjukan penurunan, kita harus tetap waspada, Tetap patuh Prokes secara ketat dan Patuh PPKM. 
 #PPKMDemiPemulihanNKRI https://t.co/gSjC509i0r</t>
  </si>
  <si>
    <t>Meski tren positif sdh menunjukan penurunan, kita harus tetap waspada, Tetap patuh Prokes secara ketat dan Patuh PPKM.</t>
  </si>
  <si>
    <t>Dukung perpanjangan PPKM sampai 9 Agustus, ini demi kebaikan kita semua
 Inget yaa jangan membangkang patuhi aturan yg di buat kalo ingin cepat sehat, jaga diri kita masing masing
 #PPKMDemiPemulihanNKRI https://t.co/XqxZzGfIa9</t>
  </si>
  <si>
    <t>Dukung perpanjangan PPKM sampai Agustus, ini demi kebaikan kita semuaInget yaa jangan membangkang patuhi aturan yg di buat kalo ingin cepat sehat, jaga diri kita masing masing</t>
  </si>
  <si>
    <t>Pemerintah memutuskan melanjutkan penerapan #PPKMDemiPemulihanNKRI dr tgl 3 s/d 9 Agt 2021
 Pemerintah memperpanjang kembali PPKM level 4 dgn sejumlah penyesuaian aturan terkait aktivitas dan mobilitas masyarakat ditiap daerah
 https://t.co/pKdF4JF3ua</t>
  </si>
  <si>
    <t>Pemerintah memutuskan melanjutkan penerapan dr tgl s/d Agt Pemerintah memperpanjang kembali PPKM level dgn sejumlah penyesuaian aturan terkait aktivitas dan mobilitas masyarakat ditiap daerah</t>
  </si>
  <si>
    <t>Aturan PPKM Level 4 hingga 9 Agustus.
 Yg patuh ya sobat semua, 
 #PPKMDemiPemulihanNKRI 🇮🇩 https://t.co/X39F0z1LxJ</t>
  </si>
  <si>
    <t>Aturan PPKM Level hingga Agustus.Yg patuh ya sobat semua,</t>
  </si>
  <si>
    <t>@MeliaAgustin_ Ijin ikutan mba domisili DEPOK
 Kalau misal kepilih pengen sambel tongkol. 
 Yok mak @YantiBahrii Tebet
 Kak @LinaMichael93 Bekasi
 Ikutan cocok di masa PPKM ini.
 Keluarga kresek yg lain di luar jabotabek semua</t>
  </si>
  <si>
    <t>Ijin ikutan mba domisili DEPOKKalau misal kepilih pengen sambel tongkol. Yok mak TebetKak BekasiIkutan cocok di masa PPKM ini.Keluarga kresek yg lain di luar jabotabek semua</t>
  </si>
  <si>
    <t>PPKM Terbukti menekan angka covid 19 namun kita harus ttp disiplin prokes agar semua segera berlalu. 
 #PPKMDemiPemulihanNKRI https://t.co/a3xD5gGNCm</t>
  </si>
  <si>
    <t>PPKM Terbukti menekan angka covid namun kita harus ttp disiplin prokes agar semua segera berlalu.</t>
  </si>
  <si>
    <t>pengen banget self healing ke pantai tapi lagi ppkm gini https://t.co/IVq7uP8XUl</t>
  </si>
  <si>
    <t>pengen banget self healing ke pantai tapi lagi ppkm gini</t>
  </si>
  <si>
    <t>@detikcom Enak ya kalau korupsi dapat #flashsale, UMKM kecil jualan di PPKM auto penjara 3 hari atau denda 5 jt. ini sudah jelas2 korupsi masih dipelihara dapat #diskon pula, enak kali ya. @jokowi bapak saya tantang bpk berani tidak siapapun yang korupsi langsung tembak di tempat
 #SaveNKRI</t>
  </si>
  <si>
    <t>Enak ya kalau korupsi dapat , UMKM kecil jualan di PPKM auto penjara hari atau denda jt. ini sudah jelas2 korupsi masih dipelihara dapat pula, enak kali ya. bapak saya tantang bpk berani tidak siapapun yang korupsi langsung tembak di tempat</t>
  </si>
  <si>
    <t>Masih inget banget kemarin pas nikahan om yang serba dadakan karna lagi PPKM dengan drama ga boleh ikut ke klaten , akhirnya ikut dan bingung make upnya 🤣terpakailah foundie ini ✨❤️thankyou so much ka @pygmyypuffs udah ngebolehin aku addopt foundienya menang GA dulu❤️ https://t.co/LBKdHW9qk2</t>
  </si>
  <si>
    <t>Masih inget banget kemarin pas nikahan om yang serba dadakan karna lagi PPKM dengan drama ga boleh ikut ke klaten , akhirnya ikut dan bingung make upnya terpakailah foundie ini thankyou so much ka udah ngebolehin aku addopt foundienya menang GA dulu</t>
  </si>
  <si>
    <t>abis,,,, gimana ya,,,,, gue tuh ceritain temen gue ke ibu bukan minta beliau (agak) nyalahin dia yg males dirumah???
 gue cuma mau cerita kosan ada yg ngetok tengah malem gituuuuu
 masalah kenapa dia dikosan hari gini ya suka suka??
 gue juga kalo ga ppkm males aja dirumah anying</t>
  </si>
  <si>
    <t>abis,,,, gimana ya,,,,, gue tuh ceritain temen gue ke ibu bukan minta beliau (agak) nyalahin dia yg males dirumah???gue cuma mau cerita kosan ada yg ngetok tengah malem gituuuuumasalah kenapa dia dikosan hari gini ya suka suka??gue juga kalo ga ppkm males aja dirumah anying</t>
  </si>
  <si>
    <t>Ada yang tereak - tereak menjerit harga BBM waktu itu, sekarang pas PPKM malah kemanamana itu nampang di baliho 🗿 https://t.co/PUkqd0NrKg</t>
  </si>
  <si>
    <t>Ada yang tereak - tereak menjerit harga BBM waktu itu, sekarang pas PPKM malah kemanamana itu nampang di baliho</t>
  </si>
  <si>
    <t>Tapi masih ppkm pula 😪 https://t.co/f4Y7yfoSxy</t>
  </si>
  <si>
    <t>Tapi masih ppkm pula</t>
  </si>
  <si>
    <t>@lntropsyc Abis jagain ppkm ya 😀</t>
  </si>
  <si>
    <t>Abis jagain ppkm ya</t>
  </si>
  <si>
    <t>@Arni_Girsang Trs terang, pesta di Medan ramenya gila banget... ga ada yg namanya pandemi. Bahkan ppkm gini aja, ada yg mengadakan pesta dihalaman rumahnya. ntahlah kalau Kepling mereka tau tp pura2 diam. Tp banyak penularan disitu. kasus covi di Medan naik 3x lipat.</t>
  </si>
  <si>
    <t>Trs terang, pesta di Medan ramenya gila banget... ga ada yg namanya pandemi. Bahkan ppkm gini aja, ada yg mengadakan pesta dihalaman rumahnya. ntahlah kalau Kepling mereka tau tp pura2 diam. Tp banyak penularan disitu. kasus covi di Medan naik x lipat.</t>
  </si>
  <si>
    <t>@intangdf Kalimantan jug ppkm ya ? Sini alhamdulillah agak longgar untuk kantor sama pasar sih</t>
  </si>
  <si>
    <t>Kalimantan jug ppkm ya ? Sini alhamdulillah agak longgar untuk kantor sama pasar sih</t>
  </si>
  <si>
    <t>Menurut Gubernur Khofifah, kalau PPKM sekarang kan Nasional dan tanggal 2 Agustus sudah habis, kita tunggu keputusan dari pemerintah sore atau malam melihat keputusannya bagaimana</t>
  </si>
  <si>
    <t>Menurut Gubernur Khofifah, kalau PPKM sekarang kan Nasional dan tanggal Agustus sudah habis, kita tunggu keputusan dari pemerintah sore atau malam melihat keputusannya bagaimana</t>
  </si>
  <si>
    <t>@TMCPoldaMetro SIM yg jatuh tempo saat PPKM lv4 msh berlangsung, diberi kelonggaran kah utk perpanjangannya?</t>
  </si>
  <si>
    <t>SIM yg jatuh tempo saat PPKM lv4 msh berlangsung, diberi kelonggaran kah utk perpanjangannya?</t>
  </si>
  <si>
    <t>@okvaann ih ko wkwk, alhamdulillah masi ppkm ka n hbu?</t>
  </si>
  <si>
    <t>ih ko wkwk, alhamdulillah masi ppkm ka n hbu?</t>
  </si>
  <si>
    <t>@coowookk @collegemenfess Hei, pssstt.. wkwk
 Ga boleh rame rame disananyaa, dibatasi masih ppkm</t>
  </si>
  <si>
    <t>Hei, pssstt.. wkwkGa boleh rame rame disananyaa, dibatasi masih ppkm</t>
  </si>
  <si>
    <t>@korantempo Rakyat sih biasa2 saja .. menjadi hiburan dikala PPKM. 
 Sdh biasa ditipu.</t>
  </si>
  <si>
    <t>Rakyat sih biasa2 saja .. menjadi hiburan dikala PPKM. Sdh biasa ditipu.</t>
  </si>
  <si>
    <t>PPKM Level 4 diperpanjang sampai 9 Agustus itu artinya masih ada 21 level lagi untuk sampai ke level 30</t>
  </si>
  <si>
    <t>PPKM Level diperpanjang sampai Agustus itu artinya masih ada level lagi untuk sampai ke level</t>
  </si>
  <si>
    <t>Menurut Gubernur Jatim, kita tunggu hari ini baru akan dapat update PPKM level 4, seluruh kebijakan ini kan enggak bisa mau bilang Malang bagaimana dan Jatim bagaimana</t>
  </si>
  <si>
    <t>Menurut Gubernur Jatim, kita tunggu hari ini baru akan dapat update PPKM level , seluruh kebijakan ini kan enggak bisa mau bilang Malang bagaimana dan Jatim bagaimana</t>
  </si>
  <si>
    <t>ppkm diperpanjang aku tetep bakulan pak jok https://t.co/HVGhv8CuJ9</t>
  </si>
  <si>
    <t>ppkm diperpanjang aku tetep bakulan pak jok</t>
  </si>
  <si>
    <t>@ganjarpranowo Pak sudah adakah Vaksin Astrazeneca di Semarang ? saya belum dapat dosis kedua pa, tapi tidak bisa ke Jakarta karena ppkm diperpanjang. jadwal kedua harusnya tanggal 27 juli. terima kasih</t>
  </si>
  <si>
    <t>Pak sudah adakah Vaksin Astrazeneca di Semarang ? saya belum dapat dosis kedua pa, tapi tidak bisa ke Jakarta karena ppkm diperpanjang. jadwal kedua harusnya tanggal juli. terima kasih</t>
  </si>
  <si>
    <t>Memang salut sama organizernya exhibition ini, rapi, strict protokol kesehatan, jg sabar layanin fans yg labil (udah dikasih gratis, minta ini itu n msh protes juga).
 Seneng sempet ke exhibition ini bareng few days before PPKM, mo bikin video tp belom sempet 😄 https://t.co/wObVym9s5W</t>
  </si>
  <si>
    <t>Memang salut sama organizernya exhibition ini, rapi, strict protokol kesehatan, jg sabar layanin fans yg labil (udah dikasih gratis, minta ini itu n msh protes juga).Seneng sempet ke exhibition ini bareng few days before PPKM, mo bikin video tp belom sempet</t>
  </si>
  <si>
    <t>Gubernur Jatim Khofifah Indar Parawansa mengatakan PPKM level 4 saat ini merupakan kebijakan nasional sebab diberlakukan di seluruh Jawa - Bali dan telah melibatkan epidemiologi dari banyak perguruan tinggi</t>
  </si>
  <si>
    <t>Gubernur Jatim Khofifah Indar Parawansa mengatakan PPKM level saat ini merupakan kebijakan nasional sebab diberlakukan di seluruh Jawa - Bali dan telah melibatkan epidemiologi dari banyak perguruan tinggi</t>
  </si>
  <si>
    <t>Dukung Penuh pelaksanaan PPKM demi keselamatan bersama
 Berjuang Bersama Jokowi https://t.co/Fs3xfiNltP</t>
  </si>
  <si>
    <t>Dukung Penuh pelaksanaan PPKM demi keselamatan bersamaBerjuang Bersama Jokowi</t>
  </si>
  <si>
    <t>Dukung Penuh pelaksanaan PPKM demi keselamatan bersama
 Berjuang Bersama Jokowi https://t.co/FJCszFlrSB</t>
  </si>
  <si>
    <t>@mey0106_ aku mo ke dokter gigi aja ga jadi mulu krn ppkm :”)</t>
  </si>
  <si>
    <t>aku mo ke dokter gigi aja ga jadi mulu krn ppkm</t>
  </si>
  <si>
    <t>@hafizmahsaa ppkm = pelan pelan kita miskin</t>
  </si>
  <si>
    <t>ppkm = pelan pelan kita miskin</t>
  </si>
  <si>
    <t>PPKM di perpanjang, hadehhh ngenes Indonesia, entah sampai kapan Indonesia di kurung</t>
  </si>
  <si>
    <t>PPKM : Pelan Pelan Kita Makmur
 Setuju??? 😇😇</t>
  </si>
  <si>
    <t>PPKM : Pelan Pelan Kita MakmurSetuju???</t>
  </si>
  <si>
    <t>PPKM diperpanjang lagi ya...?</t>
  </si>
  <si>
    <t>https://t.co/nt99FixssF jam 7an ada promo PPKM</t>
  </si>
  <si>
    <t>jam an ada promo PPKM</t>
  </si>
  <si>
    <t>udahan ai ppkm gua pen lulus ni ajg</t>
  </si>
  <si>
    <t>PPKM : Penyiksaan Para Kaum Miskin</t>
  </si>
  <si>
    <t>@Askrlfess ya tapi lihat sikon dulu lah kan dah gede??? Lagi masa ppkm malah party disidang pucetttt</t>
  </si>
  <si>
    <t>ya tapi lihat sikon dulu lah kan dah gede??? Lagi masa ppkm malah party disidang pucetttt</t>
  </si>
  <si>
    <t>yaAllah tbtb kesel inget masi ppkm😭</t>
  </si>
  <si>
    <t>yaAllah tbtb kesel inget masi ppkm</t>
  </si>
  <si>
    <t>Sangat apresiasi kalo jalan sdh tdk ada penyekatan dalam ppkm ini</t>
  </si>
  <si>
    <t>PPKM demi BANGSA seperti Kita SENAM to sehat,bersepeda,walk</t>
  </si>
  <si>
    <t>untungnya aku paling males ngajak ngobrol orang, pulang kerja ya ngunci diri di kamar, rebahan aja. kalo kepepet ngobrol ya pake masker.
 Puji Tuhan aku belum pernah sakit selama PPKM, masih dikasih reward sehat sama yg di atas 🥲</t>
  </si>
  <si>
    <t>untungnya aku paling males ngajak ngobrol orang, pulang kerja ya ngunci diri di kamar, rebahan aja. kalo kepepet ngobrol ya pake masker.Puji Tuhan aku belum pernah sakit selama PPKM, masih dikasih reward sehat sama yg di atas</t>
  </si>
  <si>
    <t>@aniesbaswedan @ArizaPatria @KompasTV pak bila lht info dr bpk, level covid dki sdh turun hrsnya PPKM dki bs level 3</t>
  </si>
  <si>
    <t>pak bila lht info dr bpk, level covid dki sdh turun hrsnya PPKM dki bs level</t>
  </si>
  <si>
    <t>@djaycoholyc bu siti saran saya, lebih baik tidak usah punya TV. PPKM seperti ini waktu yg tepat untuk menjual perabotan rumah 🙏🏼</t>
  </si>
  <si>
    <t>bu siti saran saya, lebih baik tidak usah punya TV. PPKM seperti ini waktu yg tepat untuk menjual perabotan rumah</t>
  </si>
  <si>
    <t>@terererereee Aku gasuka ppkm kecuali A nya ganti huruf setelah z</t>
  </si>
  <si>
    <t>Aku gasuka ppkm kecuali A nya ganti huruf setelah z</t>
  </si>
  <si>
    <t>@BBCIndonesia gimana ga terlambat, cari rs aja susah. 
 sepertinya psbb ppkm mikro makro dsb itu malah yg bikin Rs dan faskes2 lain jadi kalang kabut, yg harusnya lansia kontrol sebulan sekali skrng gabisa atau takut, lalu susah kontrol. ujung ujungnya komorbid smkin parah, lalu terpapar covid</t>
  </si>
  <si>
    <t>gimana ga terlambat, cari rs aja susah. sepertinya psbb ppkm mikro makro dsb itu malah yg bikin Rs dan faskes2 lain jadi kalang kabut, yg harusnya lansia kontrol sebulan sekali skrng gabisa atau takut, lalu susah kontrol. ujung ujungnya komorbid smkin parah, lalu terpapar covid</t>
  </si>
  <si>
    <t>jaman ppkm gini kalo mau pacaran trs beli makanan harus dimobil karna gabisa makan ditempat, udah lah aing yg pacarannya pake motor diem aja</t>
  </si>
  <si>
    <t>@kang_Estu Pilih corona PPKM 1thn x ya 😁</t>
  </si>
  <si>
    <t>Pilih corona PPKM thn x ya</t>
  </si>
  <si>
    <t>@farahdjafar Kl kasusnya jadi turun krn perpanjangan PPKM menurutku sih oke2 aja mbak</t>
  </si>
  <si>
    <t>Kl kasusnya jadi turun krn perpanjangan PPKM menurutku sih oke2 aja mbak</t>
  </si>
  <si>
    <t>@itsvirhere msi ppkm cuy</t>
  </si>
  <si>
    <t>msi ppkm cuy</t>
  </si>
  <si>
    <t>@BersamaSahabat4 Rakyat lagi ppkm kembalikan donk pancix..</t>
  </si>
  <si>
    <t>Rakyat lagi ppkm kembalikan donk pancix..</t>
  </si>
  <si>
    <t>@xjzee_ egk zee lagi ppkm gaboleh keluar gmn siee</t>
  </si>
  <si>
    <t>egk zee lagi ppkm gaboleh keluar gmn siee</t>
  </si>
  <si>
    <t>@OfficialiNewsTV Memblokir KTP dg menyita??? Ada2 saja. KTP itu kan dokumen negara yg diberikan ke penduduk sebagai identitas WNI. Klu ini terjadi ini namanya pelanggaran hak kewarga negaraan. Apakah ada di dlm KUHP? Klu melanggar PPKM mengacu saja ke peraturan yg mengaturnya, tdk meng ada2.</t>
  </si>
  <si>
    <t>Memblokir KTP dg menyita??? Ada2 saja. KTP itu kan dokumen negara yg diberikan ke penduduk sebagai identitas WNI. Klu ini terjadi ini namanya pelanggaran hak kewarga negaraan. Apakah ada di dlm KUHP? Klu melanggar PPKM mengacu saja ke peraturan yg mengaturnya, tdk meng ada2.</t>
  </si>
  <si>
    <t>@deskkkkkk_ @Ambn_exe lg ppkm ._.</t>
  </si>
  <si>
    <t>lg ppkm ._.</t>
  </si>
  <si>
    <t>@infojakarta @jokowi @aniesbaswedan Mhn dibantu pertimbangan faktor2 lainnya. 
 1. Perubahan peningkatn/penurunn kasus covid dan kapasitas RS.
 2. Perubahan peningkatn/penurunn ekonomi masyarakat antara PSBB dan PPKM.
 3. Mengkategorikan lebih spesifik para voters.
 4. Evaluasi solusi yg sdh diberikan apakh sdh tepat.</t>
  </si>
  <si>
    <t>Mhn dibantu pertimbangan faktor2 lainnya. . Perubahan peningkatn/penurunn kasus covid dan kapasitas RS.2. Perubahan peningkatn/penurunn ekonomi masyarakat antara PSBB dan PPKM.3. Mengkategorikan lebih spesifik para voters.4. Evaluasi solusi yg sdh diberikan apakh sdh tepat.</t>
  </si>
  <si>
    <t>imbas PPKM diperpanjang lagi, semalem gua mimpi main ke CP mall.</t>
  </si>
  <si>
    <t>Kalau PPKM perpanjangan ini belum juga nampak hasilnya,
 kita ganti cat saja !</t>
  </si>
  <si>
    <t>Kalau PPKM perpanjangan ini belum juga nampak hasilnya,kita ganti cat saja !</t>
  </si>
  <si>
    <t>PPKM Level 4 (extended)</t>
  </si>
  <si>
    <t>PPKM Level (extended)</t>
  </si>
  <si>
    <t>Semoga after 7 days ppkm diperpanjang bener” reda dan ga diperpanjang lagi deh, mau jd anak kossan lagii</t>
  </si>
  <si>
    <t>Semoga after days ppkm diperpanjang bener reda dan ga diperpanjang lagi deh, mau jd anak kossan lagii</t>
  </si>
  <si>
    <t>@Askrlfess impian si impian tapi tau kondisi lah bro lagi ppkm kan ini?</t>
  </si>
  <si>
    <t>impian si impian tapi tau kondisi lah bro lagi ppkm kan ini?</t>
  </si>
  <si>
    <t>@rakyatbias4 @umaralims Bsa dilaporkan.. 
  Soal bansos tdk bsa di sangkutkan dgn vaksin,,, bansos itu hak warga yg terdmpak ppkm</t>
  </si>
  <si>
    <t>Bsa dilaporkan.. Soal bansos tdk bsa di sangkutkan dgn vaksin,,, bansos itu hak warga yg terdmpak ppkm</t>
  </si>
  <si>
    <t>Yang ga patuh negara sebelah
 Yang kena perpanjangan PPKM satu provinsi
 Oh Manchester County</t>
  </si>
  <si>
    <t>Yang ga patuh negara sebelahYang kena perpanjangan PPKM satu provinsiOh Manchester County</t>
  </si>
  <si>
    <t>@S4ndyWijaya @Musthofa1672 @KompasTV Ini org kok idiot,2 millyar bisa tuk membantu rakyat terdampak ppkm.emang kl cat pesawat tdk diubah pesawat tdk bisa terbang</t>
  </si>
  <si>
    <t>Ini org kok idiot,2 millyar bisa tuk membantu rakyat terdampak ppkm.emang kl cat pesawat tdk diubah pesawat tdk bisa terbang</t>
  </si>
  <si>
    <t>si juy katanya ngadain acara ulang tahun pas ppkm karena ultahnya ga pernah dirayain...
 ya gue dirayain terakhir kelas 6 sd abis itu keluarga gue ngucapin aja kaga pada sok lupa semuanya</t>
  </si>
  <si>
    <t>si juy katanya ngadain acara ulang tahun pas ppkm karena ultahnya ga pernah dirayain...ya gue dirayain terakhir kelas sd abis itu keluarga gue ngucapin aja kaga pada sok lupa semuanya</t>
  </si>
  <si>
    <t>#TolakDemoPerparahPandemi
 pentingnya kesadaran dari semua pihak dalam menekan penyebaran Covid-19. Mulai dari mematuhi protokol kesehatan, mematuhi kebijakan yang diberlakukan, hingga turut menyukseskan vaksinasi
 PPKM tidak diperlukan jika masyarakat sadar menerapkan PROKES ! https://t.co/l4k6zFkWJu</t>
  </si>
  <si>
    <t>kesadaran dari semua pihak dalam menekan penyebaranCovid-19. Mulai dari mematuhi protokol kesehatan, mematuhi kebijakan yang diberlakukan, hingga turut menyukseskan vaksinasiPPKM tidak diperlukan jika masyarakat sadar menerapkan PROKES !</t>
  </si>
  <si>
    <t>PPKM level 4 yg penerapannya diumumkan lgsg oleh Presiden Jokowi diterapkan kembali krn membawa perbaikan di skala nasional. Diharapkan pandemi dpt diatasi dg PPKM ini https://t.co/W9w5clLhuD</t>
  </si>
  <si>
    <t>PPKM level yg penerapannya diumumkan lgsg oleh Presiden Jokowi diterapkan kembali krn membawa perbaikan di skala nasional. Diharapkan pandemi dpt diatasi dg PPKM ini</t>
  </si>
  <si>
    <t>Morning Pak @jokowi please ya PPKM ga usah diperpanjang. Nasib buruh dan karyawan lainnya yg di rumahkan piye? Jgn tarik ulur ga jls gini. Kalau umumin apa2an jangan pas hari akhir kelar PPKM tp max H-2 atau 3 lah. Kan kami semua butuh kepastian bukan PHP ibarat cinta lah Pak 😶</t>
  </si>
  <si>
    <t>Morning Pak please ya PPKM ga usah diperpanjang. Nasib buruh dan karyawan lainnya yg di rumahkan piye? Jgn tarik ulur ga jls gini. Kalau umumin apa2an jangan pas hari akhir kelar PPKM tp max H-2 atau lah. Kan kami semua butuh kepastian bukan PHP ibarat cinta lah Pak</t>
  </si>
  <si>
    <t>PPKM ko demo, mending nyari hal yg lebih manfaat, dr pada mempersulit keadaan, nyari hal yg positif itu bagus, tapi jangan jadi Positif Covit, itu menyusahkan banyak orang keluargamu yh jadi korban
 #TolakDemoPerparahPandemi https://t.co/Wl9OW7oicx</t>
  </si>
  <si>
    <t>PPKM ko demo, mending nyari hal yg lebih manfaat, dr pada mempersulit keadaan, nyari hal yg positif itu bagus, tapi jangan jadi Positif Covit, itu menyusahkan banyak orang keluargamu yh jadi korban</t>
  </si>
  <si>
    <t>ppkm cepetan selesai ya</t>
  </si>
  <si>
    <t>@ZeroToHeroess Kan lanjut ppkm eh, yakali ngedimsum 20 menit</t>
  </si>
  <si>
    <t>Kan lanjut ppkm eh, yakali ngedimsum menit</t>
  </si>
  <si>
    <t>@CNNIndonesia Bangsat sih ini klo kerumunan terus nimbulin cluster terus harus ppkm lagi, terkutuklah 7 turunan</t>
  </si>
  <si>
    <t>Bangsat sih ini klo kerumunan terus nimbulin cluster terus harus ppkm lagi, terkutuklah turunan</t>
  </si>
  <si>
    <t>@Reniputrif_ @sbyfess Aslinya aku ada rencana ke pacet mbsay sama nurul, eh aku pas waktu itu sakit dan hbs itu kena ppkm sampe skrgg</t>
  </si>
  <si>
    <t>Aslinya aku ada rencana ke pacet mbsay sama nurul, eh aku pas waktu itu sakit dan hbs itu kena ppkm sampe skrgg</t>
  </si>
  <si>
    <t>@h8itanis ppkm = pengen pacarin kakak mikey</t>
  </si>
  <si>
    <t>ppkm = pengen pacarin kakak mikey</t>
  </si>
  <si>
    <t>@BKNgoid Kali ini Pls Ijinkan diperbaiki Upload nya Min. Udah susah karna PPKM gk bisa ikut ujian 😭 emang salah gw sih gk baca Aturan Upload</t>
  </si>
  <si>
    <t>Kali ini Pls Ijinkan diperbaiki Upload nya Min. Udah susah karna PPKM gk bisa ikut ujian emang salah gw sih gk baca Aturan Upload</t>
  </si>
  <si>
    <t>@BNPB_Indonesia Klo mau maxsimal, PPKM geber vaksinasi, sidak semua pabrik/kantor yg beroperasional, syaratkan harus wajib sudah vaksin, alihtugaskan ASN untuk tugas tsb</t>
  </si>
  <si>
    <t>Klo mau maxsimal, PPKM geber vaksinasi, sidak semua pabrik/kantor yg beroperasional, syaratkan harus wajib sudah vaksin, alihtugaskan ASN untuk tugas tsb</t>
  </si>
  <si>
    <t>Perpanjangan PPKM level 4 hingga 9 Agustus yang diputuskan pemerintahan Jokowi di masa pandemi ini mengacu indikator bahwa kasus positif mulai menurun. https://t.co/XxaLOxub04</t>
  </si>
  <si>
    <t>Perpanjangan PPKM level hingga Agustus yang diputuskan pemerintahan Jokowi di masa pandemi ini mengacu indikator bahwa kasus positif mulai menurun.</t>
  </si>
  <si>
    <t>@ddewialx @mutiandries Nanti aja kalo udah bener² selesai PPKM, biar enak ngobrolnya hehehe</t>
  </si>
  <si>
    <t>Nanti aja kalo udah bener selesai PPKM, biar enak ngobrolnya hehehe</t>
  </si>
  <si>
    <t>@mawkyu_ @WE_THE_BOYZ @Creker_THEBOYZ Ayuk!! Nanti ya tunggu ppkm abis😭🤣</t>
  </si>
  <si>
    <t>Ayuk!! Nanti ya tunggu ppkm abis</t>
  </si>
  <si>
    <t>@adalahnan @mosidik @ridwankamil @jokowi "mak komplen nih ke pak jokowi"
 "Komplen apaan ah gk usah"
 "Ini ppkm diperpanjang sampe tanggal 8"
 "Ahh gak usah gimana kata yang diatas aja dah"
 "Tapi kan kita gk punya duit mak"
 "Alah duit2 mah bisa dicari ntar kita mah jadi buntut aja ngikutin pak jokowi"
 "Cicilan gw pak :("</t>
  </si>
  <si>
    <t>"mak komplen nih ke pak jokowi""Komplen apaan ah gk usah""Ini ppkm diperpanjang sampe tanggal ""Ahh gak usah gimana kata yang diatas aja dah""Tapi kan kita gk punya duit mak""Alah duit2 mah bisa dicari ntar kita mah jadi buntut aja ngikutin pak jokowi""Cicilan gw pak "</t>
  </si>
  <si>
    <t>@MafiaWasit Sek.. sek.. brarti maksudmu PPKM diperpanjang lagi sampe tanggal 20 gitu Mbah ? #Eh</t>
  </si>
  <si>
    <t>Sek.. sek.. brarti maksudmu PPKM diperpanjang lagi sampe tanggal gitu Mbah ?</t>
  </si>
  <si>
    <t>ppkm = pengen peluk kak mikey</t>
  </si>
  <si>
    <t>PPKM aja diperpanjang...
 Lantas masa Pemerintah mau membiarkan aksi demo yg dilakukan oleh sekelompok orang yg katanya mahasiswa tapi kelakuan ga peka ama situasi seperti ini?
 Jangan dong ya!
 Jangan lukai hati masyarakat umum yg sdh selalu berusaha taat!
 https://t.co/joYZEzTvm1</t>
  </si>
  <si>
    <t>PPKM aja diperpanjang...Lantas masa Pemerintah mau membiarkan aksi demo yg dilakukan oleh sekelompok orang yg katanya mahasiswa tapi kelakuan ga peka ama situasi seperti ini?Jangan dong ya!Jangan lukai hati masyarakat umum yg sdh selalu berusaha taat!</t>
  </si>
  <si>
    <t>PPKM level 4 yg diberlakukan oleh Presiden Jokowi ngga hanya berlaku utk Jkt aja Bree tp utk 141 kota/kab di Indonesia. Kuuy berjuang bersama mengatasi pandemi ini https://t.co/onFsvT0J94</t>
  </si>
  <si>
    <t>PPKM level yg diberlakukan oleh Presiden Jokowi ngga hanya berlaku utk Jkt aja Bree tp utk kota/kab di Indonesia. Kuuy berjuang bersama mengatasi pandemi ini</t>
  </si>
  <si>
    <t>@abi_sasaLL @DioR3born Masyarakatnya kebanyakan dah gk percaya, jgnkan yg rakyat biasa,para pns ditempat saya meyakini covid ini akal2an kok, mending ppkm habis ini diudahin</t>
  </si>
  <si>
    <t>Masyarakatnya kebanyakan dah gk percaya, jgnkan yg rakyat biasa,para pns ditempat saya meyakini covid ini akal2an kok, mending ppkm habis ini diudahin</t>
  </si>
  <si>
    <t>TV aku lagi PPKM bang...👍👍👍😂😂😂 https://t.co/2vdMH0vWtT</t>
  </si>
  <si>
    <t>TV aku lagi PPKM bang...</t>
  </si>
  <si>
    <t>Presiden Jokowi menetapkan pemberlakuan PPKM level 4 mulai tgl 3-9 Agustus 2021</t>
  </si>
  <si>
    <t>Presiden Jokowi menetapkan pemberlakuan PPKM level mulai tgl $NUMBER$ Agustus</t>
  </si>
  <si>
    <t>@ariopmbd @P_Eneste @SantorinisSun Kali aja biar makin popaler sedunia🤭🤭🤭...
 Dia cuma mlihat buruknya saja dr kbjakan ppkm, tp ga melihat manfaatnya...</t>
  </si>
  <si>
    <t>Kali aja biar makin popaler sedunia...Dia cuma mlihat buruknya saja dr kbjakan ppkm, tp ga melihat manfaatnya...</t>
  </si>
  <si>
    <t>Pak Jokowi mengumumkan kebijakan terkait PPKM level 4 selama pandemi ini dgn menyesuaikan kondisi di tiap wilayah.</t>
  </si>
  <si>
    <t>Pak Jokowi mengumumkan kebijakan terkait PPKM level selama pandemi ini dgn menyesuaikan kondisi di tiap wilayah.</t>
  </si>
  <si>
    <t>PPKM diperpanjang sampai dia peka</t>
  </si>
  <si>
    <t>@geloraco ppkm emg menyusahkan. tp gak perlu tusuk leher sendirilah. tolol namanya.</t>
  </si>
  <si>
    <t>ppkm emg menyusahkan. tp gak perlu tusuk leher sendirilah. tolol namanya.</t>
  </si>
  <si>
    <t>@bogorfess_ Mau deh☹️ tapi takut tiba2 dipanggil kerja, kerjanya juga sih kehambat ppkm😭</t>
  </si>
  <si>
    <t>Mau deh tapi takut tiba2 dipanggil kerja, kerjanya juga sih kehambat ppkm</t>
  </si>
  <si>
    <t>Terbelenggu ppkm, jadi sering up video trav di reels</t>
  </si>
  <si>
    <t>PPKM berat bgt sih Bree krn itu Presiden Jokowi berupaya utk meringankan beban masy dg menggelontorkan bansos..pandemi oh pandemi https://t.co/Q1Z6lQkzsl</t>
  </si>
  <si>
    <t>PPKM berat bgt sih Bree krn itu Presiden Jokowi berupaya utk meringankan beban masy dg menggelontorkan bansos..pandemi oh pandemi</t>
  </si>
  <si>
    <t>Alhamdulillah abis lebaran haji suara ambulance ga lalu lalang 
 Ga tau kenapa apa karna PPKM naik level entahlah...</t>
  </si>
  <si>
    <t>Alhamdulillah abis lebaran haji suara ambulance ga lalu lalang Ga tau kenapa apa karna PPKM naik level entahlah...</t>
  </si>
  <si>
    <t>Selamat pagi,
 Mau tanya nih, berarti main bola saat PPKM Level 2 gini dah diperbolehkan ya?
 Dengan kapasitas 25% berarti sepakbola hanya boleh ada 3 pemain per tim?
 Jadi 3 VS 3 di lapangan?
 Atau gimana sih?
 Ga jelas.. https://t.co/eYd9LpJNBU</t>
  </si>
  <si>
    <t>Selamat pagi,Mau tanya nih, berarti main bola saat PPKM Level gini dah diperbolehkan ya?Dengan kapasitas % berarti sepakbola hanya boleh ada pemain per tim?Jadi VS di lapangan?Atau gimana sih?Ga jelas..</t>
  </si>
  <si>
    <t>Pagi..
 PPKM akhirnya diperpanjang krn PPKM sebelumnya kasus positif mulai menurun. Spt yang dijelaskan Presiden Jokowi ketika mengumumkan perpanjangan PPKM level 4, kita msh hrs bersama-sama berjuang mematuhi prokes dan melakukan vaksinasi agar pandemi sgra berakhir.
 (thread) https://t.co/0XERZCcktw</t>
  </si>
  <si>
    <t>Pagi..PPKM akhirnya diperpanjang krn PPKM sebelumnya kasus positif mulai menurun. Spt yang dijelaskan Presiden Jokowi ketika mengumumkan perpanjangan PPKM level , kita msh hrs bersama-sama berjuang mematuhi prokes dan melakukan vaksinasi agar pandemi sgra berakhir.(thread)</t>
  </si>
  <si>
    <t>Mornewng Bree..gmn..gmn msh semangat menjalani PPKM level 4 yg diperpanjang (lagi) oleh Presiden Jokowi? Masih semangat dong yaa.PPKM level4 diterapkan krn terbukti efektif nih utk mengendalikan pandemi https://t.co/LbUyIauU73</t>
  </si>
  <si>
    <t>Mornewng Bree..gmn..gmn msh semangat menjalani PPKM level yg diperpanjang (lagi) oleh Presiden Jokowi? Masih semangat dong yaa.PPKM level4 diterapkan krn terbukti efektif nih utk mengendalikan pandemi</t>
  </si>
  <si>
    <t>Kamu tidak bisa menghentikan matahari terbenam, tetapi kamu pasti bisa menghentikan virus corona farian baru. Laksanakan ppkm darurat Di rumah saja.</t>
  </si>
  <si>
    <t>Pemberlakuan PPKM level 4 berdampak terhadap pembatasan aktivitas sosial masyarakat, 
 namun pemerintah hadir di tengah-tengah masyarakat di masa pandemi.
 Pemerintah akan Salurkan Bansos untuk sedikit meringankan beban hidup warganya akibat pandemi yang mendera. https://t.co/717a0UUCFD</t>
  </si>
  <si>
    <t>Pemberlakuan PPKM level berdampak terhadap pembatasan aktivitas sosial masyarakat, namun pemerintah hadir di tengah-tengah masyarakat di masa pandemi.Pemerintah akan Salurkan Bansos untuk sedikit meringankan beban hidup warganya akibat pandemi yang mendera.</t>
  </si>
  <si>
    <t>@raykairi @eko_kuntadhi Ya mas itupun masih ada pilihan; tapi apakah tidak ada pilihan lain yang lebih produktif ?. Selain GDP yg masih minus; angka pengangguran juga masih ada dan apalagi jumlah vaksin kita masih kurang. Penggunaannya pun saya yakin dibatasi; ppkm gini presiden juga mau kemana? https://t.co/OUffmyaZtp</t>
  </si>
  <si>
    <t>Ya mas itupun masih ada pilihan; tapi apakah tidak ada pilihan lain yang lebih produktif ?. Selain GDP yg masih minus; angka pengangguran juga masih ada dan apalagi jumlah vaksin kita masih kurang. Penggunaannya pun saya yakin dibatasi; ppkm gini presiden juga mau kemana?</t>
  </si>
  <si>
    <t>Perpanjangan PPKM level 4 dipastikan tidak akan mengganggu produktivitas warga,
  karena pemerintah mengizinkan beroperasi kegiatan ekonomi masyarakat seperti pasar tradisional,
 toko kelontong dan Swalayan hingga pukul 20. 00 wib dengan kapasitas pengunjung 50%. https://t.co/VU0ueawAgz</t>
  </si>
  <si>
    <t>Perpanjangan PPKM level dipastikan tidak akan mengganggu produktivitas warga, karena pemerintah mengizinkan beroperasi kegiatan ekonomi masyarakat seperti pasar tradisional,toko kelontong dan Swalayan hingga pukul . wib dengan kapasitas pengunjung %.</t>
  </si>
  <si>
    <t>Dengan adanya dampak positif setelah diterapkannya ppkm level 4 di wilayah paparan yang tergolong tinggi. 
 Kita harus bersama-sama dan mendukung program pemerintah melawan covid 19. https://t.co/cFlMDvEqF3</t>
  </si>
  <si>
    <t>Dengan adanya dampak positif setelah diterapkannya ppkm level di wilayah paparan yang tergolong tinggi. Kita harus bersama-sama dan mendukung program pemerintah melawan covid .</t>
  </si>
  <si>
    <t>Setelah diberlakukannya PPKM level 4 memang memberikan dampak positif terhadap paparan covid-19.
 Namun kita tidak boleh lengah di masa Pandemi ini Ya....!!
 kita tetap harus waspada patuhi kebijakan pemerintah dalam menerapkan 3M. https://t.co/DpMqbD2wJs</t>
  </si>
  <si>
    <t>Setelah diberlakukannya PPKM level memang memberikan dampak positif terhadap paparan covid-19.Namun kita tidak boleh lengah di masa Pandemi ini Ya....!!kita tetap harus waspada patuhi kebijakan pemerintah dalam menerapkan M.</t>
  </si>
  <si>
    <t>Kita tidak boleh kalah oleh covid-19, harus bersama-sama melawan covit 19 dengan tetap patuhi protokol kesehatan dan anjuran pemerintah selama pemberlakuan ppkm level 4 di masa Pandemi.
 kita tidak boleh lengah kita tidak boleh kalah kita harus terbebas dari covid 19...!! https://t.co/TUAjNXYagQ</t>
  </si>
  <si>
    <t>Kita tidak boleh kalah oleh covid-19, harus bersama-sama melawan covit dengan tetap patuhi protokol kesehatan dan anjuran pemerintah selama pemberlakuan ppkm level di masa Pandemi.kita tidak boleh lengah kita tidak boleh kalah kita harus terbebas dari covid ...!!</t>
  </si>
  <si>
    <t>ada kok hal positive yg bisa didapatkan saat ppkm ini</t>
  </si>
  <si>
    <t>🤔 Miris ya.. Dampak PPKM=PelanPelanKaryawanMati😔 https://t.co/yJXPkUdTve</t>
  </si>
  <si>
    <t>Miris ya.. Dampak PPKMelanPelanKaryawanMati</t>
  </si>
  <si>
    <t>@pineapple_edel @Heraloebss Kan ldr ceritanya… sama lg ppkm 😶</t>
  </si>
  <si>
    <t>Kan ldr ceritanya sama lg ppkm</t>
  </si>
  <si>
    <t>Pemerintah menggumumkan terkait kebijakan ppkm di masa Pandemi diperpanjang hingga 9 Agustus 2021,,,
 Karena setelah penerapan PPKM level 4 diberlakukan memberikan dampak positif terhadap penuran kasus penularan covid 19.. https://t.co/6NyKVWvC8J</t>
  </si>
  <si>
    <t>Pemerintah menggumumkan terkait kebijakan ppkm di masa Pandemi diperpanjang hingga Agustus ,,,Karena setelah penerapan PPKM level diberlakukan memberikan dampak positif terhadap penuran kasus penularan covid ..</t>
  </si>
  <si>
    <t>3000 org ngantri formulir vaksin dimalam hari.
 Ppkm berasa dipekosa, hilang harga diri nya.
 Hooooam, tidur lagi ah.</t>
  </si>
  <si>
    <t>org ngantri formulir vaksin dimalam hari.Ppkm berasa dipekosa, hilang harga diri nya.Hooooam, tidur lagi ah.</t>
  </si>
  <si>
    <t>Prodi ikutan PPKM juga wkwk lucu aja sih</t>
  </si>
  <si>
    <t>@KemensosRI waktu si Juliari batubara Korup 
 Bansos masih lumayan lancar
 Sekarang tambah seret 
 Ada apanih???
 anggaran PPKM perharu besarnya luar biasa
 Tapi kemana itu Duitnya???
 Parah nih</t>
  </si>
  <si>
    <t>waktu si Juliari batubara Korup Bansos masih lumayan lancarSekarang tambah seret Ada apanih???anggaran PPKM perharu besarnya luar biasaTapi kemana itu Duitnya???Parah nih</t>
  </si>
  <si>
    <t>@menfessTA Pas ppkm beroperasi terus lur</t>
  </si>
  <si>
    <t>Pas ppkm beroperasi terus lur</t>
  </si>
  <si>
    <t>Cukup PPKM aja yg diperpanjang, hubunganmu sama dia jangan</t>
  </si>
  <si>
    <t>Aku yg terkena dampak ppkm, kerja yg awalnya non shift jadi di shift :'((</t>
  </si>
  <si>
    <t>@geloraco Peristiwa ini harus jadi perhatian para pemimpin negeri ini bahwa ppkm sangat menyiksa rakyat , aksi itu menyatakan dan bersungguh sungguh sbg bukti penderitaan masyarakat krn ppkm.</t>
  </si>
  <si>
    <t>Peristiwa ini harus jadi perhatian para pemimpin negeri ini bahwa ppkm sangat menyiksa rakyat , aksi itu menyatakan dan bersungguh sungguh sbg bukti penderitaan masyarakat krn ppkm.</t>
  </si>
  <si>
    <t>Sumpah selama ppkm, rata2 tuh jam segini masih bangun, entah abis nonton atau lagi main game atau emg gabisa tidur. Tapi sekarang seneng bgt hari ini jam segini udah bangun. Proud to myself haha</t>
  </si>
  <si>
    <t>@_innntania Let it flow aja, biar PPKM yang menjawabnya mba Intan...</t>
  </si>
  <si>
    <t>Let it flow aja, biar PPKM yang menjawabnya mba Intan...</t>
  </si>
  <si>
    <t>@mas_all201 Mimpi ppkm dicabut</t>
  </si>
  <si>
    <t>Mimpi ppkm dicabut</t>
  </si>
  <si>
    <t>@awanmalangit Wah semoga PPKM tambahan level 4 ini lancar yaa.. Aminn!</t>
  </si>
  <si>
    <t>Wah semoga PPKM tambahan level ini lancar yaa.. Aminn!</t>
  </si>
  <si>
    <t>Di DKI sudah biasa aturan di buat untuk dilanggar. PAUD dan MASJID pun tetap melakukan aktifitasnya meskipun sedang PPKM. 
 Gubernur dan warganya sama saja... Klop..
 🤔🤔🤔🤔🤔🤔 https://t.co/pC8uOUWPQC</t>
  </si>
  <si>
    <t>Di DKI sudah biasa aturan di buat untuk dilanggar. PAUD dan MASJID pun tetap melakukan aktifitasnya meskipun sedang PPKM. Gubernur dan warganya sama saja... Klop..</t>
  </si>
  <si>
    <t>@dr_koko28 Mungkin penyebabnya ...
 Tekanan ekonomi
 Tekanan sosial
 Tekanan psikis 
 Dilematis kondisi saat ini
 Semoga ppkm cepat dicabut</t>
  </si>
  <si>
    <t>Mungkin penyebabnya ...Tekanan ekonomiTekanan sosialTekanan psikis Dilematis kondisi saat iniSemoga ppkm cepat dicabut</t>
  </si>
  <si>
    <t>@AREAJULID Dia stres cm krn ppkm diperpanjang semua jg stres mba …</t>
  </si>
  <si>
    <t>Dia stres cm krn ppkm diperpanjang semua jg stres mba</t>
  </si>
  <si>
    <t>All this cases, ppkm, variants kayanya udah ga bisa melihat orang sekedar dia pake masker kok, di rumah aja, ataupun dia negatif kok. Udah terlalu banyak contoh circle yg positif di pcr ke 2 atau 3. Apalagi cuma antigen 🙄</t>
  </si>
  <si>
    <t>All this cases, ppkm, variants kayanya udah ga bisa melihat orang sekedar dia pake masker kok, di rumah aja, ataupun dia negatif kok. Udah terlalu banyak contoh circle yg positif di pcr ke atau . Apalagi cuma antigen</t>
  </si>
  <si>
    <t>NOOOO... tidak ada yg salah doi hanya lupa beli paketan soalnya lg ppkm trims</t>
  </si>
  <si>
    <t>@adearmando1 Buzzer Rp Nanaon D Posting Jeng D Jual, Tega Maneh Buzzer Rp Rkyt Loba Anu Ngajerit Gr Gr Virus Covid D Tambah PPKM, Maneh Cenah Dosen, Tp Maneh Ngadukung Kasangsaraan Rkyt, Dosen Eweh K Isin, Eweh Adab Jeng Etika</t>
  </si>
  <si>
    <t>Buzzer Rp Nanaon D Posting Jeng D Jual, Tega Maneh Buzzer Rp Rkyt Loba Anu Ngajerit Gr Gr Virus Covid D Tambah PPKM, Maneh Cenah Dosen, Tp Maneh Ngadukung Kasangsaraan Rkyt, Dosen Eweh K Isin, Eweh Adab Jeng Etika</t>
  </si>
  <si>
    <t>Seperti biasa yah, gue check out 20 baju.
 Tapi PPKM diperpanjang mulu, sama hal nya dengan status jomblo ku.
 Bajunya buat tidur ae deh ✋🏻</t>
  </si>
  <si>
    <t>Seperti biasa yah, gue check out baju.Tapi PPKM diperpanjang mulu, sama hal nya dengan status jomblo ku.Bajunya buat tidur ae deh</t>
  </si>
  <si>
    <t>@schfess Tugas nya, hafalkan nama-nama vaksin cov 19, berapa lama diberlalkukan ppkm pada tahun 2021?</t>
  </si>
  <si>
    <t>Tugas nya, hafalkan nama-nama vaksin cov , berapa lama diberlalkukan ppkm pada tahun ?</t>
  </si>
  <si>
    <t>Dulu sebelum PPKM https://t.co/LkT2KKthLf</t>
  </si>
  <si>
    <t>Dulu sebelum PPKM</t>
  </si>
  <si>
    <t>PPKM diperpanjang hingga 9 Agustus 2021 mendatang. Syarat perjalanan pun tak banyak berubah dari sebelumnya.
  https://t.co/Op8whsxLe5</t>
  </si>
  <si>
    <t>PPKM diperpanjang hingga Agustus mendatang. Syarat perjalanan pun tak banyak berubah dari sebelumnya.</t>
  </si>
  <si>
    <t>@tavisha__ PPKM pagi pagi kepengen meluk</t>
  </si>
  <si>
    <t>PPKM pagi pagi kepengen meluk</t>
  </si>
  <si>
    <t>@MReyhanAkbar sumpek kan lo ppkm molo wkkw</t>
  </si>
  <si>
    <t>sumpek kan lo ppkm molo wkkw</t>
  </si>
  <si>
    <t>Ya Allah, gapulang kangenn, pulang capek banget bawa motornya, mana abis lepas masuk malem, udah dong ppkm nyaaa, biar bisa naik kereta lagi 🥀</t>
  </si>
  <si>
    <t>Ya Allah, gapulang kangenn, pulang capek banget bawa motornya, mana abis lepas masuk malem, udah dong ppkm nyaaa, biar bisa naik kereta lagi</t>
  </si>
  <si>
    <t>@maspiyuaja @PutraWadapi Bukan soal warna tetapi momen nya gak tepat dengan situasi saat ini. Baru namanya PPKM darurat artinya situasi Pandemi ini sudah darurat, tetapi kog masih bisa ngecet pesawat</t>
  </si>
  <si>
    <t>Bukan soal warna tetapi momen nya gak tepat dengan situasi saat ini. Baru namanya PPKM darurat artinya situasi Pandemi ini sudah darurat, tetapi kog masih bisa ngecet pesawat</t>
  </si>
  <si>
    <t>@melfeyadin Semoga PPKM ini berjalan lancar yaa!</t>
  </si>
  <si>
    <t>Semoga PPKM ini berjalan lancar yaa!</t>
  </si>
  <si>
    <t>baru nyadar masa case hpku dah jelek banget, mall ambassador ppkm buka ga si</t>
  </si>
  <si>
    <t>@awanmalangit PPKM efektif nurunin kasus covid kan ya, ga pa2 deh diperpanjang biar segera hidup normal lagi ya mas</t>
  </si>
  <si>
    <t>PPKM efektif nurunin kasus covid kan ya, ga pa2 deh diperpanjang biar segera hidup normal lagi ya mas</t>
  </si>
  <si>
    <t>@RYpermanaputra Ppkm tapi gas wae</t>
  </si>
  <si>
    <t>Ppkm tapi gas wae</t>
  </si>
  <si>
    <t>Kebanyakan orang cuma pengen PPKM selesai, bukan pandemi yang selesai.
 Terus, cara nyelesein pandemi? Ya PPKM salah satunya</t>
  </si>
  <si>
    <t>Kebanyakan orang cuma pengen PPKM selesai, bukan pandemi yang selesai.Terus, cara nyelesein pandemi? Ya PPKM salah satunya</t>
  </si>
  <si>
    <t>Enak bat di amerika udah bisa tour 😭😭 meanwhile indonesia masih wae PPKM https://t.co/Qch5I1BdeU</t>
  </si>
  <si>
    <t>Enak bat di amerika udah bisa tour meanwhile indonesia masih wae PPKM</t>
  </si>
  <si>
    <t>Bukan cuma presiden yang mengingatkan 3 pilar penanganan. Tim Pakar dan Jubir Pemerintah untuk Penanganan Covid-19, Prof. Wiku Adisasmito juga bilang, "Secara umum penerapan PPKM level 4 telah membawa perbaikan." #PilarTanganiCovid https://t.co/1RvPUjV20N</t>
  </si>
  <si>
    <t>Bukan cuma presiden yang mengingatkan pilar penanganan. Tim Pakar dan Jubir Pemerintah untuk Penanganan Covid-19, Prof. Wiku Adisasmito juga bilang, "Secara umum penerapan PPKM level telah membawa perbaikan."</t>
  </si>
  <si>
    <t>"penerapan PPKM 4 pada 26 - Juli hingga 2 Agustus sebelumnya telah membawa perbaikan. Itu terlihat dari berbagai indikator sperti penurunan jumlah kasus harian, penurunan tingkat keterisian tempat tidur. dan meningkatnya angka kesembuhan, " #PilarTanganiCovid 3 pilar penanganan https://t.co/dDWB2Z94pL</t>
  </si>
  <si>
    <t>"penerapan PPKM pada - Juli hingga Agustus sebelumnya telah membawa perbaikan. Itu terlihat dari berbagai indikator sperti penurunan jumlah kasus harian, penurunan tingkat keterisian tempat tidur. dan meningkatnya angka kesembuhan, " pilar penanganan</t>
  </si>
  <si>
    <t>Tim Pakar dan Juru Bicara Pemerintah Untuk Penanganan Covid-19 Prof Wiku Adisasmito mengungkapkan, Pemerintah memutuskan penerapan PPKM Level 4 hingga tanggal 9 Agustus 2021. #PilarTanganiCovid 3 pilar penanganan https://t.co/GpyR5mxXQm</t>
  </si>
  <si>
    <t>Tim Pakar dan Juru Bicara Pemerintah Untuk Penanganan Covid-19 Prof Wiku Adisasmito mengungkapkan, Pemerintah memutuskan penerapan PPKM Level hingga tanggal Agustus . pilar penanganan</t>
  </si>
  <si>
    <t>@traveloka agustus ini cuti rencana melipir ke bajo sebelum pulang ke bali tp masih ppkm 🥺</t>
  </si>
  <si>
    <t>agustus ini cuti rencana melipir ke bajo sebelum pulang ke bali tp masih ppkm</t>
  </si>
  <si>
    <t>@narkosun Semoga ppkm diperpanjang, biar ada babak bikini ke 2 atau mungkin topless....😂😷
 Tapi salut sama doi yg menepati nazarnya, gaq kayaq AR yg cm omdo</t>
  </si>
  <si>
    <t>Semoga ppkm diperpanjang, biar ada babak bikini ke atau mungkin topless....Tapi salut sama doi yg menepati nazarnya, gaq kayaq AR yg cm omdo</t>
  </si>
  <si>
    <t>@mosidik @ridwankamil @jokowi Ubed teu dagang cilok gara2 ppkm</t>
  </si>
  <si>
    <t>Ubed teu dagang cilok gara2 ppkm</t>
  </si>
  <si>
    <t>@Heraloebss Saya bacanya gini.
 Dia tuh sebetulnya sdh GA KUAT sm PPKM nya pemerintah...
 Tp dia mau demo n protes, MALU.
 Sebab, dia kan buzzer😁
 Makanya, provokasi kita biar pd demo...
 😎☕</t>
  </si>
  <si>
    <t>Saya bacanya gini.Dia tuh sebetulnya sdh GA KUAT sm PPKM nya pemerintah...Tp dia mau demo n protes, MALU.Sebab, dia kan buzzerMakanya, provokasi kita biar pd demo...</t>
  </si>
  <si>
    <t>Saat ini kita masih berada di pandemi virus covid 19!
 Maka kita harus diam dirumah terlebih dahulu karena sedang menjalani PPKM level 4.
 Dan harus mematuhi protokol kesehatan.Contohnya:
 1.Menjaga jarak
 2.Memakai masker
 3.Rajin mencuci tangan
 4.Tidak bersentuhan dengan orang lain</t>
  </si>
  <si>
    <t>Saat ini kita masih berada di pandemi virus covid !Maka kita harus diam dirumah terlebih dahulu karena sedang menjalani PPKM level .Dan harus mematuhi protokol kesehatan.Contohnya:1.Menjaga jarak2.Memakai masker3.Rajin mencuci tangan4.Tidak bersentuhan dengan orang lain</t>
  </si>
  <si>
    <t>Semenjak pandemi till ppkm berasa ga punya temen bgt, kek hidup dikesendirian, tmn udh pd punya tmn baru...mengsedih bgt jd akumah😢</t>
  </si>
  <si>
    <t>Semenjak pandemi till ppkm berasa ga punya temen bgt, kek hidup dikesendirian, tmn udh pd punya tmn baru...mengsedih bgt jd akumah</t>
  </si>
  <si>
    <t>beneran kalo bisa ya gua juga bakal nonton blackpink the movie tapi masalahnya ppkm 😭😭 https://t.co/LRDUjNUmae</t>
  </si>
  <si>
    <t>beneran kalo bisa ya gua juga bakal nonton blackpink the movie tapi masalahnya ppkm</t>
  </si>
  <si>
    <t>Kasus Covid-19 Terus Meningkat, DGB UGM Ungkap Pentingnya Gotong Royong Atasi Pandemi
 Sebetulnya PPKM itu tidak diperlukan jika masyarakat secara sadar membatasi pergerakan untuk mengurangi penyebaran virus. 
 #TolakDemoPerparahPandemi
 https://t.co/HXKZqEzbqf</t>
  </si>
  <si>
    <t>Kasus Covid-19 Terus Meningkat, DGB UGM Ungkap Pentingnya Gotong Royong Atasi PandemiSebetulnya PPKM itu tidak diperlukan jika masyarakat secara sadar membatasi pergerakan untuk mengurangi penyebaran virus. ://</t>
  </si>
  <si>
    <t>#TolakDemoPerparahPandemi
 PPKM darurat dibuat biar unsur 5 M di mengurangi mobilitas &amp;amp; menghindari kerumunan bisa di tekan maksimal, Tujuannya Penularan Virus Terhambat hingga Kasus Covid Turun Drastis
 Nah kalo masih ngotot DEMO apa gak sayang nyawanya &amp;amp; keluarganya dirumah ? https://t.co/ETTrC7kYFw</t>
  </si>
  <si>
    <t>darurat dibuat biar unsur M di mengurangi mobilitas &amp;amp; menghindari kerumunan bisa di tekan maksimal, Tujuannya Penularan Virus Terhambat hingga Kasus Covid Turun DrastisNah kalo masih ngotot DEMO apa gak sayang nyawanya &amp;amp; keluarganya dirumah ?</t>
  </si>
  <si>
    <t>Apa kalian ingin PPKM di perpanjang lagi lagi dn lagi, karena ulah kalian yg membuat semakin ruwet, cerdas dikit jangan mempersulit keadaan, kita sama sama susah apa yg kalian dapat dr demo
 #TolakDemoPerparahPandemi https://t.co/c6T7m4OI4k</t>
  </si>
  <si>
    <t>Apa kalian ingin PPKM di perpanjang lagi lagi dn lagi, karena ulah kalian yg membuat semakin ruwet, cerdas dikit jangan mempersulit keadaan, kita sama sama susah apa yg kalian dapat dr demo</t>
  </si>
  <si>
    <t>Ini klinik hewan dibatas 15 ekor per hari anjir gara2 ppkm. Mana kucing gue yg sakit 5</t>
  </si>
  <si>
    <t>Ini klinik hewan dibatas ekor per hari anjir gara2 ppkm. Mana kucing gue yg sakit</t>
  </si>
  <si>
    <t>@BadmintonTalk Dua wanita jika tidka ada PPKM udah pasti penuh di jalanan dari semua pihak untuk menyambut sang pahlawan 👍</t>
  </si>
  <si>
    <t>Dua wanita jika tidka ada PPKM udah pasti penuh di jalanan dari semua pihak untuk menyambut sang pahlawan</t>
  </si>
  <si>
    <t>Ada yg tau kolam renang selain Kodam atau Tirta yg buka selama ppkm?? #gaymakassar</t>
  </si>
  <si>
    <t>Ada yg tau kolam renang selain Kodam atau Tirta yg buka selama ppkm??</t>
  </si>
  <si>
    <t>Bansos PPKM. 
 Vaksin Selamatkan Indonesia https://t.co/H3oXGVxjru</t>
  </si>
  <si>
    <t>Bansos PPKM. Vaksin Selamatkan Indonesia</t>
  </si>
  <si>
    <t>ppkm di tambah jadi 30 menit, percuma juga pak aku kalau makan juga sebelum pandemi cuma 10 menit.</t>
  </si>
  <si>
    <t>ppkm di tambah jadi menit, percuma juga pak aku kalau makan juga sebelum pandemi cuma menit.</t>
  </si>
  <si>
    <t>PPKM 
 Vaksin Selamatkan Indonesia https://t.co/r9V5akGJHk</t>
  </si>
  <si>
    <t>PPKM Vaksin Selamatkan Indonesia</t>
  </si>
  <si>
    <t>giliran udah diijinin tapi ppkm diperpanjang dan libur kerja berubah wkwkwk ntaappp</t>
  </si>
  <si>
    <t>@adearmando1 Anda ga ngerti esensi dari vidio tersebut bukan iklhas tapi sindiran sekalian PPKM sampai hari kiamat aja</t>
  </si>
  <si>
    <t>Anda ga ngerti esensi dari vidio tersebut bukan iklhas tapi sindiran sekalian PPKM sampai hari kiamat aja</t>
  </si>
  <si>
    <t>Lembaga penelitian @lab45_ menemukan 276 kejadian yang bisa dikatagorikan pembangkangan sipil selama masa PPKM darurat. 
 Terdiri dari berbagai bentuk, mulai pengibaran bendera putih, menghelat acara kerumunan, demonstrasi dll https://t.co/mnNurCkLxZ</t>
  </si>
  <si>
    <t>Lembaga penelitian menemukan kejadian yang bisa dikatagorikan pembangkangan sipil selama masa PPKM darurat. Terdiri dari berbagai bentuk, mulai pengibaran bendera putih, menghelat acara kerumunan, demonstrasi dll</t>
  </si>
  <si>
    <t>PPKM LEVEL 4
 #kibarbenderaputih #kibarkanbenderaputihaja #ppkmdarurat #jktinfo https://t.co/EWrJy4QgGg</t>
  </si>
  <si>
    <t>PPKM LEVEL</t>
  </si>
  <si>
    <t>@anis_khoir01 Aku kok malah seneng ya kalo ppkm diperpanjang, krn ada harapan corona segera pergi, jd bisa segera hidup normal lagi</t>
  </si>
  <si>
    <t>Aku kok malah seneng ya kalo ppkm diperpanjang, krn ada harapan corona segera pergi, jd bisa segera hidup normal lagi</t>
  </si>
  <si>
    <t>Ada yg tau cilok ini yg biasa di pasar laron selama ppkm tetep jualan gk ya? Dmn dn jmbrp? Terimakasih sblmnya🙏 @infomalang @infobatu https://t.co/ET4CeDtPsg</t>
  </si>
  <si>
    <t>Ada yg tau cilok ini yg biasa di pasar laron selama ppkm tetep jualan gk ya? Dmn dn jmbrp? Terimakasih sblmnya</t>
  </si>
  <si>
    <t>@xlhomeid Enak sih dirumah aja. 
 Tapi jringan XL Home di tempatku sepertinya ikutan PPKM. Jaga jarak juga jaringannya jadi suka hilang2 padahal kalo bayar tagihan gak boleh separuh2....
 Apalagi klo saat anak2 lagi sekolah daring trus jaringnnya ngambek. Bikin emosi level dewa.</t>
  </si>
  <si>
    <t>Enak sih dirumah aja. Tapi jringan XL Home di tempatku sepertinya ikutan PPKM. Jaga jarak juga jaringannya jadi suka hilang2 padahal kalo bayar tagihan gak boleh separuh2....Apalagi klo saat anak2 lagi sekolah daring trus jaringnnya ngambek. Bikin emosi level dewa.</t>
  </si>
  <si>
    <t>stay safe buat kalian semua, semangat PPKM nya kayak mimin nih tetap semangat 🤭
 @davinaakaramoy @emyrrazan @rizky.fachrel lagi nontonin apa ya? 🤫🤔
 #TheOtherSideMovie 
 #Comingsoon https://t.co/A790TOMTVZ</t>
  </si>
  <si>
    <t>stay safe buat kalian semua, semangat PPKM nya kayak mimin nih tetap semangat .fachrel lagi nontonin apa ya?</t>
  </si>
  <si>
    <t>Selama PPKM ini memang kapasitas testing kita kan naik 2 kali lipat standar WHO, dan memang harus dikejar semaksimal mungkin kontak erat pasien positif</t>
  </si>
  <si>
    <t>Selama PPKM ini memang kapasitas testing kita kan naik kali lipat standar WHO, dan memang harus dikejar semaksimal mungkin kontak erat pasien positif</t>
  </si>
  <si>
    <t>@fadjroeL @LolaAmaria Insentif nakes telat..Bansos telat...Eh malah ngecat pesawat..Kadang omongan gak sesuai kenyataan yg terus menerus itu lah sifat jati diri nya,Ngomong dsni pembangkit optimis ngomong dsana pembenaran semata,Selamat pagi buat bapak yg bs tenang jalani hidup walau ppkm sampe kiamat</t>
  </si>
  <si>
    <t>Insentif nakes telat..Bansos telat...Eh malah ngecat pesawat..Kadang omongan gak sesuai kenyataan yg terus menerus itu lah sifat jati diri nya,Ngomong dsni pembangkit optimis ngomong dsana pembenaran semata,Selamat pagi buat bapak yg bs tenang jalani hidup walau ppkm sampe kiamat</t>
  </si>
  <si>
    <t>Secara terpisah, Jubir Satgas Covid-19 Jatim Makhyan Jibril juga membeberkan evaluasi selama PPKM level 3-4 pada 26 Juli-2 Agustus.</t>
  </si>
  <si>
    <t>Secara terpisah, Jubir Satgas Covid-19 Jatim Makhyan Jibril juga membeberkan evaluasi selama PPKM level $NUMBER$ pada Juli-2 Agustus.</t>
  </si>
  <si>
    <t>PPKM untuk bersama 3 pilar penanganan #PilarTanganiCovid #COVID19 @lawancovid19_id https://t.co/PzGWYv96NL #SemangatSalingBantu https://t.co/3H8dkyNFWl</t>
  </si>
  <si>
    <t>PPKM untuk bersama pilar penanganan</t>
  </si>
  <si>
    <t>Plis dech patuhi PPKM
 Kami team relawan kuwalahan duet sama virus. Sembuhlah negriku Ini ulang tahunmu. https://t.co/cXtzrikiGg</t>
  </si>
  <si>
    <t>Plis dech patuhi PPKMKami team relawan kuwalahan duet sama virus. Sembuhlah negriku Ini ulang tahunmu.</t>
  </si>
  <si>
    <t>Dukung Perpanjang PPKM Level 4, Syarief Hasan: Pemerintah Harus Pastikan Kebijakan Ditindaklanjuti
 https://t.co/G7GTi02qRi
 Vaksin Selamatkan Indonesia</t>
  </si>
  <si>
    <t>Dukung Perpanjang PPKM Level , Syarief Hasan: Pemerintah Harus Pastikan Kebijakan Ditindaklanjuti Selamatkan Indonesia</t>
  </si>
  <si>
    <t>@zulfikarasilva Tolong jgn diperpanjang lg ppkm nya ya kasep @jokowi</t>
  </si>
  <si>
    <t>Tolong jgn diperpanjang lg ppkm nya ya kasep</t>
  </si>
  <si>
    <t>bertanya pada diri sendiri pada saat lockdown akibat corona ft ppkm lvl lvl an https://t.co/wVC8au8JmK</t>
  </si>
  <si>
    <t>bertanya pada diri sendiri pada saat lockdown akibat corona ft ppkm lvl lvl an</t>
  </si>
  <si>
    <t>Di Jatim sendiri, kasus aktif covid-19 saat ini sebanyak 49.855 kasus, dan Jatim menjadi salah satu provinsi yang menerapkan PPKM darurat, PPKM level 3-4 sejak 3 Juli 2021 lalu.</t>
  </si>
  <si>
    <t>Di Jatim sendiri, kasus aktif covid-19 saat ini sebanyak kasus, dan Jatim menjadi salah satu provinsi yang menerapkan PPKM darurat, PPKM level $NUMBER$ sejak Juli lalu.</t>
  </si>
  <si>
    <t>Ini apasih pagi2 buka IG, isi story temen gua kok udah pada bergelar. Gua aja baru hari ini bangun pagi selama PPKM.</t>
  </si>
  <si>
    <t>@passcariteman Masih PPKM mbk, belum ada yg buka 🥲</t>
  </si>
  <si>
    <t>Masih PPKM mbk, belum ada yg buka</t>
  </si>
  <si>
    <t>@syahrulraj Terhalang penyekatan Ppkm. Akhirnya puter balik, dan kita tidak pada tujuan yang sama.</t>
  </si>
  <si>
    <t>Terhalang penyekatan Ppkm. Akhirnya puter balik, dan kita tidak pada tujuan yang sama.</t>
  </si>
  <si>
    <t>PPKM di perpanjang sampek wong wedok ngakoni salah :v</t>
  </si>
  <si>
    <t>UU mengatur menyatakan pendapat dimuka umum perlu pemberitahuan kpd Polisi, bkn ijin, itu betul. Namun krn saat ini situasi PPKM dan adanya larangan berkerumun mk demo itu tdk blh tanpa ijin.
 Harusnya DR Hukum paham Lex specialis derogat legi generali.
  https://t.co/h5pLq6gRnU</t>
  </si>
  <si>
    <t>UU mengatur menyatakan pendapat dimuka umum perlu pemberitahuan kpd Polisi, bkn ijin, itu betul. Namun krn saat ini situasi PPKM dan adanya larangan berkerumun mk demo itu tdk blh tanpa ijin.Harusnya DR Hukum paham Lex specialis derogat legi generali.</t>
  </si>
  <si>
    <t>@rossalina8_ @collegemenfess Sebelum ppkm menyerang w masih salim si wkkw</t>
  </si>
  <si>
    <t>Sebelum ppkm menyerang w masih salim si wkkw</t>
  </si>
  <si>
    <t>Demi Keselamatan Rakyat Indonesia, Mari Mendukung Keputusan Presiden Joko Widodo Terkait Perpanjangan PPKM https://t.co/xBb3qYhHkR</t>
  </si>
  <si>
    <t>Demi Keselamatan Rakyat Indonesia, Mari Mendukung Keputusan Presiden Joko Widodo Terkait Perpanjangan PPKM</t>
  </si>
  <si>
    <t>@radenrauf Overthinking kalo gw secara gw ga perlu kangen coz semenjak ppkm laki gw ngejogrok di depan gw.insecure jg gak toh gw kayanya tambah putih efek jarang makan kna jd (PUCAT PASI)</t>
  </si>
  <si>
    <t>Overthinking kalo gw secara gw ga perlu kangen coz semenjak ppkm laki gw ngejogrok di depan gw.insecure jg gak toh gw kayanya tambah putih efek jarang makan kna jd (PUCAT PASI)</t>
  </si>
  <si>
    <t>Untuk perpanjangan PPKM level 3-4 sendiri, Khofifah meminta seluruh pihak di Jatim menunggu SK Gubernur, dan Secara umum, aturan di SK Gubernur akan mengikuti instruksi pusat.</t>
  </si>
  <si>
    <t>Untuk perpanjangan PPKM level $NUMBER$ sendiri, Khofifah meminta seluruh pihak di Jatim menunggu SK Gubernur, dan Secara umum, aturan di SK Gubernur akan mengikuti instruksi pusat.</t>
  </si>
  <si>
    <t>Kebelet nikah lagi PPKM takut dibubarin...hm @AstyUtami6 https://t.co/gpkQV2omxP</t>
  </si>
  <si>
    <t>Kebelet nikah lagi PPKM takut dibubarin...hm</t>
  </si>
  <si>
    <t>cocok ditonton pas ppkm hahaha https://t.co/kEWCwbWzvi</t>
  </si>
  <si>
    <t>cocok ditonton pas ppkm hahaha</t>
  </si>
  <si>
    <t>@TRANSTV_CORP Ntah lah.. Ppkm usai pun, gak menjamin warganya yg jelong² bisa taat prokes...</t>
  </si>
  <si>
    <t>Ntah lah.. Ppkm usai pun, gak menjamin warganya yg jelong bisa taat prokes...</t>
  </si>
  <si>
    <t>Patuhi PPKM untuk kebaikan bersama. https://t.co/qxZq2kXT8d</t>
  </si>
  <si>
    <t>Patuhi PPKM untuk kebaikan bersama.</t>
  </si>
  <si>
    <t>@tingkimingki LUMAYAN KAK, PPKM GINI SEMBAKO BERGUNA 👍🏻</t>
  </si>
  <si>
    <t>LUMAYAN KAK, PPKM GINI SEMBAKO BERGUNA</t>
  </si>
  <si>
    <t>//. nangis bgt inimah sakit gigi kaya lebih parah dibanding sebelum operasi impaksi. ppkm segala susah mau ke drg🥲</t>
  </si>
  <si>
    <t>//. nangis bgt inimah sakit gigi kaya lebih parah dibanding sebelum operasi impaksi. ppkm segala susah mau ke drg</t>
  </si>
  <si>
    <t>@Asa73144670Asa Semenjak buln kemarek ikut GA karna g punya uang buat jajan atau kebutuhan mau minta ortu pun kadang takut kasian jugasi musim covid gini+ppkm keuangan keluarga jadi sulid ayah kerja serabutan karna abis di phk imdi bantu ibu jualan di tokoh temen nya, ikut GA sangat2 membatu</t>
  </si>
  <si>
    <t>Semenjak buln kemarek ikut GA karna g punya uang buat jajan atau kebutuhan mau minta ortu pun kadang takut kasian jugasi musim covid gini+ppkm keuangan keluarga jadi sulid ayah kerja serabutan karna abis di phk imdi bantu ibu jualan di tokoh temen nya, ikut GA sangat2 membatu</t>
  </si>
  <si>
    <t>PPKM buat jualan mamaku makin laris.
 Awalnya mamaku jual cincin, terus gelang, kalung.
 Kemaren jual kulkas sama tv, besok jual motor, mungkin besoknya mobil juga dijual. Apa malah tanah sama rumah juga kali?
 PPKM make me happy🥰</t>
  </si>
  <si>
    <t>PPKM buat jualan mamaku makin laris.Awalnya mamaku jual cincin, terus gelang, kalung.Kemaren jual kulkas sama tv, besok jual motor, mungkin besoknya mobil juga dijual. Apa malah tanah sama rumah juga kali?PPKM make me happy</t>
  </si>
  <si>
    <t>Sebelum CV-19 dan PPKM level levelan menyerang, miss my body 😝 https://t.co/oospSdf71t</t>
  </si>
  <si>
    <t>Sebelum CV-19 dan PPKM level levelan menyerang, miss my body</t>
  </si>
  <si>
    <t>Patuhi PPKM untuk kebaikan bersama. https://t.co/grdFy3XdTY</t>
  </si>
  <si>
    <t>Patuhi PPKM untuk kebaikan bersama. https://t.co/ZTKgAhFeWz</t>
  </si>
  <si>
    <t>Patuhi PPKM untuk kebaikan bersama. https://t.co/amsY2fKWZu</t>
  </si>
  <si>
    <t>Patuhi PPKM untuk kebaikan bersama. https://t.co/ddpYiEODhn</t>
  </si>
  <si>
    <t>BOR ICU kemarin 80 persen, jadi di beberapa daerah pada awal PPKM ada yang sempat 90 persen ya</t>
  </si>
  <si>
    <t>BOR ICU kemarin persen, jadi di beberapa daerah pada awal PPKM ada yang sempat persen ya</t>
  </si>
  <si>
    <t>Semenjak ppkm, makin rajin aja rebahan :')</t>
  </si>
  <si>
    <t>@liagypsophila IYAAA, TP KAN INDO LAGI PPKM, JDI SULIT 😭🥊</t>
  </si>
  <si>
    <t>IYAAA, TP KAN INDO LAGI PPKM, JDI SULIT</t>
  </si>
  <si>
    <t>@nglamoon Saya juga kirain ga jadi, tp ya tunggu aja yaa kali ppkm lanjut terusd</t>
  </si>
  <si>
    <t>Saya juga kirain ga jadi, tp ya tunggu aja yaa kali ppkm lanjut terusd</t>
  </si>
  <si>
    <t>@BadmintonTalk sekalian aja ketua rt rw dibikin sambutan anjir gada yg peduli ama pidato2 lu pada juga kasian tu atlet masi jetlag sambutan udh kaya ppkm lama amat</t>
  </si>
  <si>
    <t>sekalian aja ketua rt rw dibikin sambutan anjir gada yg peduli ama pidato2 lu pada juga kasian tu atlet masi jetlag sambutan udh kaya ppkm lama amat</t>
  </si>
  <si>
    <t>@Schyc36_ @5ecretNumber Lagi kena ppkm sabar🤣🤣👍</t>
  </si>
  <si>
    <t>Lagi kena ppkm sabar</t>
  </si>
  <si>
    <t>@scentedstok @AREAJULID Tampol sendiri aja lah masih ppkm</t>
  </si>
  <si>
    <t>Tampol sendiri aja lah masih ppkm</t>
  </si>
  <si>
    <t>BOR itu juga 67 persen, sudah mulai melandai, karena awal PPKM darurat 84 persen, dan sekarang sudah 67 persen per kemarin</t>
  </si>
  <si>
    <t>BOR itu juga persen, sudah mulai melandai, karena awal PPKM darurat persen, dan sekarang sudah persen per kemarin</t>
  </si>
  <si>
    <t>@Samira_Aries @ratu12noer Kami tidak menolak ppkm tapi kami menuntut ditunakannya hak kami akibat ppkm. Jangan sia2kan UU Kekarantinaan dibuat dengan biaya mahal yg sesuai keilmuan dan agama agar tidak auto pilot negara ini</t>
  </si>
  <si>
    <t>Kami tidak menolak ppkm tapi kami menuntut ditunakannya hak kami akibat ppkm. Jangan sia2kan UU Kekarantinaan dibuat dengan biaya mahal yg sesuai keilmuan dan agama agar tidak auto pilot negara ini</t>
  </si>
  <si>
    <t>@Fajar_Mula @geloraco Ppkm aturan tegas hanya bt rakyat kcl g berlaku bt org kaya n' para aparatnya</t>
  </si>
  <si>
    <t>Ppkm aturan tegas hanya bt rakyat kcl g berlaku bt org kaya n' para aparatnya</t>
  </si>
  <si>
    <t>Lah iya baru sadar 
 Klw janji kampanye kemarin " SUDAH TIDAK BEBAN 5 TH KEDEPAN" 
 Pesawat di cat 
 PPKM di perpanjang 
 Yg mengakibatkan utang menumpuk</t>
  </si>
  <si>
    <t>Lah iya baru sadar Klw janji kampanye kemarin " SUDAH TIDAK BEBAN TH KEDEPAN" Pesawat di cat PPKM di perpanjang Yg mengakibatkan utang menumpuk</t>
  </si>
  <si>
    <t>Khofififah juga menjelaskan BOR isolasi covid-19 di Jatim juga turun, dan dari awal PPKM darurat 84 persen, saat ini tersisa 67 persen loh!</t>
  </si>
  <si>
    <t>Khofififah juga menjelaskan BOR isolasi covid-19 di Jatim juga turun, dan dari awal PPKM darurat persen, saat ini tersisa persen loh!</t>
  </si>
  <si>
    <t>@wildmaxn @moonareas kan ppkm:(</t>
  </si>
  <si>
    <t>@yoojiaespa CANTIK BANGET??? HAIII LUCU BANGET SI. salam kenal aku rp shuhua nama oc nya kanaya panggil aja nanay, AYOK DEKETAN TP KASIH JARAK SOALNY LAGI PPKM</t>
  </si>
  <si>
    <t>CANTIK BANGET??? HAIII LUCU BANGET SI. salam kenal aku rp shuhua nama oc nya kanaya panggil aja nanay, AYOK DEKETAN TP KASIH JARAK SOALNY LAGI PPKM</t>
  </si>
  <si>
    <t>ppkm level level an kyk boncabe ae😭</t>
  </si>
  <si>
    <t>ppkm level level an kyk boncabe ae</t>
  </si>
  <si>
    <t>Evaluasi PPKM, kalau kita melakukan evaluasi dari kasus (covid-19) yang terkonfirmasi positif Alhamdulilah terus melandai</t>
  </si>
  <si>
    <t>@geloraco @situmang123 Ppkm berlaku bt rakyat yg cari nafkah klu petugas satpol pp nikahan boleh bikin pesta undang 250 org Hrs Nya ppkm aturan tegas berlaku jg bt anggota aparat</t>
  </si>
  <si>
    <t>Ppkm berlaku bt rakyat yg cari nafkah klu petugas satpol pp nikahan boleh bikin pesta undang org Hrs Nya ppkm aturan tegas berlaku jg bt anggota aparat</t>
  </si>
  <si>
    <t>Hape dia aja udah diatas langit lah aku hape nya juga Bagus sih tapi sayang nyicil (diambil polisi dan mana belom kelar pula) maka nya aku minder udah ke tingkat 4 kaya ppkm ;)</t>
  </si>
  <si>
    <t>Hape dia aja udah diatas langit lah aku hape nya juga Bagus sih tapi sayang nyicil (diambil polisi dan mana belom kelar pula) maka nya aku minder udah ke tingkat kaya ppkm</t>
  </si>
  <si>
    <t>Panjanngggggggg ppkm https://t.co/YnGIyw4ajs</t>
  </si>
  <si>
    <t>Panjanngggggggg ppkm</t>
  </si>
  <si>
    <t>it works!!!!
 Udah 2 hari susah tidur krn pola tidur yg brantakan during thisss ppkm trs pake ini trs benerrran masa 2-3menitan udh tidur keren lo nova 🙏👍 https://t.co/J8ci8q8Z7N</t>
  </si>
  <si>
    <t>it works!!!!Udah hari susah tidur krn pola tidur yg brantakan during thisss ppkm trs pake ini trs benerrran masa $NUMBER$menitan udh tidur keren lo nova</t>
  </si>
  <si>
    <t>@Hanif_AF Setahun lebih, mau liburan ke luar kota aja masih mikir 2 kali ..
 Padahal cuma ke Jakarta doang wkwk ..
 Akhirnya Juni kemarin beraniin main ke Jakarta, eh abis itu PPKM ..</t>
  </si>
  <si>
    <t>Setahun lebih, mau liburan ke luar kota aja masih mikir kali ..Padahal cuma ke Jakarta doang wkwk ..Akhirnya Juni kemarin beraniin main ke Jakarta, eh abis itu PPKM ..</t>
  </si>
  <si>
    <t>Anjir ppkm aja terooosss sampe gua gilaaa</t>
  </si>
  <si>
    <t>Pemerintah pusat akhirnya kembali memperpanjang PPKM level 3-4 hingga 9 Agustus 2021 mendatang loh!</t>
  </si>
  <si>
    <t>Pemerintah pusat akhirnya kembali memperpanjang PPKM level $NUMBER$ hingga Agustus mendatang loh!</t>
  </si>
  <si>
    <t>@panca66 @tjahjo_kumolo Klo dibeliin beras untuk dibagikan uang ganti cat pesawat kpd masyarakat terdampak PPKM tentunya lebih banyak manfaatnya disaat lagi susah begini. Emang klo gak diganti cat, pesawatnya gak bisa terbang lagi ya ?</t>
  </si>
  <si>
    <t>Klo dibeliin beras untuk dibagikan uang ganti cat pesawat kpd masyarakat terdampak PPKM tentunya lebih banyak manfaatnya disaat lagi susah begini. Emang klo gak diganti cat, pesawatnya gak bisa terbang lagi ya ?</t>
  </si>
  <si>
    <t>PPKM hingga level 4 yang dijalani masyarakat akan percuma jika aksi demo masih terus dibiarkan.
 Harap agar aparat keamanan tidak memberikan izin terhadap aksi-aksi tersebut, kami rakyat cape!
 @jokowi
 @mohmahfudmd
 @TjahjantoHadi
 @Puspen_TNI
 @CCICPolri
 #TolakDemoPerparahPandemi https://t.co/HV5fPg3LQy</t>
  </si>
  <si>
    <t>PPKM hingga level yang dijalani masyarakat akan percuma jika aksi demo masih terus dibiarkan.Harap agar aparat keamanan tidak memberikan izin terhadap aksi-aksi tersebut, kami rakyat cape!</t>
  </si>
  <si>
    <t>@gaysahalu ppkm hoon lo ngajak anak orang aje</t>
  </si>
  <si>
    <t>ppkm hoon lo ngajak anak orang aje</t>
  </si>
  <si>
    <t>@namikimora Eh bukan lockdown, ppkm.
 di sana kayaknya sama juga kayak di sini, yg kayak jualan tutup jam 8 malam</t>
  </si>
  <si>
    <t>Eh bukan lockdown, ppkm.di sana kayaknya sama juga kayak di sini, yg kayak jualan tutup jam malam</t>
  </si>
  <si>
    <t>Cc
 @jokowi
 @DivHumas_Polri
 @CCICPolri
 @TjahjantoHadi
 @Puspen_TNI
 @binofficial_ri
 Ada rencana aksi demo oleh HMI &amp;amp; buruh ditengah pemerintah telah bersusah-payah tangani pandemi Covid-19.
 Jangan sia-siakan PPKM terhadap masyarakat oleh aksi unfaedah!
 #TolakDemoPerparahPandemi https://t.co/I8VQdhMjEC</t>
  </si>
  <si>
    <t>Cc rencana aksi demo oleh HMI &amp;amp; buruh ditengah pemerintah telah bersusah-payah tangani pandemi Covid-19.Jangan sia-siakan PPKM terhadap masyarakat oleh aksi unfaedah!</t>
  </si>
  <si>
    <t>Turun ke Jalan Pakai Bikini, Dinar Candy Ngaku Stres PPKM Diperpanjang https://t.co/OrDmoAYnRT</t>
  </si>
  <si>
    <t>Turun ke Jalan Pakai Bikini, Dinar Candy Ngaku Stres PPKM Diperpanjang</t>
  </si>
  <si>
    <t>PPKM. Pagi-pagi kok merenung</t>
  </si>
  <si>
    <t>Viral Pakai Bikini di Jalan, Dinar Candy Sampaikan Tolak Perpanjang PPKM, Netizen: Segitunya Amat Cari Duit https://t.co/4xGY6Hzc48</t>
  </si>
  <si>
    <t>Viral Pakai Bikini di Jalan, Dinar Candy Sampaikan Tolak Perpanjang PPKM, Netizen: Segitunya Amat Cari Duit</t>
  </si>
  <si>
    <t>@jokowi Iya pak ppkm dicicil sepekan sepekan lama2 ga terasa udah mau tahun baru...boro2 BLT bla bla...saya sarden aja ga dpt</t>
  </si>
  <si>
    <t>Iya pak ppkm dicicil sepekan sepekan lama2 ga terasa udah mau tahun baru...boro2 BLT bla bla...saya sarden aja ga dpt</t>
  </si>
  <si>
    <t>@takdirjimin Aamiinn 🤣🤣🤣🤣🤣
 Gilak gilak dah org2
 Efek PPKM trlalu lama gak sih</t>
  </si>
  <si>
    <t>Aamiinn Gilak gilak dah org2Efek PPKM trlalu lama gak sih</t>
  </si>
  <si>
    <t>@RaniRasyidin Hayu Teh dokteeeer. PPKM Ngehek gak bs diandelin. Ketemuan di rumahku hayuuuuu Teeeh❤️</t>
  </si>
  <si>
    <t>Hayu Teh dokteeeer. PPKM Ngehek gak bs diandelin. Ketemuan di rumahku hayuuuuu Teeeh</t>
  </si>
  <si>
    <t>Ajakan Aksi Tolak PPKM Menyebar di Yogya, Polisi: Bisa Perparah Keadaan!
 Pada dasarnya unjuk rasa tidak dilarang. 
 Tapii mbok ya jangan egois,
 di Yogya kasus Covid-19 masih tinggi lho
 Nanti malah memperparah keadaan 🤦‍♀️
 #TolakDemoPerparahPandemi
 https://t.co/whK3fP1bSk</t>
  </si>
  <si>
    <t>Ajakan Aksi Tolak PPKM Menyebar di Yogya, Polisi: Bisa Perparah Keadaan!Pada dasarnya unjuk rasa tidak dilarang. Tapii mbok ya jangan egois,di Yogya kasus Covid-19 masih tinggi lhoNanti malah memperparah keadaan ://</t>
  </si>
  <si>
    <t>Polda Daerah Istimewa Yogyakarta (DIY) mengimbau masyarakat agar tidak menggelar unjuk rasa terkait penolakan PPKM. Diketahui, seruan untuk melakukan unjuk rasa di DIY sudah tersebar di berbagai platform media sosial
 #TolakDemoPerparahPandemi
 https://t.co/YlKGMiLYOc</t>
  </si>
  <si>
    <t>Polda Daerah Istimewa Yogyakarta (DIY) mengimbau masyarakat agar tidak menggelar unjuk rasa terkait penolakanPPKM. Diketahui, seruan untuk melakukan unjuk rasa di DIY sudah tersebar di berbagai platform media sosial://</t>
  </si>
  <si>
    <t>mangkane ppkm diperpanjang terus https://t.co/4vp4OO20v2</t>
  </si>
  <si>
    <t>mangkane ppkm diperpanjang terus</t>
  </si>
  <si>
    <t>@Candraasmara85 PPKM 
 Pelan Pelan Kan Masooook</t>
  </si>
  <si>
    <t>PPKM Pelan Pelan Kan Masooook</t>
  </si>
  <si>
    <t>@farrisriza Ppkm pak,ga bebas ksana kmri nya euy</t>
  </si>
  <si>
    <t>Ppkm pak,ga bebas ksana kmri nya euy</t>
  </si>
  <si>
    <t>user @mnsgky tolong nikah nya nanti ya abis ppkm, biar bisa undang paduka https://t.co/Ri7ebi7nec</t>
  </si>
  <si>
    <t>user tolong nikah nya nanti ya abis ppkm, biar bisa undang paduka</t>
  </si>
  <si>
    <t>@Saham_fess rd mah mana ada koreksi dalem. reksadana ga kayak saham, selama manajer investasinya jago ya dia bakal pilih saham2 yg berpotensi naik, yg downtrend pasti dikeluarin.
 jarvis turun kemaren karna efek ppkm jd hampir semua saham turun semua dan itu wajar.</t>
  </si>
  <si>
    <t>rd mah mana ada koreksi dalem. reksadana ga kayak saham, selama manajer investasinya jago ya dia bakal pilih saham2 yg berpotensi naik, yg downtrend pasti dikeluarin.jarvis turun kemaren karna efek ppkm jd hampir semua saham turun semua dan itu wajar.</t>
  </si>
  <si>
    <t>@gloomyrainyopsy Siapa tau kalo ppkm dah longgar bisa ditayangin di bioskop ul</t>
  </si>
  <si>
    <t>Siapa tau kalo ppkm dah longgar bisa ditayangin di bioskop ul</t>
  </si>
  <si>
    <t>@RenaHoston178 PPKM 
 Pelan Pelan Kan Membaik 
 🇮🇩🇮🇩🇮🇩🇮🇩🇮🇩 PASTI BISA!!!!!</t>
  </si>
  <si>
    <t>PPKM Pelan Pelan Kan Membaik PASTI BISA!!!!!</t>
  </si>
  <si>
    <t>Ppkm diperpanjang sampe red velvet comeback https://t.co/ojZCcHRffq</t>
  </si>
  <si>
    <t>Ppkm diperpanjang sampe red velvet comeback</t>
  </si>
  <si>
    <t>@MonaPurnomo @Catatan_ali7 Kalo selagi dikaitkan dengan pelonggaran PPKM sih ide yang bagus. Kegiatan bisa bergulir tapi menjaga agar positivity rate dan BOR rendah.
 Kalo yg gak mau di vaksin ya mungkin tetap harus ikut PPKM yg ketat dulu aja.</t>
  </si>
  <si>
    <t>Kalo selagi dikaitkan dengan pelonggaran PPKM sih ide yang bagus. Kegiatan bisa bergulir tapi menjaga agar positivity rate dan BOR rendah.Kalo yg gak mau di vaksin ya mungkin tetap harus ikut PPKM yg ketat dulu aja.</t>
  </si>
  <si>
    <t>@CNNIndonesia Sinyal ppkm diperpanjang</t>
  </si>
  <si>
    <t>Sinyal ppkm diperpanjang</t>
  </si>
  <si>
    <t>@Anyaselalubenar Pas masa PPKM 4.</t>
  </si>
  <si>
    <t>Pas masa PPKM .</t>
  </si>
  <si>
    <t>@soeyoto1 PPKM = Perkataan Perbuatan Kok Melenceng ga sesuai realita semua</t>
  </si>
  <si>
    <t>PPKM = Perkataan Perbuatan Kok Melenceng ga sesuai realita semua</t>
  </si>
  <si>
    <t>Kecewa PPKM Diperpanjang, Ketua Asosiasi Kafe dan Restoran Nekat Tusuk Lehernya di Depan Balaikota Bandung https://t.co/hrnCwQAcUI</t>
  </si>
  <si>
    <t>Kecewa PPKM Diperpanjang, Ketua Asosiasi Kafe dan Restoran Nekat Tusuk Lehernya di Depan Balaikota Bandung</t>
  </si>
  <si>
    <t>gatau deh pgn pindah lokasi kehambat ppkm😤</t>
  </si>
  <si>
    <t>gatau deh pgn pindah lokasi kehambat ppkm</t>
  </si>
  <si>
    <t>@KompasTV Nanggung jalo cuma 3 priode masa kalah sama ppkm..ppkm aja udah level 4 ...wkwkkwk</t>
  </si>
  <si>
    <t>Nanggung jalo cuma priode masa kalah sama ppkm..ppkm aja udah level ...wkwkkwk</t>
  </si>
  <si>
    <t>@Askrlfess ya gk masalah mau ngadain party, tp ya jangan pas ppkm juga gitu, kan bisa ntar 🥲</t>
  </si>
  <si>
    <t>ya gk masalah mau ngadain party, tp ya jangan pas ppkm juga gitu, kan bisa ntar</t>
  </si>
  <si>
    <t>Di dlm ppkm kita harus melakukan 3 m.
 1 majlis
 2 masjid
 3 mati
 Knp harus pake aturan pemerintah yg gk jls.!!! Yakin corona pun tdk ada. semua nya sudah ada yg maha pengatur..!! Knp harus ikut aturan yg gk jls..?????</t>
  </si>
  <si>
    <t>Di dlm ppkm kita harus melakukan m.1 majlis2 masjid3 matiKnp harus pake aturan pemerintah yg gk jls.!!! Yakin corona pun tdk ada. semua nya sudah ada yg maha pengatur..!! Knp harus ikut aturan yg gk jls..?????</t>
  </si>
  <si>
    <t>@hello_fika Byk yg masih bandel ya ternyata. Padahal PPKM ssh diperpanjang lagi, pada ga pengen hidup normal kyk dulu lagi apa ya</t>
  </si>
  <si>
    <t>Byk yg masih bandel ya ternyata. Padahal PPKM ssh diperpanjang lagi, pada ga pengen hidup normal kyk dulu lagi apa ya</t>
  </si>
  <si>
    <t>@syhdyt Aku mau pulkam tapi tertunda oleh ppkm</t>
  </si>
  <si>
    <t>Aku mau pulkam tapi tertunda oleh ppkm</t>
  </si>
  <si>
    <t>@BebbeIac nnti pas udh ga ppkm kita ketemu ramean yaaa</t>
  </si>
  <si>
    <t>nnti pas udh ga ppkm kita ketemu ramean yaaa</t>
  </si>
  <si>
    <t>@susipudjiastuti Pemerintah membuat Peraturan Plin Plan, Masyarakat dsruh Lockdown/PPKM tapi WNA trutma WNA China berdatangan ke Indo.</t>
  </si>
  <si>
    <t>Pemerintah membuat Peraturan Plin Plan, Masyarakat dsruh Lockdown/PPKM tapi WNA trutma WNA China berdatangan ke Indo.</t>
  </si>
  <si>
    <t>Merambat senja diantara PPKM Level 4. Dunia makin tua, dan otak anda hanya berisi kekuasaan dan harta. Semoga anda-anda bisa beli syurga yang panas dan rakyat miskin mendapatkan neraka yang sejuk ....!!! https://t.co/euUmScCBI9</t>
  </si>
  <si>
    <t>Merambat senja diantara PPKM Level . Dunia makin tua, dan otak anda hanya berisi kekuasaan dan harta. Semoga anda-anda bisa beli syurga yang panas dan rakyat miskin mendapatkan neraka yang sejuk ....!!!</t>
  </si>
  <si>
    <t>Mo0ts ceritain dong hidup sehat selama ppkm versi kalian😍😍</t>
  </si>
  <si>
    <t>Mo0ts ceritain dong hidup sehat selama ppkm versi kalian</t>
  </si>
  <si>
    <t>@OmBruchshr_ Nah kenapa yah, sampe ada yang bikin challenge kalo PPKM diperpanjang. Pake bikini di depan umum, Innalillahi telah hilang rasa malu dan moral 😢</t>
  </si>
  <si>
    <t>Nah kenapa yah, sampe ada yang bikin challenge kalo PPKM diperpanjang. Pake bikini di depan umum, Innalillahi telah hilang rasa malu dan moral</t>
  </si>
  <si>
    <t>@AREAJULID Makanya ppkm di lanjut wkwk</t>
  </si>
  <si>
    <t>Makanya ppkm di lanjut wkwk</t>
  </si>
  <si>
    <t>@tomipurba Iya ih, udah kangen beraktivitas dg bebas kyk dulu. Semoga PPKM level 4 ini bisa efektif ngusir covid dari negara kita</t>
  </si>
  <si>
    <t>Iya ih, udah kangen beraktivitas dg bebas kyk dulu. Semoga PPKM level ini bisa efektif ngusir covid dari negara kita</t>
  </si>
  <si>
    <t>@RstmBcl @lejef @z4fir4 @45_fifi @4bby5 @4nggi4 @4abby6 @4abby7 @4ebra5 @we_aje @TamBcl @dd4ryo @Lemp3r @tnmuda @L1L178 @callBaja @4kring5 @Mz_4ndi @_SK27R_ @lemp3r_ @NextRI_1 @olavero_ @july_77a @Amr4n93 @pu_nyaq @Cah_Ayu_ @how378_ @Julyed_77 @Dobele12 @bunga_lao @M3ChaN_1 Waaah udah bangun 🤭🤭
 Mw diajak kepasar cuma masih PPKM gak jadi deh 😁😁</t>
  </si>
  <si>
    <t>Waaah udah bangun Mw diajak kepasar cuma masih PPKM gak jadi deh</t>
  </si>
  <si>
    <t>Tips rawat mobil di masa PPKM agar tetap di kondisi optimal https://t.co/K67JJBW3I6</t>
  </si>
  <si>
    <t>Tips rawat mobil di masa PPKM agar tetap di kondisioptimal</t>
  </si>
  <si>
    <t>@twelvfour Tadinya sih mau ngumpul nder sama ke 3 bestie teume gue eh ppkm di perpanjang jadi batal deh 😔😔</t>
  </si>
  <si>
    <t>Tadinya sih mau ngumpul nder sama ke bestie teume gue eh ppkm di perpanjang jadi batal deh</t>
  </si>
  <si>
    <t>Ya sampai 2023 juga kagak kelar kelar:) 
 Lu nanti disuruh PPKM lagi nyaho https://t.co/drb1fPfoNa</t>
  </si>
  <si>
    <t>Ya sampai juga kagak kelar kelar Lu nanti disuruh PPKM lagi nyaho</t>
  </si>
  <si>
    <t>@contactap2 Min apakah setelah selesai PPKM ini, persyaratan dalam melakukan penerbangan akan ada perubahan lagi ?? Misal tesnya bisa dengan hanya hasil tes swab antigen</t>
  </si>
  <si>
    <t>Min apakah setelah selesai PPKM ini, persyaratan dalam melakukan penerbangan akan ada perubahan lagi ?? Misal tesnya bisa dengan hanya hasil tes swab antigen</t>
  </si>
  <si>
    <t>Paket guee dikirim dr semarang katanyaa sampe tgl 4 ,, pas di cek lg masa nyasar ke pangkal pinang.. gue ngerti lg ppkm pasti paket terlambat tp yaa ga sampe nyasar ke beda pulau juga kali..🥲😌🥺</t>
  </si>
  <si>
    <t>Paket guee dikirim dr semarang katanyaa sampe tgl ,, pas di cek lg masa nyasar ke pangkal pinang.. gue ngerti lg ppkm pasti paket terlambat tp yaa ga sampe nyasar ke beda pulau juga kali..</t>
  </si>
  <si>
    <t>@caccuccino 9 katae klo nga diperpanjang, tapi di mari ude pada biasa aja ngada ppkm ppkm :/</t>
  </si>
  <si>
    <t>katae klo nga diperpanjang, tapi di mari ude pada biasa aja ngada ppkm ppkm :/</t>
  </si>
  <si>
    <t>Guys mau nanya, ppkm udah kelar belum sih? Kalo diperpanjang sampe kapan? 😭😭😭 Maap ga update...</t>
  </si>
  <si>
    <t>Guys mau nanya, ppkm udah kelar belum sih? Kalo diperpanjang sampe kapan? Maap ga update...</t>
  </si>
  <si>
    <t>@makmummasjid karna lagi ppkm, temen-temennya pada kirim makanan ke rumahnya messi, terus nanti diupload di IG story. atau ada yg upload foto berdua sama messi, captionnya "Happy resign, semoga sukses di club baru",</t>
  </si>
  <si>
    <t>karna lagi ppkm, temen-temennya pada kirim makanan ke rumahnya messi, terus nanti diupload di IG story. atau ada yg upload foto berdua sama messi, captionnya "Happy resign, semoga sukses di club baru",</t>
  </si>
  <si>
    <t>Ini kenapa sih guru guru pas ppkm kl ngasih tugas pasti harus bikin keluar rumah buat beli ini beli ituu</t>
  </si>
  <si>
    <t>@0nIyfams Knp ohm....sama ppkm</t>
  </si>
  <si>
    <t>Knp ohm....sama ppkm</t>
  </si>
  <si>
    <t>@dayatia Knp hrs begitu. Krn begitu angka2 naik ribut menyalahkan ga ada vaksinasi dan ga ada ppkm. Begitu angka turun memuji gara2 vaksinasi dan ppkm.
 Pdhl kedua hal itu ga ada dlm realita. Bahkan vaksinasi adlh cluster penyebaran.
 Bagaimana kita membangun argumen berdasar hal yg ga ada?</t>
  </si>
  <si>
    <t>Knp hrs begitu. Krn begitu angka2 naik ribut menyalahkan ga ada vaksinasi dan ga ada ppkm. Begitu angka turun memuji gara2 vaksinasi dan ppkm.Pdhl kedua hal itu ga ada dlm realita. Bahkan vaksinasi adlh cluster penyebaran.Bagaimana kita membangun argumen berdasar hal yg ga ada?</t>
  </si>
  <si>
    <t>@erickalfredho Tmpat gym wkwkkww 
 Krn masih ppkm jadi d batasi</t>
  </si>
  <si>
    <t>Tmpat gym wkwkkww Krn masih ppkm jadi d batasi</t>
  </si>
  <si>
    <t>Galau gara2 PPKM 😏 dah mulai terbiasa..Galau gara2 tunggakan BPJS luarrr binasa 😩 slama ini ga pernah dipake dari mulai didaftarin 4thn lalu. Slama ini klo sakit atau chek kesehatan umum aja,pas emergency malah ada tunggakan 😭😭🙏maaf klo curhat awal pagi hari @Riastwkecil https://t.co/ybAc8POafh</t>
  </si>
  <si>
    <t>Galau gara2 PPKM dah mulai terbiasa..Galau gara2 tunggakan BPJS luarrr binasa slama ini ga pernah dipake dari mulai didaftarin thn lalu. Slama ini klo sakit atau chek kesehatan umum aja,pas emergency malah ada tunggakan maaf klo curhat awal pagi hari</t>
  </si>
  <si>
    <t>@detikcom Padahal di ig dan medsos lainnya banyak bet yg pake bikini
 Tapi ga dikenakan UU PORNOGRAFI 
 Atau karena ada hubungan dg ppkm makanya dibuat pasalnya? 🤔</t>
  </si>
  <si>
    <t>Padahal di ig dan medsos lainnya banyak bet yg pake bikiniTapi ga dikenakan UU PORNOGRAFI Atau karena ada hubungan dg ppkm makanya dibuat pasalnya?</t>
  </si>
  <si>
    <t>kalo ga ppkm kayaknya gue gaakan se desperate ini deh</t>
  </si>
  <si>
    <t>Selama ppkm jadi sering ngobrol sama kucing 👍🏼</t>
  </si>
  <si>
    <t>Selama ppkm jadi sering ngobrol sama kucing</t>
  </si>
  <si>
    <t>@sbyfess Dirumahkan gr2 ppkm gak mari2</t>
  </si>
  <si>
    <t>Dirumahkan gr2 ppkm gak mari2</t>
  </si>
  <si>
    <t>ya kalau faskes di sini udah selevel UK dan vaksinasi udah &amp;gt;60% sih mau buka kegiatan segimana juga terserah.... 
 ini tau dirilah pada... vaksin di daerah kadang sampai berminggu2 gak dapat suplai, faskes pun sangat minim, masih pada mau tolak PPKM juga? makin lama ini pandemi.</t>
  </si>
  <si>
    <t>ya kalau faskes di sini udah selevel UK dan vaksinasi udah &amp;gt;60% sih mau buka kegiatan segimana juga terserah.... ini tau dirilah pada... vaksin di daerah kadang sampai berminggu2 gak dapat suplai, faskes pun sangat minim, masih pada mau tolak PPKM juga? makin lama ini pandemi.</t>
  </si>
  <si>
    <t>libur desember kalau masih ppkm gaboleh pulang, gw mau staycation alias ngekos aja selama sebulan biar tiap hari rebahan sepanjang hari tanpa gangguan bodo amat https://t.co/6qqsUQZ5jJ</t>
  </si>
  <si>
    <t>libur desember kalau masih ppkm gaboleh pulang, gw mau staycation alias ngekos aja selama sebulan biar tiap hari rebahan sepanjang hari tanpa gangguan bodo amat</t>
  </si>
  <si>
    <t>@ABisaapa Oh PPKM kak ehehe</t>
  </si>
  <si>
    <t>Oh PPKM kak ehehe</t>
  </si>
  <si>
    <t>PPKM level macet https://t.co/95oBr16cCb</t>
  </si>
  <si>
    <t>PPKM level macet</t>
  </si>
  <si>
    <t>satu2nya dampak negatif ppkm buat gue cuma gabisa ngegym taikk</t>
  </si>
  <si>
    <t>@fcbarcelona_id PPKM berimbas juga ya sampe ke level Messi. Habis kontrak nganggur</t>
  </si>
  <si>
    <t>PPKM berimbas juga ya sampe ke level Messi. Habis kontrak nganggur</t>
  </si>
  <si>
    <t>@shyntako Alhamdulilah PPKM ga terlalu ketat karena masyarakatnya sudah lebih peduli prokes</t>
  </si>
  <si>
    <t>Alhamdulilah PPKM ga terlalu ketat karena masyarakatnya sudah lebih peduli prokes</t>
  </si>
  <si>
    <t>@archa_bella Wuidih superheroes smpai turun tangan jagain ppkm</t>
  </si>
  <si>
    <t>Wuidih superheroes smpai turun tangan jagain ppkm</t>
  </si>
  <si>
    <t>@mporatne Walau ppkm terus diperpanjang tapi bantuan juga tetap diberikan yaa</t>
  </si>
  <si>
    <t>Walau ppkm terus diperpanjang tapi bantuan juga tetap diberikan yaa</t>
  </si>
  <si>
    <t>Ini bro @mbkelana . Media2 mulai menampilkan meroket ekonominya. Apakah ada hubungannya dengan mengapa pemerintah tidak segera antisipasi ledakan covid Mei/ Juni.. nunggu masuk Q2 selesai kah? Kalau Q3 ini diwarnai PPKM, apakah tetap tumbuh Q3 ini? https://t.co/NTC4I6u6tM</t>
  </si>
  <si>
    <t>Ini bro . Media2 mulai menampilkan meroket ekonominya. Apakah ada hubungannya dengan mengapa pemerintah tidak segera antisipasi ledakan covid Mei/ Juni.. nunggu masuk Q2 selesai kah? Kalau Q3 ini diwarnai PPKM, apakah tetap tumbuh Q3 ini?</t>
  </si>
  <si>
    <t>@nanadehoney Yang merasa sprt ini hikmahnya sangat sdkt dibanding yg trdampak mba nana,, walaupun sebagai tenaga kesehatan sy merasa bersyukur karna kasus menurun,, tp sebagai pribadivrasanya melihat kerabat dan teman2 rasanya sangat sedihh banget melihat mereka survive ditengah ppkm</t>
  </si>
  <si>
    <t>Yang merasa sprt ini hikmahnya sangat sdkt dibanding yg trdampak mba nana,, walaupun sebagai tenaga kesehatan sy merasa bersyukur karna kasus menurun,, tp sebagai pribadivrasanya melihat kerabat dan teman2 rasanya sangat sedihh banget melihat mereka survive ditengah ppkm</t>
  </si>
  <si>
    <t>@duniazie Wahh ilmunya bermanfaat banget nih yaa, alhamdulillah ppkm ada dampak positifnya</t>
  </si>
  <si>
    <t>Wahh ilmunya bermanfaat banget nih yaa, alhamdulillah ppkm ada dampak positifnya</t>
  </si>
  <si>
    <t>@farahdjafar Kita hrus lbh kreatif menyiasati ppkm ini</t>
  </si>
  <si>
    <t>Kita hrus lbh kreatif menyiasati ppkm ini</t>
  </si>
  <si>
    <t>Pagi-pagi kepikiran komentar Edgar Davids kalo PPKM diperpanjang lagi.</t>
  </si>
  <si>
    <t>@axdwin Lumayan dikiloin, hasilnya bagi² terdampak PPKM</t>
  </si>
  <si>
    <t>Lumayan dikiloin, hasilnya bagi terdampak PPKM</t>
  </si>
  <si>
    <t>@tubirfess masalahnya kuartal 3 nih kita ppkm lama bgt, ga yakin bakal sebagus kuartal sebelumnya tapi ya semoga aja ada bbrp sektor yang jd menompang</t>
  </si>
  <si>
    <t>masalahnya kuartal nih kita ppkm lama bgt, ga yakin bakal sebagus kuartal sebelumnya tapi ya semoga aja ada bbrp sektor yang jd menompang</t>
  </si>
  <si>
    <t>ppkm kapan kelar sy MAU KAYA</t>
  </si>
  <si>
    <t>masa ppkm masi aja dibela"in nongki, mana cm pesen es teh lagi hadehh 😀</t>
  </si>
  <si>
    <t>masa ppkm masi aja dibela"in nongki, mana cm pesen es teh lagi hadehh</t>
  </si>
  <si>
    <t>PPKM Pelan pelan kondisi membaik...Jumat berkah....yuk berolga</t>
  </si>
  <si>
    <t>@MycuddleSpa @Sweetymom1712 Semoga PPKM gak di perpanjang lagi setelah 9 Agustus #GiveawayAlert</t>
  </si>
  <si>
    <t>Semoga PPKM gak di perpanjang lagi setelah Agustus</t>
  </si>
  <si>
    <t>Ini sebelum ppkm ya potretnya.. @ Puncak Ratu - Tebul Barat Pegantenan Pamekasan https://t.co/1uVICkDhRG</t>
  </si>
  <si>
    <t>Ini sebelum ppkm ya potretnya.. Puncak Ratu - Tebul Barat Pegantenan Pamekasan</t>
  </si>
  <si>
    <t>@Agung_Bigdad @na_dirs Memang pertumbuhan PDB itu terlalu makro. Pokoknya semua aktivitas ekonomi dihitung. Kuartal 1 2020 kan PSBB 1 yg bisa dibilang kegiatan ekonomi tutup banyak, vs kuartal 1 2021 sebelum PPKM, ya keliatannya tinggi. Plus ada faktor negara lain yg udah pulih mulai buka kran impor.</t>
  </si>
  <si>
    <t>Memang pertumbuhan PDB itu terlalu makro. Pokoknya semua aktivitas ekonomi dihitung. Kuartal kan PSBB yg bisa dibilang kegiatan ekonomi tutup banyak, vs kuartal sebelum PPKM, ya keliatannya tinggi. Plus ada faktor negara lain yg udah pulih mulai buka kran impor.</t>
  </si>
  <si>
    <t>ppkm masuk jam 9 agak lebih santuy ya paginya bisa beternak unta dulu</t>
  </si>
  <si>
    <t>ppkm masuk jam agak lebih santuy ya paginya bisa beternak unta dulu</t>
  </si>
  <si>
    <t>@lilaccountz Ini lg PPKM, coba hari2 normal.. Kalimalang, jalan alternatif ke kawasan pagi sm sore hari dah asoooooy bgt Miw... 😪😪</t>
  </si>
  <si>
    <t>Ini lg PPKM, coba hari2 normal.. Kalimalang, jalan alternatif ke kawasan pagi sm sore hari dah asoooooy bgt Miw...</t>
  </si>
  <si>
    <t>@Ira_Hamid16 Biar pandemi segera pergi, ga apa-apa PPKM</t>
  </si>
  <si>
    <t>Biar pandemi segera pergi, ga apa-apa PPKM</t>
  </si>
  <si>
    <t>Breaking News
 Setelah Sukses Memperpanjang PPKM, Pemerintah Berniat Bantu Barcelona Memperpanjang Kontrak Lionel Messi. Here We Go🔜🔜🔜</t>
  </si>
  <si>
    <t>Breaking NewsSetelah Sukses Memperpanjang PPKM, Pemerintah Berniat Bantu Barcelona Memperpanjang Kontrak Lionel Messi. Here We Go</t>
  </si>
  <si>
    <t>@collegemenfess Berharap juga ga dilanjutin tapi kondisi juga ikut membaik
 Garagara ppkm masih lanjut, urusan gue ke bank jadi ketunda, bank di kota gue jadi kek di jadwal hari pelayanannya, syukur engga urgent urusannya</t>
  </si>
  <si>
    <t>Berharap juga ga dilanjutin tapi kondisi juga ikut membaikGaragara ppkm masih lanjut, urusan gue ke bank jadi ketunda, bank di kota gue jadi kek di jadwal hari pelayanannya, syukur engga urgent urusannya</t>
  </si>
  <si>
    <t>@GOAL_ID Messi kena dampak PPKM kehilangan pekerjaan,,hahaha</t>
  </si>
  <si>
    <t>Messi kena dampak PPKM kehilangan pekerjaan,,hahaha</t>
  </si>
  <si>
    <t>@archa_bella Semoga semua masyarakat memaklumi penerapan PPKM ini buat keselamatan bersama ya</t>
  </si>
  <si>
    <t>Semoga semua masyarakat memaklumi penerapan PPKM ini buat keselamatan bersama ya</t>
  </si>
  <si>
    <t>Selamat pagi dunia.. 
 Selamat menikmati susahnya PPKM..</t>
  </si>
  <si>
    <t>Selamat pagi dunia.. Selamat menikmati susahnya PPKM..</t>
  </si>
  <si>
    <t>@tsetiady ada PPKM aja masih banyak yang menyangkal kalau Covid ini masih ada dan bikin sistem Faskes kolaps, apalagi kalau gak ada PPKM pada makin lupa diri... 😔</t>
  </si>
  <si>
    <t>ada PPKM aja masih banyak yang menyangkal kalau Covid ini masih ada dan bikin sistem Faskes kolaps, apalagi kalau gak ada PPKM pada makin lupa diri...</t>
  </si>
  <si>
    <t>@NartoNang2 @Nartonang21 @TheArieAir @wiwikherma @AzisDadun_ @Evie19101 mari pulihkan ppkm
 #programfolback
 @mrchristwibowo</t>
  </si>
  <si>
    <t>mari pulihkan ppkm</t>
  </si>
  <si>
    <t>Beks dri arah krawang ke cibitung naik motor ada penyegatan ppkm gk?</t>
  </si>
  <si>
    <t>@__Sridiana_3va PPKM tdk membuat kasus,dan jumlah kematian menurun drastis, Doc. Malaysia lockdown berjilid2,jg mengalami hal yg sama.
 Kalau airborne(aerosol), maka hrs dibersihkan udaranya.nafas manusia gak corosive Doc,beda dgn mercury,arsenic, lead(Particulate matter)
 https://t.co/iitWtaOIzB</t>
  </si>
  <si>
    <t>PPKM tdk membuat kasus,dan jumlah kematian menurun drastis, Doc. Malaysia lockdown berjilid2,jg mengalami hal yg sama.Kalau airborne(aerosol), maka hrs dibersihkan udaranya.nafas manusia gak corosive Doc,beda dgn mercury,arsenic, lead(Particulate matter)</t>
  </si>
  <si>
    <t>@AREAJULID Akuu malah seneng soalnya masi bnyk orang di sekitar ku yg care sama aku allah titipin teman baik buat aku. Jujur justru gw yg masi ngerasa gw blm baik buat tmn tmn. Tahun ini gw di suprise in, tp blm bisa suprise in balik karna keburu ppkm 😭</t>
  </si>
  <si>
    <t>Akuu malah seneng soalnya masi bnyk orang di sekitar ku yg care sama aku allah titipin teman baik buat aku. Jujur justru gw yg masi ngerasa gw blm baik buat tmn tmn. Tahun ini gw di suprise in, tp blm bisa suprise in balik karna keburu ppkm</t>
  </si>
  <si>
    <t>@FromTheLotusInn pas awal2 mah iya org rumah pd ngeledek, pda kya yg ciee2 gt. cuma ya makin ke sini makin b aja, malah krn lg ppkm kan jrg ke rumah, ditanyain. "si ... kemana? mentang2 lg ppkm jd g kesini" 😃</t>
  </si>
  <si>
    <t>pas awal2 mah iya org rumah pd ngeledek, pda kya yg ciee2 gt. cuma ya makin ke sini makin b aja, malah krn lg ppkm kan jrg ke rumah, ditanyain. "si ... kemana? mentang2 lg ppkm jd g kesini"</t>
  </si>
  <si>
    <t>@atanasia_rian Semoga Indonesia segera pulih ya dengan diberlakukannya PPKM</t>
  </si>
  <si>
    <t>Semoga Indonesia segera pulih ya dengan diberlakukannya PPKM</t>
  </si>
  <si>
    <t>@collegemenfess emang bener si, magang online tu kurang maksimal. kaya kurang dapet pengalaman aja. apalagi yg kerjanya emang harus praktek langsung, untung kmaren aku magang sblom ppkm. jadi masih ofline</t>
  </si>
  <si>
    <t>emang bener si, magang online tu kurang maksimal. kaya kurang dapet pengalaman aja. apalagi yg kerjanya emang harus praktek langsung, untung kmaren aku magang sblom ppkm. jadi masih ofline</t>
  </si>
  <si>
    <t>@doni_andalas Iya sama mas, semenjak ppkm dan virus jadi susah ktm beliau, cuma bisa lewat layar hp. Kirim do'a untuk beliau.</t>
  </si>
  <si>
    <t>Iya sama mas, semenjak ppkm dan virus jadi susah ktm beliau, cuma bisa lewat layar hp. Kirim do'a untuk beliau.</t>
  </si>
  <si>
    <t>@P3nj3l4j4h_id @B3L4H4N_JIWA Dia lupa.. yg ngecet peswt jg orang.. perushaan mmpeker jkan mereka, 2 M juga sbagian u gaji mreka, PPKM bukn hanya soal bansos, tpi juga soal menggerakan pelaku ekokomi</t>
  </si>
  <si>
    <t>Dia lupa.. yg ngecet peswt jg orang.. perushaan mmpeker jkan mereka, M juga sbagian u gaji mreka, PPKM bukn hanya soal bansos, tpi juga soal menggerakan pelaku ekokomi</t>
  </si>
  <si>
    <t>Jubir Covid-19 Riau Sebut PPKM Level 4 Memang Mempersulit, Tapi Tujuannya untuk Keselamatan - Cakaplah - Berpikir Berbuat Bercakap https://t.co/St5SXtuGw7</t>
  </si>
  <si>
    <t>Jubir Covid-19 Riau Sebut PPKM Level Memang Mempersulit, Tapi Tujuannya untuk Keselamatan - Cakaplah - Berpikir Berbuat Bercakap</t>
  </si>
  <si>
    <t>PPKM jilid 2 (pelan pelan kamu menjauh dan mendua)
 😌</t>
  </si>
  <si>
    <t>PPKM jilid (pelan pelan kamu menjauh dan mendua)</t>
  </si>
  <si>
    <t>@heerimxx_ @AllRiseSilver Tenangggg...bentar lagi kelar bund ppkm nya,rame dah tenang aje</t>
  </si>
  <si>
    <t>Tenangggg...bentar lagi kelar bund ppkm nya,rame dah tenang aje</t>
  </si>
  <si>
    <t>@Matchapuffff Yah terhalang ppkm</t>
  </si>
  <si>
    <t>Yah terhalang ppkm</t>
  </si>
  <si>
    <t>Epidemiolog UI Dukung PPKM Level 4 Diperpanjang
 https://t.co/wbj6nVpY1k</t>
  </si>
  <si>
    <t>Epidemiolog UI Dukung PPKM Level Diperpanjang</t>
  </si>
  <si>
    <t>@wucek Ppkm teh trs giant kmrn banyak yg close:(</t>
  </si>
  <si>
    <t>Ppkm teh trs giant kmrn banyak yg close</t>
  </si>
  <si>
    <t>ngurus atm masih ppkm gini gimana coba</t>
  </si>
  <si>
    <t>@marchelindaatep Ppkm tep</t>
  </si>
  <si>
    <t>Ppkm tep</t>
  </si>
  <si>
    <t>Jam 8 pagi bagi yang namanya sudah didata akan mengambil nomor antrian. Setelah itu mengantri untuk dilayani oleh CS 😓😓😓. Mantapkan penerapan PPKM di @BNI kota pasuruan 😅. Mulai dari mengantri sebelum subuh utk bisa namanya didata</t>
  </si>
  <si>
    <t>Jam pagi bagi yang namanya sudah didata akan mengambil nomor antrian. Setelah itu mengantri untuk dilayani oleh CS . Mantapkan penerapan PPKM di kota pasuruan . Mulai dari mengantri sebelum subuh utk bisa namanya didata</t>
  </si>
  <si>
    <t>Contoh penerapan PPKM yang baik di @BNI kota pasuruan 😢😢😢, nasabah terpaksa datang sebelum jam 5 pagi bahkan ada yang datang sebelum subuh untuk berebut antrian CS yang dibatasi 25 nasabah per hari. Bahkan setelah datang sepagi masih banyak nasabah yang tidak kebagian antrian https://t.co/7ovaYpHWo3</t>
  </si>
  <si>
    <t>Contoh penerapan PPKM yang baik di kota pasuruan , nasabah terpaksa datang sebelum jam pagi bahkan ada yang datang sebelum subuh untuk berebut antrian CS yang dibatasi nasabah per hari. Bahkan setelah datang sepagi masih banyak nasabah yang tidak kebagian antrian</t>
  </si>
  <si>
    <t>Sadly, dari bacain komentar disini, banyak yang ngalamin kaya aku. Kasian, masih muda, mental ancur, tapi tinggal di lingkungan toxic:) 
 Semoga ppkm lekas selesai, mau kerja, biar punya rumah sendiri https://t.co/NyUaV2yw3j</t>
  </si>
  <si>
    <t>Sadly, dari bacain komentar disini, banyak yang ngalamin kaya aku. Kasian, masih muda, mental ancur, tapi tinggal di lingkungan toxic Semoga ppkm lekas selesai, mau kerja, biar punya rumah sendiri</t>
  </si>
  <si>
    <t>Cuman mau bilang indonesia cepetan yuk ppkm kelar corona kelar sumpah udh di tahap gak berdaya sebenernya . Sesulit itu 
 Yuk bukan gak bersyukur cuman banyak hal lain yg gak ngerti harus disyukurin atau prihatin 🥲</t>
  </si>
  <si>
    <t>Cuman mau bilang indonesia cepetan yuk ppkm kelar corona kelar sumpah udh di tahap gak berdaya sebenernya . Sesulit itu Yuk bukan gak bersyukur cuman banyak hal lain yg gak ngerti harus disyukurin atau prihatin</t>
  </si>
  <si>
    <t>@anaaaakkkecil @detikcom Wkwkwkwk tumben beut di hukum penjara knp g jd duta ppkm aja</t>
  </si>
  <si>
    <t>Wkwkwkwk tumben beut di hukum penjara knp g jd duta ppkm aja</t>
  </si>
  <si>
    <t>@berlianidris Apakabar PPKM jadinya dok?covid melunjak Ekonomi meroket kebawah😢?</t>
  </si>
  <si>
    <t>Apakabar PPKM jadinya dok?covid melunjak Ekonomi meroket kebawah?</t>
  </si>
  <si>
    <t>PPKM diperpanjang tapi hubungan kita tidak bisa diperpanjang</t>
  </si>
  <si>
    <t>@blueanchovy_ @AllRiseSilver Lg sepi orderan gegara ppkm bun</t>
  </si>
  <si>
    <t>Lg sepi orderan gegara ppkm bun</t>
  </si>
  <si>
    <t>Alhamdulillah ide dari ibu dan anak yg ingin berbagi akhirnya terwujud juga. 
 InsyaAllah tiap jumat mulai hari ini kita keliling ke beberapa titik di Kota Malang ya. Hari ini di flyover kotalama. Terus karena masih PPKM makannya take away dulu @infomalang https://t.co/SRQVj4pBir</t>
  </si>
  <si>
    <t>Alhamdulillah ide dari ibu dan anak yg ingin berbagi akhirnya terwujud juga. InsyaAllah tiap jumat mulai hari ini kita keliling ke beberapa titik di Kota Malang ya. Hari ini di flyover kotalama. Terus karena masih PPKM makannya take away dulu</t>
  </si>
  <si>
    <t>@collegemenfess Mau ppkm gak diperpanjang juga corona bakalan still exist</t>
  </si>
  <si>
    <t>Mau ppkm gak diperpanjang juga corona bakalan still exist</t>
  </si>
  <si>
    <t>Bagi2 Bansos disaat 1Bulan PPKM gaduh banget, tp kenyataan nya msh jauh lebih banyak yg blm/tidak terima dan Mereka kelaparan.</t>
  </si>
  <si>
    <t>Bagi2 Bansos disaat Bulan PPKM gaduh banget, tp kenyataan nya msh jauh lebih banyak yg blm/tidak terima dan Mereka kelaparan.</t>
  </si>
  <si>
    <t>Ppkm teros yess .. bayi dah mau dua bulan ga massage/spa, homecare pun tak ada yang buka :'</t>
  </si>
  <si>
    <t>@NyaiiBubu Dia mmbela yg anti ppkm dg cara yg dia bisa</t>
  </si>
  <si>
    <t>Dia mmbela yg anti ppkm dg cara yg dia bisa</t>
  </si>
  <si>
    <t>@bunda_dzakiyyah PPKM ini benar-benar menurunkan angka terpapar kopit ya kak. Rasanya agak isa nafas saat Wag mulai tak bermunculan berita duka</t>
  </si>
  <si>
    <t>PPKM ini benar-benar menurunkan angka terpapar kopit ya kak. Rasanya agak isa nafas saat Wag mulai tak bermunculan berita duka</t>
  </si>
  <si>
    <t>@afifahafra79 Betul. Saya yang biasa jualan buku (sebagai reseller) juga merasakan yg sama. Gudang penerbit yg biasa buka pameran, kini tutup. Seller yg dekat lokasi gudang gak bisa ke sana karena ppkm.</t>
  </si>
  <si>
    <t>Betul. Saya yang biasa jualan buku (sebagai reseller) juga merasakan yg sama. Gudang penerbit yg biasa buka pameran, kini tutup. Seller yg dekat lokasi gudang gak bisa ke sana karena ppkm.</t>
  </si>
  <si>
    <t>[cm] plisssss ppkm jangan lanjutin dong, aku pengen magang offline huhu</t>
  </si>
  <si>
    <t>@geloraco Wajar Dinar demo dgn cara sendiri yg tentu di ikuti oleh orang lain, tpi demo Dinar sudah mewakili seluruh pelaku UMKM yg menjerit akibat perpanjang PPKM</t>
  </si>
  <si>
    <t>Wajar Dinar demo dgn cara sendiri yg tentu di ikuti oleh orang lain, tpi demo Dinar sudah mewakili seluruh pelaku UMKM yg menjerit akibat perpanjang PPKM</t>
  </si>
  <si>
    <t>@limbooo0 @BoomerAlien @Andikaapriantop @panditfootball lebih kasihan kita bro, makan ga makan ppkm gatau sampe kapan wkwkwk</t>
  </si>
  <si>
    <t>lebih kasihan kita bro, makan ga makan ppkm gatau sampe kapan wkwkwk</t>
  </si>
  <si>
    <t>@orie_anna24 Ppkm kak</t>
  </si>
  <si>
    <t>Ppkm kak</t>
  </si>
  <si>
    <t>PPKM
 Pelan Pelan Kembali Menggowes...
 Stay Safe semuanya ❤️
 @dpubmckjateng https://t.co/ZrNdRS4liP</t>
  </si>
  <si>
    <t>PPKMPelan Pelan Kembali Menggowes...Stay Safe semuanya</t>
  </si>
  <si>
    <t>“Kemudian BOR ruang ICU, sekarang secara regional sudah 80 persen. Padahal seelum PPKM Darurat ada daerah yang sempat 94 persen. Artinya sudah melandai,” kata Gubenur Jatim</t>
  </si>
  <si>
    <t>Kemudian BOR ruang ICU, sekarang secara regional sudah persen. Padahal seelum PPKM Darurat ada daerah yang sempat persen. Artinya sudah melandai, kata Gubenur Jatim</t>
  </si>
  <si>
    <t>💙 semoga ppkm ga di ppj lagi yaallah.. kasian bgt liat ortu ga dapet2 uang krn ppkm di ppj😭</t>
  </si>
  <si>
    <t>semoga ppkm ga di ppj lagi yaallah.. kasian bgt liat ortu ga dapet2 uang krn ppkm di ppj</t>
  </si>
  <si>
    <t>Hello.... 
 Hari gini sudah sibuk mau jadi calon Presiden. 
 Padahal saat ini PPKM lagi heboh yang berdampak banyak masyarakat terancam mati kelaparan atau busung lapar atau saat ini penyakit lambung meningkat tajam, karena porsi makan masyarakat berkurang. 
 Hello.. muke loe mane.</t>
  </si>
  <si>
    <t>Hello.... Hari gini sudah sibuk mau jadi calon Presiden. Padahal saat ini PPKM lagi heboh yang berdampak banyak masyarakat terancam mati kelaparan atau busung lapar atau saat ini penyakit lambung meningkat tajam, karena porsi makan masyarakat berkurang. Hello.. muke loe mane.</t>
  </si>
  <si>
    <t>@duniazie Ini salah satu manfaatnya PPKM, ada hal baru yang mau gak mau harus kita pelajari ya kak</t>
  </si>
  <si>
    <t>Ini salah satu manfaatnya PPKM, ada hal baru yang mau gak mau harus kita pelajari ya kak</t>
  </si>
  <si>
    <t>Bikin konten apa lagi ya. 
 Pangen bikin konten soloride, bandung. 
 Tp masih ppkm. 
 Semalem tidur malah nemu konsep 😀</t>
  </si>
  <si>
    <t>Bikin konten apa lagi ya. Pangen bikin konten soloride, bandung. Tp masih ppkm. Semalem tidur malah nemu konsep</t>
  </si>
  <si>
    <t>@ceweknyawonpil fadli gabut karena ppkm diperpanjang agaknya</t>
  </si>
  <si>
    <t>fadli gabut karena ppkm diperpanjang agaknya</t>
  </si>
  <si>
    <t>@queenaash_ Daripada kecewa kan mending diundur abis PPKM</t>
  </si>
  <si>
    <t>Daripada kecewa kan mending diundur abis PPKM</t>
  </si>
  <si>
    <t>@fiiduciary di luar ppkm mbak</t>
  </si>
  <si>
    <t>di luar ppkm mbak</t>
  </si>
  <si>
    <t>@BuKasunNdeso Udah ditutup kak. Perboden sekarang selama PPKM</t>
  </si>
  <si>
    <t>Udah ditutup kak. Perboden sekarang selama PPKM</t>
  </si>
  <si>
    <t>@koen_syam @aniesbaswedan Bisa dibaca Pergubnya, itu berlaku pd PPKM Level-4, dr tanggl 3-9/8/21. Nanti dilihat setelah tanggal 9. Mungkin tdk perlu terlalu reaktif dulu.</t>
  </si>
  <si>
    <t>Bisa dibaca Pergubnya, itu berlaku pd PPKM Level-4, dr tanggl $NUMBER$/8/21. Nanti dilihat setelah tanggal . Mungkin tdk perlu terlalu reaktif dulu.</t>
  </si>
  <si>
    <t>fak ppkm https://t.co/0bP0g7KaOF</t>
  </si>
  <si>
    <t>fak ppkm</t>
  </si>
  <si>
    <t>Kesel banget liat orang nongkrong gapake masker padahal makan juga ngga mana lagi ppkm, kek what otaknya mana sih kesel banget egois</t>
  </si>
  <si>
    <t>Contoh berita yg tdk baik tuk kesehatan mental; Ppl are struggling to make a living in the pandemic, PPKM, gadapet bantuan apa2 dari pemerentah, meanwhile this queen: ??? https://t.co/eYedizTUwt</t>
  </si>
  <si>
    <t>Contoh berita yg tdk baik tuk kesehatan mental; Ppl are struggling to make a living in the pandemic, PPKM, gadapet bantuan apa2 dari pemerentah, meanwhile this queen: ???</t>
  </si>
  <si>
    <t>@musniumar Gara2 lockdown..
 Harusnya sih PPKM</t>
  </si>
  <si>
    <t>Gara2 lockdown..Harusnya sih PPKM</t>
  </si>
  <si>
    <t>ppkm....wfh....pagi2 seadem ini.... enaknya merem meneh inimah</t>
  </si>
  <si>
    <t>@gigigigigigipal @flourishrawr @starfess Nanti deh kalo ppkm udh kelar, kmu nongkrong aja di tunjungan plaza, nanti juga ketemu chanu👍😭</t>
  </si>
  <si>
    <t>Nanti deh kalo ppkm udh kelar, kmu nongkrong aja di tunjungan plaza, nanti juga ketemu chanu</t>
  </si>
  <si>
    <t>Jalan jalan mulu padahal lagi ppkm
 ~pikiran</t>
  </si>
  <si>
    <t>Jalan jalan mulu padahal lagi ppkm~pikiran</t>
  </si>
  <si>
    <t>@azzura_lhi Nasinya menggoda banget, ppkm diperpanjang demi kebaikan bersama ya Mbak</t>
  </si>
  <si>
    <t>Nasinya menggoda banget, ppkm diperpanjang demi kebaikan bersama ya Mbak</t>
  </si>
  <si>
    <t>@_silentmary @sundastruggles Moal ngiringan PPKM? PAGUYUBAN PRIA KURANG MUJUR?</t>
  </si>
  <si>
    <t>Moal ngiringan PPKM? PAGUYUBAN PRIA KURANG MUJUR?</t>
  </si>
  <si>
    <t>@nuryantidewi78 Iya mbak terbukti banget PPKM ini menurunin angka pandemi, di Semarang juga udah jarang suara sirine</t>
  </si>
  <si>
    <t>Iya mbak terbukti banget PPKM ini menurunin angka pandemi, di Semarang juga udah jarang suara sirine</t>
  </si>
  <si>
    <t>Ke stasiun jam 6. Kirain PPKM dah longgar. https://t.co/xZ8cIEzajH</t>
  </si>
  <si>
    <t>Ke stasiun jam . Kirain PPKM dah longgar.</t>
  </si>
  <si>
    <t>Selasa depan ppkm udh beres kan?
 udah pngen main ke tempat gini lagi https://t.co/OmrzqyDF1T</t>
  </si>
  <si>
    <t>Selasa depan ppkm udh beres kan?udah pngen main ke tempat gini lagi</t>
  </si>
  <si>
    <t>@tajembanget Ppkm ihhh</t>
  </si>
  <si>
    <t>Ppkm ihhh</t>
  </si>
  <si>
    <t>Balonku ada lima
 Rupa rupa warnanya
 PPKM masih ada
 Eh ara kamu blm ada yg punya ?
 Sni sama aku aja ♥
 Jangan di nyanyiin wkwkwk
 @N_AraJKT48 @Celine_JKT48
 @paragonpics_ #MabarValkyrie48</t>
  </si>
  <si>
    <t>Balonku ada limaRupa rupa warnanyaPPKM masih adaEh ara kamu blm ada yg punya ?Sni sama aku aja Jangan di nyanyiin wkwkwk</t>
  </si>
  <si>
    <t>Pengen banget nyoba jiwa toast. Sudah dari kapan tau ngidamnya 😭 Tapi PPKM gini yang di citraland itu buka gasih? Kalau buka biasanya jam berapa?</t>
  </si>
  <si>
    <t>Pengen banget nyoba jiwa toast. Sudah dari kapan tau ngidamnya Tapi PPKM gini yang di citraland itu buka gasih? Kalau buka biasanya jam berapa?</t>
  </si>
  <si>
    <t>Akibat ppkm tidak kunjung selesai, Messi menolak perpanjangan kontrak dengan Barcelona.</t>
  </si>
  <si>
    <t>Pagi2 di kagetin Messi yang gak perpanjang kontrak, dan Rossi yang mau pensiun.
 Mungkin Messi mau ngekost. Dan Rossi pensiun karena bingung, efek ppkm jalanan banyak yang ditutup.</t>
  </si>
  <si>
    <t>Pagi2 di kagetin Messi yang gak perpanjang kontrak, dan Rossi yang mau pensiun.Mungkin Messi mau ngekost. Dan Rossi pensiun karena bingung, efek ppkm jalanan banyak yang ditutup.</t>
  </si>
  <si>
    <t>@ayunqee Bukan cm vaksin yg ada buzzernya, ppkm juga ada buzzernya</t>
  </si>
  <si>
    <t>Bukan cm vaksin yg ada buzzernya, ppkm juga ada buzzernya</t>
  </si>
  <si>
    <t>@cutetariii Lewat jalur tikus
 Soalnya lagi ppkm</t>
  </si>
  <si>
    <t>Lewat jalur tikusSoalnya lagi ppkm</t>
  </si>
  <si>
    <t>Dan dilingkarinya tgl 9... PPKM harus berhenti dihari ini... Sabtu bisa kemping, gumam si bontot semalam... 
 😌😌😌 ada pemberontakan, menolak untuk tercerabut dari alamnya... Kehilangan kawan berlari, dan hangatnya api unggun .... 😌😌😌</t>
  </si>
  <si>
    <t>Dan dilingkarinya tgl ... PPKM harus berhenti dihari ini... Sabtu bisa kemping, gumam si bontot semalam... ada pemberontakan, menolak untuk tercerabut dari alamnya... Kehilangan kawan berlari, dan hangatnya api unggun ....</t>
  </si>
  <si>
    <t>@petgoodboy @txtdaritng @LinduangBulaan Klo dia berjanji jika ppkm diperpanjang maka bakal ngebakar rumah lo? Apa lo bakal tetap respect ketika dia "menepati janjinya?"</t>
  </si>
  <si>
    <t>Klo dia berjanji jika ppkm diperpanjang maka bakal ngebakar rumah lo? Apa lo bakal tetap respect ketika dia "menepati janjinya?"</t>
  </si>
  <si>
    <t>Hari hari PPKM terus ga ngapa ngapain cuman bisa mikirin kamu terus ara dirumah @N_AraJKT48 @Celine_JKT48
 @paragonpics_ #MabarValkyrie48</t>
  </si>
  <si>
    <t>Hari hari PPKM terus ga ngapa ngapain cuman bisa mikirin kamu terus ara dirumah</t>
  </si>
  <si>
    <t>@detikcom Bangke...kasian dinar dia cmn menyuarakan protes aja soal PPKM lgsg diproses hukum..mau di berbikin atw apa itu hak dia.. rakyat udh ga bebas menyuarakan pendapat nih..otoriter sekali!</t>
  </si>
  <si>
    <t>Bangke...kasian dinar dia cmn menyuarakan protes aja soal PPKM lgsg diproses hukum..mau di berbikin atw apa itu hak dia.. rakyat udh ga bebas menyuarakan pendapat nih..otoriter sekali!</t>
  </si>
  <si>
    <t>Hari ini PPKM masih berlanjut
 Hubungan kita ara masih bisa berlanjut?
 Canda ya jot
 @N_AraJKT48 @Celine_JKT48
 @paragonpics_ #MabarValkyrie48</t>
  </si>
  <si>
    <t>Hari ini PPKM masih berlanjutHubungan kita ara masih bisa berlanjut?Canda ya jot</t>
  </si>
  <si>
    <t>@CNNIndonesia O jadi PPKM ini hny akal akalan utk memulihkan ekonomi negara?? Masa</t>
  </si>
  <si>
    <t>O jadi PPKM ini hny akal akalan utk memulihkan ekonomi negara?? Masa</t>
  </si>
  <si>
    <t>PPKM aja diperpanjang masa MESSI enggak ? @FCBarcelona @JoanLaportaFCB @Tebasjavier</t>
  </si>
  <si>
    <t>PPKM aja diperpanjang masa MESSI enggak ?</t>
  </si>
  <si>
    <t>@NCTDreamINA 🥺🥺🥺 wajar nder tutup kan lagi ppkm</t>
  </si>
  <si>
    <t>wajar nder tutup kan lagi ppkm</t>
  </si>
  <si>
    <t>@noturlilboy PPKM. gak bisa kemana2</t>
  </si>
  <si>
    <t>PPKM. gak bisa kemana2</t>
  </si>
  <si>
    <t>@NartoNang2 @Nartonang21 @TheArieAir @wiwikherma @AzisDadun_ @Evie19101 Yuuk ramaikan &amp;amp; daftar disini akun ❤️🇸🇬
 Para Milenial suka divaksin
 mari pulihkan ppkm 
 Follow ⬇️
 @NartoNang2
 @Nartonang21
 mari pulihkan ppkm
 #programfolback</t>
  </si>
  <si>
    <t>Yuuk ramaikan &amp;amp; daftar disini akun Para Milenial suka divaksinmari pulihkan ppkm Follow pulihkan ppkm</t>
  </si>
  <si>
    <t>@daynrniiii @ieurra Pada punya duit gak si ayo abis ppkm ketemuan beneran anjay 😭🤙</t>
  </si>
  <si>
    <t>Pada punya duit gak si ayo abis ppkm ketemuan beneran anjay</t>
  </si>
  <si>
    <t>@babisapiku @BirkinDust Iya, semoga sudah bisa dine in setelah tanggal 9 Agustus 2021 ppkm level 4 berakhir l</t>
  </si>
  <si>
    <t>Iya, semoga sudah bisa dine in setelah tanggal Agustus ppkm level berakhir l</t>
  </si>
  <si>
    <t>Aturan mengenai PPKM di daerah itu tertuang dalam Instruksi Menteri Dalam Negeri (Inmendagri) Nomor 26 Tahun 2021 loh!</t>
  </si>
  <si>
    <t>Aturan mengenai PPKM di daerah itu tertuang dalam Instruksi Menteri Dalam Negeri (Inmendagri) Nomor Tahun loh!</t>
  </si>
  <si>
    <t>Kan bener gajadi up kemarin wkwk ya maap tiba2 diajak pergi muter2 seharian ngukur jalan karna ponakan nangis mulu di rumah😂 bayi pun paham kalo dia juga bosan stay at home mulu efek ppkm '-' https://t.co/Onc0tjR2Wo https://t.co/PR2NdqKKvw</t>
  </si>
  <si>
    <t>Kan bener gajadi up kemarin wkwk ya maap tiba2 diajak pergi muter2 seharian ngukur jalan karna ponakan nangis mulu di rumah bayi pun paham kalo dia juga bosan stay at home mulu efek ppkm '-'</t>
  </si>
  <si>
    <t>@FOOD_FESS sebel bgt pas ke bandung malah tutup kena rajia ppkm:(</t>
  </si>
  <si>
    <t>sebel bgt pas ke bandung malah tutup kena rajia ppkm</t>
  </si>
  <si>
    <t>@Ibnu_FN untung ppkm diperpanjang lg klo g brewok lu dah gua bakar nu🙏</t>
  </si>
  <si>
    <t>untung ppkm diperpanjang lg klo g brewok lu dah gua bakar nu</t>
  </si>
  <si>
    <t>Kangen banget tinggal di Bogor, dimasakin emak… banyak pemandangan walau kena PPKM</t>
  </si>
  <si>
    <t>Kangen banget tinggal di Bogor, dimasakin emak banyak pemandangan walau kena PPKM</t>
  </si>
  <si>
    <t>PPKM 
 (perbanyak produktif kurangi mager)</t>
  </si>
  <si>
    <t>PPKM (perbanyak produktif kurangi mager)</t>
  </si>
  <si>
    <t>Dan nantinya pembalajaran di daerah PPKM Level 3 dan 4 masih harus dilakukan secara daring.</t>
  </si>
  <si>
    <t>Dan nantinya pembalajaran di daerah PPKM Level dan masih harus dilakukan secara daring.</t>
  </si>
  <si>
    <t>Imbas dari ppkm, sekelas messi pun kena putus kontrak :(</t>
  </si>
  <si>
    <t>Imbas dari ppkm, sekelas messi pun kena putus kontrak</t>
  </si>
  <si>
    <t>Ketua Harian Asosiasi Kafe dan Restoran (AKAR) Jawa Barat, GB, mencoba bunuh diri sebagi bentuk protes PPKM.
 https://t.co/RbLIxBTFsC
 Aksi percobaan bunuh diri dilakukan GB di depan gerbang Balai Kota Bandung https://t.co/EdE117ugC9</t>
  </si>
  <si>
    <t>Ketua Harian Asosiasi Kafe dan Restoran (AKAR) Jawa Barat, GB, mencoba bunuh diri sebagi bentuk protes PPKM. GB di depan gerbang Balai Kota Bandung</t>
  </si>
  <si>
    <t>@NartoNang2 @Nartonang21 @TheArieAir @wiwikherma @AzisDadun_ @Evie19101 Para Milenial suka divaksin
 mari pulihkan ppkm 
 Follow ⬇️
 @NartoNang2
 @Nartonang21
 Cc ⬇️
 @TheArieAir 
 @wiwikherma 
 @AzisDadun_ 
 @Evie19101 
 mari pulihkan ppkm
 #programfolback</t>
  </si>
  <si>
    <t>Para Milenial suka divaksinmari pulihkan ppkm Follow mari pulihkan ppkm</t>
  </si>
  <si>
    <t>"Garuda Shield, Perisai bagi Siapa?"
 https://t.co/qkS5qwjauz
 TintaSiyasi.com-- Di tengah lonjakan kasus Covid-19 dan perpanjangan PPKM level 4, 2.282 personel AD Amerika Serikat tiba di wilayah Barat negeri ini. Mereka dija https://t.co/C7VMjr52xR</t>
  </si>
  <si>
    <t>"Garuda Shield, Perisai bagi Siapa?" Di tengah lonjakan kasus Covid-19 dan perpanjangan PPKM level , personel AD Amerika Serikat tiba di wilayah Barat negeri ini. Mereka dija</t>
  </si>
  <si>
    <t>@Chydes_ad @nila_mrt Numpang beken. Penumpang gelap mencari pencintraan diri, demi keuntungan pribadi. Minta perhatian orang. Biar dibilang peduli dan hebat.
 PPKM = Pencintraan Pangeran Kerajaan Mangkrak.😅😅😅😅</t>
  </si>
  <si>
    <t>Numpang beken. Penumpang gelap mencari pencintraan diri, demi keuntungan pribadi. Minta perhatian orang. Biar dibilang peduli dan hebat.PPKM = Pencintraan Pangeran Kerajaan Mangkrak.</t>
  </si>
  <si>
    <t>Bagi daerah yang sedang diterapkan PPKM Level 3 dan 4 untuk saat ini tidak boleh menyelenggarakan pembelajaran tatap muka.</t>
  </si>
  <si>
    <t>Bagi daerah yang sedang diterapkan PPKM Level dan untuk saat ini tidak boleh menyelenggarakan pembelajaran tatap muka.</t>
  </si>
  <si>
    <t>@MaryanaNunung @DivHumas_Polri @yanmas_reskrim @PolhukamRI Yg masih ngotot demo dilibas sajalah karena masa pandemi dan pemberlakuan PPKM jelas2 dilarang berkerumun atau membentuk kerumunan.</t>
  </si>
  <si>
    <t>Yg masih ngotot demo dilibas sajalah karena masa pandemi dan pemberlakuan PPKM jelas2 dilarang berkerumun atau membentuk kerumunan.</t>
  </si>
  <si>
    <t>@sudjiwotedjo Di luar cinta hari hanyalah hari hingga ppkm di perpanjang lagi</t>
  </si>
  <si>
    <t>Di luar cinta hari hanyalah hari hingga ppkm di perpanjang lagi</t>
  </si>
  <si>
    <t>@BramastaVerrell @YouTube Kalo udah gak ppkm kalian nge gym bareng atau challenge bowling ya ajak baby team juga @BramastaVerrell @15natashawilona</t>
  </si>
  <si>
    <t>Kalo udah gak ppkm kalian nge gym bareng atau challenge bowling ya ajak baby team juga</t>
  </si>
  <si>
    <t>@tamanekomeiriya Ohanyo~ baru selesai ngedit hueee~ yang pasti weekend dirumah aja karena masih ppkm TwT</t>
  </si>
  <si>
    <t>Ohanyo~ baru selesai ngedit hueee~ yang pasti weekend dirumah aja karena masih ppkm TwT</t>
  </si>
  <si>
    <t>Baiklah... Akhirnya lulus jalur PPKM Level 4👌🏻 https://t.co/XddLaL6Xh6</t>
  </si>
  <si>
    <t>Baiklah... Akhirnya lulus jalur PPKM Level</t>
  </si>
  <si>
    <t>@abu_waras Menghindari kata hoax gunakan jurus disinformasi...,menghindari lockdown gunakan jurus pspb,ppkm dllnya ..ancuuurrr</t>
  </si>
  <si>
    <t>Menghindari kata hoax gunakan jurus disinformasi...,menghindari lockdown gunakan jurus pspb,ppkm dllnya ..ancuuurrr</t>
  </si>
  <si>
    <t>Kedelapan kabupaten yang menerapkan PPKM Level 3 adalah Sampang, Kabupaten Pasuruan, Pamekasan, Pacitan, Kabupaten Probolinggo, Tuban, Jember dan Bojonegoro</t>
  </si>
  <si>
    <t>Kedelapan kabupaten yang menerapkan PPKM Level adalah Sampang, Kabupaten Pasuruan, Pamekasan, Pacitan, Kabupaten Probolinggo, Tuban, Jember dan Bojonegoro</t>
  </si>
  <si>
    <t>Nah kan naik beneran. Ironis skali, krena di klangan bawah ppkm bgtu ketat hingga perekonomian mereka turun. Tp bgi mereka klas atas adlh prestasi atas kbijakn yg berjilid2. Krena pandangn mereka pd soal statistik. https://t.co/WDyQCG2CIG</t>
  </si>
  <si>
    <t>Nah kan naik beneran. Ironis skali, krena di klangan bawah ppkm bgtu ketat hingga perekonomian mereka turun. Tp bgi mereka klas atas adlh prestasi atas kbijakn yg berjilid2. Krena pandangn mereka pd soal statistik.</t>
  </si>
  <si>
    <t>Ada 30 kabupaten/kota di Jatim yang saat ini diterapkan PPKM Level 4, sedangkan yang PPKM Level 3 ada 8 kabupaten ya</t>
  </si>
  <si>
    <t>Ada kabupaten/kota di Jatim yang saat ini diterapkan PPKM Level , sedangkan yang PPKM Level ada kabupaten ya</t>
  </si>
  <si>
    <t>Sedangkan saat ini Jawa Timur tuh masih diterapkan PPKM Level 3 dan Level 4 loh!</t>
  </si>
  <si>
    <t>Sedangkan saat ini Jawa Timur tuh masih diterapkan PPKM Level dan Level loh!</t>
  </si>
  <si>
    <t>@detikcom Ya inilah dampak ppkm</t>
  </si>
  <si>
    <t>Ya inilah dampak ppkm</t>
  </si>
  <si>
    <t>Selamat pagi ☕😀
 Tetap semangat walau masih PPKM level 4.💪💪💪</t>
  </si>
  <si>
    <t>Selamat pagi Tetap semangat walau masih PPKM level .</t>
  </si>
  <si>
    <t>@killa_ayu saat ini udah ada daerah yang mengalami PPKM level 1 bu @KhofifahIP?</t>
  </si>
  <si>
    <t>saat ini udah ada daerah yang mengalami PPKM level bu ?</t>
  </si>
  <si>
    <t>@Stevaniehuangg Kan tau sendiri lagi PPKM... mau nemuin pink nya susah... banyak penyekatan
 https://t.co/hBbDauhtVv</t>
  </si>
  <si>
    <t>Kan tau sendiri lagi PPKM... mau nemuin pink nya susah... banyak penyekatan</t>
  </si>
  <si>
    <t>@bankIpuuul @ms903cte @Raxsha3 Ga ketangkep petugas ppkm dia emangnya mbang...
 Kan bates waktu buka dagangan jam 20.00</t>
  </si>
  <si>
    <t>Ga ketangkep petugas ppkm dia emangnya mbang...Kan bates waktu buka dagangan jam</t>
  </si>
  <si>
    <t>@gariegowin @lowkyjessy Hey ppkm masihan wkwk</t>
  </si>
  <si>
    <t>Hey ppkm masihan wkwk</t>
  </si>
  <si>
    <t>Aksi Dinar Candy memprotes PPKM level IV mengenakan bikini tidak perlulah di-besar2kan, apalagi diproses hukum. Kata orang Medan mungkin saking palaknya (kesal, sebel) dengan keadaan. Kalau mau diproses hukum itu semua penebar hoax soal pandemi @DivHumas_Polri @jokowi</t>
  </si>
  <si>
    <t>Aksi Dinar Candy memprotes PPKM level IV mengenakan bikini tidak perlulah di-besar2kan, apalagi diproses hukum. Kata orang Medan mungkin saking palaknya (kesal, sebel) dengan keadaan. Kalau mau diproses hukum itu semua penebar hoax soal pandemi</t>
  </si>
  <si>
    <t>@KediriFess bisa ga sih yang begini ini ditunda dulu??? masih ppkm loh ini, jangan deh bepergian dulu astagaaa</t>
  </si>
  <si>
    <t>bisa ga sih yang begini ini ditunda dulu??? masih ppkm loh ini, jangan deh bepergian dulu astagaaa</t>
  </si>
  <si>
    <t>Uba steak tutup dah mau sebulan kali, grgr ppkm lama banget 😠😠
 kangen milkshake sama steaknya ahdhaudjsjs</t>
  </si>
  <si>
    <t>Uba steak tutup dah mau sebulan kali, grgr ppkm lama banget kangen milkshake sama steaknya ahdhaudjsjs</t>
  </si>
  <si>
    <t>@bankIpuuul @Raxsha3 @bangagoengDu4 PPKM ga dapet setoran harus sampe pagi</t>
  </si>
  <si>
    <t>PPKM ga dapet setoran harus sampe pagi</t>
  </si>
  <si>
    <t>@Stevaniehuangg Disuruh keluar rumah, jelas2 masih ppkm., Mang dah punya surat vaksin ma PCR? 😁</t>
  </si>
  <si>
    <t>Disuruh keluar rumah, jelas2 masih ppkm., Mang dah punya surat vaksin ma PCR?</t>
  </si>
  <si>
    <t>Rakyat skrg ini baru ngomong saja sdh di tangkap, mau cari makan saja tdk bisa krn aturan PSBB sampai PPKM yg tdk humanis, rakyat demo krn tdk setuju thd kebijakan pemerintah di tuduh radikal dll. Trs wakil kita?????? Dia diam menikmati sejuknya AC kantor dan AC mobil mewahnya</t>
  </si>
  <si>
    <t>@bertanyarl Hari ini aku libur, blm ada rencana kemana, ppkm juga</t>
  </si>
  <si>
    <t>Hari ini aku libur, blm ada rencana kemana, ppkm juga</t>
  </si>
  <si>
    <t>Mengkritik adalah hal yang sangat wajar selama kritikan itu masih dalam batas wajar dan proporsional, bukan menebar provokasi atas penerapan PPKM.
 #PandemiBukanPanggungPolitik
 https://t.co/YLjEVDML8w</t>
  </si>
  <si>
    <t>Mengkritik adalah hal yang sangat wajar selama kritikan itu masih dalam batas wajar dan proporsional, bukan menebar provokasi atas penerapan PPKM.://</t>
  </si>
  <si>
    <t>@hanaeka Toko msh tutup krena ppkm? Waras 😅</t>
  </si>
  <si>
    <t>Toko msh tutup krena ppkm? Waras</t>
  </si>
  <si>
    <t>Para pelaku usaha kepariwisataan di Kota Tangerang Selatan (Tangsel) menyerah atas Pemberlakuan Pembatasan Kegiatan Masyarakat (PPKM) Level 4. Hampir seluruh geliat bisnis yang kami rintis selama ini diambang bangkrut!</t>
  </si>
  <si>
    <t>Para pelaku usaha kepariwisataan di Kota Tangerang Selatan (Tangsel) menyerah atas Pemberlakuan Pembatasan Kegiatan Masyarakat (PPKM) Level . Hampir seluruh geliat bisnis yang kami rintis selama ini diambang bangkrut!</t>
  </si>
  <si>
    <t>@e100ss Kesadaran masy akan vaksin udah ada, cuma kurangnya fasilitas dari pemerintah, jadi nanya2 aja kmrn mau jualan vaksin kimiafarma kenapa gak disuntikan dulu sementara utk masy ya kalo tujuan PPKM kan percepatan vaksin jg, nanti perpanjang lagi.haduh..</t>
  </si>
  <si>
    <t>Kesadaran masy akan vaksin udah ada, cuma kurangnya fasilitas dari pemerintah, jadi nanya2 aja kmrn mau jualan vaksin kimiafarma kenapa gak disuntikan dulu sementara utk masy ya kalo tujuan PPKM kan percepatan vaksin jg, nanti perpanjang lagi.haduh..</t>
  </si>
  <si>
    <t>Bukan sudah cair lagi
 Harusnya DPR bekerja cermat dan tepat menyoroti pemerintah.
 Bantuan kehidupan rakyat itu harus sampe duluan sebelum ada PPKM, bukan seperti ini. Inilah sudah bbrp kali PPKM bansos cuma begitu saja. Lebih banyak rencana. Padahal besar bantuan gak seberapa. https://t.co/qBb0fXOksG</t>
  </si>
  <si>
    <t>Bukan sudah cair lagiHarusnya DPR bekerja cermat dan tepat menyoroti pemerintah.Bantuan kehidupan rakyat itu harus sampe duluan sebelum ada PPKM, bukan seperti ini. Inilah sudah bbrp kali PPKM bansos cuma begitu saja. Lebih banyak rencana. Padahal besar bantuan gak seberapa.</t>
  </si>
  <si>
    <t>@rizkidwika Baru tau banget ayah Ojak sudah purna tugas pantes bisa menembus ppkm untuk ketemu hatres.</t>
  </si>
  <si>
    <t>Baru tau banget ayah Ojak sudah purna tugas pantes bisa menembus ppkm untuk ketemu hatres.</t>
  </si>
  <si>
    <t>@masaikdotco kok ada ya yg ikut buat peraturan ppkm tp anaknya boleh ngelencer ke luar negeri</t>
  </si>
  <si>
    <t>kok ada ya yg ikut buat peraturan ppkm tp anaknya boleh ngelencer ke luar negeri</t>
  </si>
  <si>
    <t>@bapakevirzha @kumparan Pertumbuhan quarter 2 ( mei-juni) kalo diliat sih bulan2 itu emg lg mulai tumbuh, perkantoran udh banyak yg 100% lagi. Q3 nanti jg kemungkinan nyungsep lagi, efek PPKM Juli Agustus ini.</t>
  </si>
  <si>
    <t>Pertumbuhan quarter ( mei-juni) kalo diliat sih bulan2 itu emg lg mulai tumbuh, perkantoran udh banyak yg % lagi. Q3 nanti jg kemungkinan nyungsep lagi, efek PPKM Juli Agustus ini.</t>
  </si>
  <si>
    <t>@francmohede Ya pasti lah melesat kan ada THR dan gaji 14 dibulan Juni dan Juli belanja pegawai ikut mendongkrak PTE, kita liat saja pasca PPKM paling nyungsep lagi 🙃</t>
  </si>
  <si>
    <t>Ya pasti lah melesat kan ada THR dan gaji dibulan Juni dan Juli belanja pegawai ikut mendongkrak PTE, kita liat saja pasca PPKM paling nyungsep lagi</t>
  </si>
  <si>
    <t>@realAbikaTrader PPKM_Pranksiden Pekok Kapan Modyar😆😆😆😆😆😆😆😆😆</t>
  </si>
  <si>
    <t>PPKM_Pranksiden Pekok Kapan Modyar</t>
  </si>
  <si>
    <t>@SpongeBob bikini bottom ppkm, krusty crab sepi pengunjung</t>
  </si>
  <si>
    <t>bikini bottom ppkm, krusty crab sepi pengunjung</t>
  </si>
  <si>
    <t>@Ar1Pangeran @KakekHalal Namti para pemimpin dki kalo banjir bakalan nyalahin PPKM.....</t>
  </si>
  <si>
    <t>Namti para pemimpin dki kalo banjir bakalan nyalahin PPKM.....</t>
  </si>
  <si>
    <t>PPKM: Pagi Pagi Kena Mental</t>
  </si>
  <si>
    <t>@PejuangNKRI18 @anggasasongko Melawan ppkm, ngeri</t>
  </si>
  <si>
    <t>Melawan ppkm, ngeri</t>
  </si>
  <si>
    <t>Assalamualaikum Wr Wb
 Selamat Pagi
 Jumat BERKAH
 Jumat SEHAT
 Jumat pertama di Bulan Agustus
 TETAP SEMANGAT
 PATUHI PROKES
 PPKM LEVEL 4 Masih berlangsung.</t>
  </si>
  <si>
    <t>Assalamualaikum Wr WbSelamat PagiJumat BERKAHJumat SEHATJumat pertama di Bulan AgustusTETAP SEMANGATPATUHI PROKESPPKM LEVEL Masih berlangsung.</t>
  </si>
  <si>
    <t>@zadroki Iya, memang angka hariannya menurun. Lumayan membuat kita percaya bahwa PPKM memang solusi. Ketatkan dengan 3T dan 5M</t>
  </si>
  <si>
    <t>Iya, memang angka hariannya menurun. Lumayan membuat kita percaya bahwa PPKM memang solusi. Ketatkan dengan T dan M</t>
  </si>
  <si>
    <t>Cukup ppkm aja yang diperpanjang, hubungan kita sampe disini aja</t>
  </si>
  <si>
    <t>@anissuhar17 Ga nanti d undur soalnya ppkm d perpanjang lg</t>
  </si>
  <si>
    <t>Ga nanti d undur soalnya ppkm d perpanjang lg</t>
  </si>
  <si>
    <t>ampe ppkm diperpanjang lagi gegara ini, kontol la semuanya https://t.co/hFccB844lk</t>
  </si>
  <si>
    <t>ampe ppkm diperpanjang lagi gegara ini, kontol la semuanya</t>
  </si>
  <si>
    <t>@sbyfess Efek ppkm rakuat bayar gaji messi</t>
  </si>
  <si>
    <t>Efek ppkm rakuat bayar gaji messi</t>
  </si>
  <si>
    <t>@heydiko Masih tahan sih. Gapapa. PPKM bukan penghambat tapi solusi saat ini</t>
  </si>
  <si>
    <t>Masih tahan sih. Gapapa. PPKM bukan penghambat tapi solusi saat ini</t>
  </si>
  <si>
    <t>@lyydly Calm, habis ppkm hura² sampe loss doll😂</t>
  </si>
  <si>
    <t>Calm, habis ppkm hura sampe loss doll</t>
  </si>
  <si>
    <t>dari awal ppkm mesti produktif yaa setidaknya ga terlalu kesepian lah yaa ppkm tahun ini🙈</t>
  </si>
  <si>
    <t>dari awal ppkm mesti produktif yaa setidaknya ga terlalu kesepian lah yaa ppkm tahun ini</t>
  </si>
  <si>
    <t>Ada hikmahnya PPKM ini sy ke mall sepi, tapi pasar tradisional ttep rame... Sedikit demi sedikit semua belajar untuk mengurangi gaya hidup hedon dan konsumtif yg tidak sesuai dgn pemasukan.. Lebih baik memakmurkan pasar tradisional dan usaha sesama rakyat kecil..</t>
  </si>
  <si>
    <t>Plis kalo tar ppkm di perpanjang lg plis we plis:)</t>
  </si>
  <si>
    <t>Plis kalo tar ppkm di perpanjang lg plis we plis</t>
  </si>
  <si>
    <t>@MonMorosis @sbyfess Ppkm atau ppkn hayo wkwkw</t>
  </si>
  <si>
    <t>Ppkm atau ppkn hayo wkwkw</t>
  </si>
  <si>
    <t>Ada temen yg masih ada kerjaan selama PPKM. Dia gak pernah make masker. Dia slalu jalan2 selama PPKM. Dan Dia bilang lelah sama PPKM. Lelahnya dimana ? 
 #PPKMLevel4</t>
  </si>
  <si>
    <t>Ada temen yg masih ada kerjaan selama PPKM. Dia gak pernah make masker. Dia slalu jalan2 selama PPKM. Dan Dia bilang lelah sama PPKM. Lelahnya dimana ?</t>
  </si>
  <si>
    <t>@dr_koko28 bagaimana dengan mulai pemberitaan BOR yang menurun apakah informasi ini bisa menurunkan kewaspadaan terhadap Covid? atau dampaknya pelonggaran PPKM</t>
  </si>
  <si>
    <t>bagaimana dengan mulai pemberitaan BOR yang menurun apakah informasi ini bisa menurunkan kewaspadaan terhadap Covid? atau dampaknya pelonggaran PPKM</t>
  </si>
  <si>
    <t>Negeri ini bener² kacau. Rakyat menderita karena PPKM, masih ditambah pemaksaan vaksin, eh muncul artis yg stres pakai bikini di jalan 🙄 
 Baru kali ini di negeri yg mayoritas muslim ada artis pakai bikini di jalan🧐</t>
  </si>
  <si>
    <t>Negeri ini bener kacau. Rakyat menderita karena PPKM, masih ditambah pemaksaan vaksin, eh muncul artis yg stres pakai bikini di jalan Baru kali ini di negeri yg mayoritas muslim ada artis pakai bikini di jalan</t>
  </si>
  <si>
    <t>@dr_koko28 Lelahnya masyarakat: Ribuan orang meninggal perhari, ppkm terus,</t>
  </si>
  <si>
    <t>Lelahnya masyarakat: Ribuan orang meninggal perhari, ppkm terus,</t>
  </si>
  <si>
    <t>@detikcom Makanya kalo kesel sama PPKM, mending korupsi aja, hukumannya lebih enteng, dapet duit lagi</t>
  </si>
  <si>
    <t>Makanya kalo kesel sama PPKM, mending korupsi aja, hukumannya lebih enteng, dapet duit lagi</t>
  </si>
  <si>
    <t>@caratstalk Ya emang 13 wah ini nih kalau kelamaan ppkm https://t.co/vkpUp4BLJB</t>
  </si>
  <si>
    <t>Ya emang wah ini nih kalau kelamaan ppkm</t>
  </si>
  <si>
    <t>Akhir2 ini aldebaran gantengnya konsisten dan on point yaa..
 Selama ppkm ini, aku smpe capek muji dia cakep terus😭
 Cr : echi https://t.co/ccpU6sbSw5</t>
  </si>
  <si>
    <t>Akhir2 ini aldebaran gantengnya konsisten dan on point yaa..Selama ppkm ini, aku smpe capek muji dia cakep terusCr : echi</t>
  </si>
  <si>
    <t>PPKM sukses turun kasus positif Covit, semua usaha dn kerja keras jangan sampai sia sia, kita jaga bersama lingkungan kita dengan patuhi Prokes dn anjuran pemerintah
 #TetapProkesJanganKendor https://t.co/y7v0on2f8Q</t>
  </si>
  <si>
    <t>PPKM sukses turun kasus positif Covit, semua usaha dn kerja keras jangan sampai sia sia, kita jaga bersama lingkungan kita dengan patuhi Prokes dn anjuran pemerintah</t>
  </si>
  <si>
    <t>efek ppkm ni ner bener ya, kofisyop temen w sampek tutup dong padahal pelanggannya tu terhitung banyak</t>
  </si>
  <si>
    <t>Bekerja di wilayah PPKM level 3 dan level 4 yang ditetapkan oleh pemerintah akan mendapat bantuan subsidi gaji #PPKMLevel4LawanCovid https://t.co/cMGOpylOOT</t>
  </si>
  <si>
    <t>Bekerja di wilayah PPKM level dan level yang ditetapkan oleh pemerintah akan mendapat bantuan subsidi gaji</t>
  </si>
  <si>
    <t>Ada yg bisa kasih perkiraan, berapa duit keluar dari baliho2 itu? Kalau disumbangin buat paket sembako terdampak PPKM, dapat berapa paket ya? https://t.co/CGndxwBokq</t>
  </si>
  <si>
    <t>Ada yg bisa kasih perkiraan, berapa duit keluar dari baliho2 itu? Kalau disumbangin buat paket sembako terdampak PPKM, dapat berapa paket ya?</t>
  </si>
  <si>
    <t>Scroll tiktok isinya jogya melle, jogya bisa diem bentar gaksih. Ppkm niiiiii, maren kebandung aja plg2 kopit. Wkwkwkkw</t>
  </si>
  <si>
    <t>Yang enak mah gitu,
 Tiba" announce pernikahan pas lagi ppkm</t>
  </si>
  <si>
    <t>Yang enak mah gitu,Tiba" announce pernikahan pas lagi ppkm</t>
  </si>
  <si>
    <t>@SeputarTetangga gajinya pun gada umr. ongkos pp aja udh brapa. blom kalo nombok, trs skrg lagi ppkm gini dah gatau lg gua gajian dpt brapa duit dia.</t>
  </si>
  <si>
    <t>gajinya pun gada umr. ongkos pp aja udh brapa. blom kalo nombok, trs skrg lagi ppkm gini dah gatau lg gua gajian dpt brapa duit dia.</t>
  </si>
  <si>
    <t>@Askrlfess lah serius kudu nanya? ppkm neng</t>
  </si>
  <si>
    <t>lah serius kudu nanya? ppkm neng</t>
  </si>
  <si>
    <t>Masyarakat mengeluhkan PPKM, Sedangkan politikus dengan rasa tak tau malu malah pasang baliho dimana" 😌</t>
  </si>
  <si>
    <t>Masyarakat mengeluhkan PPKM, Sedangkan politikus dengan rasa tak tau malu malah pasang baliho dimana"</t>
  </si>
  <si>
    <t>@bebbymanda @SelasaPagi_ PPKM: Pelan Pelan Kamu Menghilang</t>
  </si>
  <si>
    <t>PPKM: Pelan Pelan Kamu Menghilang</t>
  </si>
  <si>
    <t>Bubur ayam PPKM/Perut Pengen Kenyang Makan, cuman 8 k https://t.co/rmYSb6KrHN</t>
  </si>
  <si>
    <t>Bubur ayam PPKM/Perut Pengen Kenyang Makan, cuman k</t>
  </si>
  <si>
    <t>Lagi ppkm gini dideket rumah banyak banget yang pasa tenda janur kuning🙃 yang miskin diem aee hahahaa💃💃</t>
  </si>
  <si>
    <t>Lagi ppkm gini dideket rumah banyak banget yang pasa tenda janur kuning yang miskin diem aee hahahaa</t>
  </si>
  <si>
    <t>PPKM = Pagi Pagi Ku Mo operthinking.</t>
  </si>
  <si>
    <t>ppkm lebaran 2021</t>
  </si>
  <si>
    <t>ppkm lebaran</t>
  </si>
  <si>
    <t>@skuynaa ppkm asw</t>
  </si>
  <si>
    <t>ppkm asw</t>
  </si>
  <si>
    <t>@bertanyarl Emang kalo lagi ppkm/psbb gini tuh langitnya jadi bagus, mungkin karena polusinya berkurang</t>
  </si>
  <si>
    <t>Emang kalo lagi ppkm/psbb gini tuh langitnya jadi bagus, mungkin karena polusinya berkurang</t>
  </si>
  <si>
    <t>@IpungLombok PPKM Polisi Pantau Kegiatan Mahasiswa.</t>
  </si>
  <si>
    <t>PPKM Polisi Pantau Kegiatan Mahasiswa.</t>
  </si>
  <si>
    <t>PPKM: Program Percepatan Kemiskinan Masyarakat kecil
 #62HukumBobrok 
 #DayaRusakJokowiLuarbiasa
 PPKM Tangkal Pandemi</t>
  </si>
  <si>
    <t>PPKM: Program Percepatan Kemiskinan Masyarakat kecil Tangkal Pandemi</t>
  </si>
  <si>
    <t>Sabtu pagi, weekend masih ppkm keluar motoran buang jenuh liat jalanan sepi cuaca agak cerah pengin tak nikmati ke halang baliho, sial!</t>
  </si>
  <si>
    <t>@nurelvina08 @SkckpoldaRiau Lg ppkm, penyekatan dmn2. Situasi lg sulit gini, knp gak dibikin simple ya :(</t>
  </si>
  <si>
    <t>Lg ppkm, penyekatan dmn2. Situasi lg sulit gini, knp gak dibikin simple ya</t>
  </si>
  <si>
    <t>Dear ppkm udah ya gausah diperpanjang lagi, panjang kamu dah cukup buat semua orang capek.</t>
  </si>
  <si>
    <t>sumpah kalo ngga ppkm gue udh cabut tiap hari ke perpusnas. ngerjain revisian dari sana. dirumah bikin meledak doang</t>
  </si>
  <si>
    <t>Vidio testimoni mendukung kegiatan PPKM oleh perangkat kampung Taloarane Kec. Manganitu https://t.co/R5AmK09QzD</t>
  </si>
  <si>
    <t>Vidio testimoni mendukung kegiatan PPKM oleh perangkat kampung Taloarane Kec. Manganitu</t>
  </si>
  <si>
    <t>@MelvinTandjaja Sama - sama😊
 Kita masih belum bs malming kan krn ada PPKM di antara kita.
 Kita ngopi di rumah masing2 yaa☺☺</t>
  </si>
  <si>
    <t>Sama - samaKita masih belum bs malming kan krn ada PPKM di antara kita.Kita ngopi di rumah masing2 yaa</t>
  </si>
  <si>
    <t>@Chaerus5 masi ppkm ni</t>
  </si>
  <si>
    <t>masi ppkm ni</t>
  </si>
  <si>
    <t>@detikcom Prett lah. Dukungan kepaĺamu kopyor. Klo dia mau pake bikini terbang aja ke bali dn berjemur 
 D pantai d jamin aman. Yg terkena dampak ppkm itu jutaan tp tdk se stress dia.</t>
  </si>
  <si>
    <t>Prett lah. Dukungan kepaamu kopyor. Klo dia mau pake bikini terbang aja ke bali dn berjemur D pantai d jamin aman. Yg terkena dampak ppkm itu jutaan tp tdk se stress dia.</t>
  </si>
  <si>
    <t>@nmonarizqa 1. Saya juga memiliki pemikiran yang sama. PPKM dan aturan turunannya termasuk sertifikat vaksin sangat Jakarta centris.
 Penduduk Indonesia 270 juta.
 Yg akan divaksin (70%) 180 juta.
 Yang tidak akan divaksin (30%) 90 juta.</t>
  </si>
  <si>
    <t>. Saya juga memiliki pemikiran yang sama. PPKM dan aturan turunannya termasuk sertifikat vaksin sangat Jakarta centris.Penduduk Indonesia juta.Yg akan divaksin (70%) juta.Yang tidak akan divaksin (30%) juta.</t>
  </si>
  <si>
    <t>Dikantor gua ada kepala KCP yg ditugaskan disini karena cabang dia di mall dan tutup selama ppkm. Beberapa hari lalu nitip pesenan cek buat cabangnya, terus pas konfirmasi ke kabag gue bilangnya "kemarin sy titip ke CSO yg badannya kekar"
 Gendut pak saya ma bukan kekar 😭</t>
  </si>
  <si>
    <t>Dikantor gua ada kepala KCP yg ditugaskan disini karena cabang dia di mall dan tutup selama ppkm. Beberapa hari lalu nitip pesenan cek buat cabangnya, terus pas konfirmasi ke kabag gue bilangnya "kemarin sy titip ke CSO yg badannya kekar"Gendut pak saya ma bukan kekar</t>
  </si>
  <si>
    <t>Aksi nasi dan disiplin protocol kesehatan efektif menurunkan kasus Corona
 PPKM Tangkal Pandemi https://t.co/9VbR4LPKxu</t>
  </si>
  <si>
    <t>Aksi nasi dan disiplin protocol kesehatan efektif menurunkan kasus CoronaPPKM Tangkal Pandemi</t>
  </si>
  <si>
    <t>Bisa jd sih.. Wong kita diharuskan PPKM tp kok TKA masuk trs..? https://t.co/8zTycC7pms</t>
  </si>
  <si>
    <t>Bisa jd sih.. Wong kita diharuskan PPKM tp kok TKA masuk trs..?</t>
  </si>
  <si>
    <t>@byn_Chndra Ppkm bingung pada ttup</t>
  </si>
  <si>
    <t>Ppkm bingung pada ttup</t>
  </si>
  <si>
    <t>@ngalamfess PPKM ini meresahkan, tetep banyak yg positif tapi gada solusi buat ekonomi masyarakat</t>
  </si>
  <si>
    <t>PPKM ini meresahkan, tetep banyak yg positif tapi gada solusi buat ekonomi masyarakat</t>
  </si>
  <si>
    <t>@asyaauuu PPKM (Pelan Pelan Kamu Menghilang)</t>
  </si>
  <si>
    <t>PPKM (Pelan Pelan Kamu Menghilang)</t>
  </si>
  <si>
    <t>@KimiaHendra Gak level kek PPKM</t>
  </si>
  <si>
    <t>Gak level kek PPKM</t>
  </si>
  <si>
    <t>@sonoralampung @Midisoraya Haii met pagi kak, aku skip dulu masih ppkm,request Kalau Bosan by Lyodra. Thanks</t>
  </si>
  <si>
    <t>Haii met pagi kak, aku skip dulu masih ppkm,request Kalau Bosan by Lyodra. Thanks</t>
  </si>
  <si>
    <t>Pengen karokean yaa Allah. Kapan ppkm ini berakhir 😭</t>
  </si>
  <si>
    <t>Pengen karokean yaa Allah. Kapan ppkm ini berakhir</t>
  </si>
  <si>
    <t>@ronaldbangun @detikcom Puji tuhan gmn..dr kemarin2 jg bnyk yg kosong..cmn anggaran penangannya tetep aja jalan terus..boros..duitnya buat apa coba? Ppkm jg perpnjang terus anggaran tetap cair</t>
  </si>
  <si>
    <t>Puji tuhan gmn..dr kemarin2 jg bnyk yg kosong..cmn anggaran penangannya tetep aja jalan terus..boros..duitnya buat apa coba? Ppkm jg perpnjang terus anggaran tetap cair</t>
  </si>
  <si>
    <t>@agusdaffa24 ppkm slur wkwk</t>
  </si>
  <si>
    <t>ppkm slur wkwk</t>
  </si>
  <si>
    <t>Ppkm sampe kpnsi smua tutup</t>
  </si>
  <si>
    <t>Miris, padhal lagi PPKM level 4, gimana kita mau terbebas dari corona :( https://t.co/8tBFlRwSUH</t>
  </si>
  <si>
    <t>Miris, padhal lagi PPKM level , gimana kita mau terbebas dari corona</t>
  </si>
  <si>
    <t>@detikcom Wkwk....udh kosong.. trs mau PPKM mulu?? Buat apa coba...lah kmrin bnyk pasien aja pada sehat sehat..malah senam pagi..terus anggaran sgitu besar buat apa aja coba? Buang2 duit.. ditengah sengsaranya rakyat kecil nyri duit.</t>
  </si>
  <si>
    <t>Wkwk....udh kosong.. trs mau PPKM mulu?? Buat apa coba...lah kmrin bnyk pasien aja pada sehat sehat..malah senam pagi..terus anggaran sgitu besar buat apa aja coba? Buang2 duit.. ditengah sengsaranya rakyat kecil nyri duit.</t>
  </si>
  <si>
    <t>Pengen bisa keliling Jogja lagi ya Allah...plis pak Presiden... Kasian jg itu orang dagang, orang yg cari uang harian. Ayok udahan dong PPKM nya😭🙏</t>
  </si>
  <si>
    <t>Pengen bisa keliling Jogja lagi ya Allah...plis pak Presiden... Kasian jg itu orang dagang, orang yg cari uang harian. Ayok udahan dong PPKM nya</t>
  </si>
  <si>
    <t>@kelindez ppkm gabisa kemana mana huee</t>
  </si>
  <si>
    <t>ppkm gabisa kemana mana huee</t>
  </si>
  <si>
    <t>Rancaupas udh buka belum ya kalo lagi ppkm gini?</t>
  </si>
  <si>
    <t>good very morning! hari ini kakakku menikah ppkm version https://t.co/yNzaLZyqTP</t>
  </si>
  <si>
    <t>good very morning! hari ini kakakku menikah ppkm version</t>
  </si>
  <si>
    <t>@_argentknight bilang masih ppkm</t>
  </si>
  <si>
    <t>bilang masih ppkm</t>
  </si>
  <si>
    <t>blm vaksin, ke jekardah, di ujung ppkm, weekend pula. moga ga kena razia amin hahaha</t>
  </si>
  <si>
    <t>Melihat situasi dan kondisi rakyat yang ter PPKM kok ada juga ya yang rksen di baliho padahal dia orang no satu di DPR wah jian gk pantas blas</t>
  </si>
  <si>
    <t>@Srinthiel__ Yuk dukung PPKM</t>
  </si>
  <si>
    <t>Yuk dukung PPKM</t>
  </si>
  <si>
    <t>@meninaforte_ Ya sama aku, ntar tak jemput tempat biasa. Ya kali ga jadi, capek di rumah teros 😭😭😭. (Sakingnya ppkm lama jadi ga waras gini)</t>
  </si>
  <si>
    <t>Ya sama aku, ntar tak jemput tempat biasa. Ya kali ga jadi, capek di rumah teros . (Sakingnya ppkm lama jadi ga waras gini)</t>
  </si>
  <si>
    <t>@denisiregar07 Coba komentari dinar candy yg pakai bikini protes PPKM, itu polisinya juga ngacengan ? Kita punya norma agama dan norma sosial adab ketimuran</t>
  </si>
  <si>
    <t>Coba komentari dinar candy yg pakai bikini protes PPKM, itu polisinya juga ngacengan ? Kita punya norma agama dan norma sosial adab ketimuran</t>
  </si>
  <si>
    <t>@dhikapradi @KemnakerRI @dianu__ @Bbelleame Good luck Dik. Dari aku yg belum ikutan BPJS Ketenagakerjaan dan sedang ppkm level 4 💪</t>
  </si>
  <si>
    <t>Good luck Dik. Dari aku yg belum ikutan BPJS Ketenagakerjaan dan sedang ppkm level</t>
  </si>
  <si>
    <t>kebanyakan ppkm menyebabkan wibu tidak bisa membedakan mana yang nyata mana yang anime https://t.co/RZu5Cxjenx</t>
  </si>
  <si>
    <t>kebanyakan ppkm menyebabkan wibu tidak bisa membedakan mana yang nyata mana yang anime</t>
  </si>
  <si>
    <t>@BanyuSadewa Tapi alhamdulillah bgt Allah sayang bgt sama gw, sampe skrg udah mulai dirumah dan ppkm ini gapernah keluar rumah samsek karna emg jd bikin males sih. Then prokes masih gw jaga bgt mungkin tambahannya doa doa di setiap hari nya yg selali gw minta agar w sehat</t>
  </si>
  <si>
    <t>Tapi alhamdulillah bgt Allah sayang bgt sama gw, sampe skrg udah mulai dirumah dan ppkm ini gapernah keluar rumah samsek karna emg jd bikin males sih. Then prokes masih gw jaga bgt mungkin tambahannya doa doa di setiap hari nya yg selali gw minta agar w sehat</t>
  </si>
  <si>
    <t>kangen libur 2 hari tanpa ppkm atau penyekatan atau apapun. Mau bebas yaAllah😭</t>
  </si>
  <si>
    <t>kangen libur hari tanpa ppkm atau penyekatan atau apapun. Mau bebas yaAllah</t>
  </si>
  <si>
    <t>@dsuperboy Jadi rindu mantai, tolong ppkm kpn game over</t>
  </si>
  <si>
    <t>Jadi rindu mantai, tolong ppkm kpn game over</t>
  </si>
  <si>
    <t>Miniso kl lg ppkm gini buka gasi</t>
  </si>
  <si>
    <t>@_munggahmudon8 Yuk aktif lagi abis ppkm</t>
  </si>
  <si>
    <t>Yuk aktif lagi abis ppkm</t>
  </si>
  <si>
    <t>@TakoTrashh ketemu yukk abis ppkm</t>
  </si>
  <si>
    <t>ketemu yukk abis ppkm</t>
  </si>
  <si>
    <t>@Super_Ollz oke. abis ppkm jadiin.</t>
  </si>
  <si>
    <t>oke. abis ppkm jadiin.</t>
  </si>
  <si>
    <t>@FOODFESS2 Dine in ketoprak langganan pls abangnya gamau buka kalo lagi PPKM :((</t>
  </si>
  <si>
    <t>Dine in ketoprak langganan pls abangnya gamau buka kalo lagi PPKM</t>
  </si>
  <si>
    <t>@Bank_Aconk Patuhi PPKM</t>
  </si>
  <si>
    <t>Penerapan PPKM Darurat secara bertahap sudah menunjukkan hasilnya dan salah satunya adalah penurunan mobilitas dan penurunan jumlah kasus harian.
 #TetapProkesJanganKendor https://t.co/EUCuMOhFP0</t>
  </si>
  <si>
    <t>Penerapan PPKM Darurat secara bertahap sudah menunjukkan hasilnya dan salah satunya adalah penurunan mobilitas dan penurunan jumlah kasus harian.</t>
  </si>
  <si>
    <t>@ikankoki28 msi ppkm :(</t>
  </si>
  <si>
    <t>msi ppkm</t>
  </si>
  <si>
    <t>PPKM: AWAL KEJATUHAN JOKOWI? (2) https://t.co/GcV87Di4Cy</t>
  </si>
  <si>
    <t>PPKM: AWAL KEJATUHAN JOKOWI? (2)</t>
  </si>
  <si>
    <t>Dengan semangat menjunjung Prokes...menaati aturan PPKM kita yakini akan terjadi penurunan kasus positif terdampak kopid-19...
 #TetapProkesJanganKendor di mana dan kapan pun terus lah menaatinya... https://t.co/tBd4AhUsRr</t>
  </si>
  <si>
    <t>Dengan semangat menjunjung Prokes...menaati aturan PPKM kita yakini akan terjadi penurunan kasus positif terdampak kopid-19... di mana dan kapan pun terus lah menaatinya...</t>
  </si>
  <si>
    <t>PPKM sukses membatasi dn mencegah lonjakan kopit. Tapiii kita harus #TetapProkesJanganKendor . Ayo jangan abai jangan lengah. Kopit terus mengintai. https://t.co/n2xKenrCAX</t>
  </si>
  <si>
    <t>PPKM sukses membatasi dn mencegah lonjakan kopit. Tapiii kita harus . Ayo jangan abai jangan lengah. Kopit terus mengintai.</t>
  </si>
  <si>
    <t>pagi duniaa🤩
 .
 . 
 baru kali ini keluar semenjak ppkm :’ 
 btw, di langitnya ada whale🐋 😍 https://t.co/6vSPCRuWlW</t>
  </si>
  <si>
    <t>pagi duniaa.. baru kali ini keluar semenjak ppkm : btw, di langitnya ada whale</t>
  </si>
  <si>
    <t>@kumparan Duta PPKM</t>
  </si>
  <si>
    <t>Duta PPKM</t>
  </si>
  <si>
    <t>@tapirapuh Ppkm og</t>
  </si>
  <si>
    <t>Ppkm og</t>
  </si>
  <si>
    <t>ppkm jam tidur jadi ga normal</t>
  </si>
  <si>
    <t>Aturan PPKM Level 1 s/d PPKM Level 4 diberlakukan untuk kebaikan, kesehatan dan keselamatan kita bersama.
 #TetapProkesJanganKendor https://t.co/y2TXSQKfeE</t>
  </si>
  <si>
    <t>Aturan PPKM Level s/d PPKM Level diberlakukan untuk kebaikan, kesehatan dan keselamatan kita bersama.</t>
  </si>
  <si>
    <t>Bismillah miara tanaman karnivora agar ppkm makin enjoy https://t.co/jLtnSzYpSY</t>
  </si>
  <si>
    <t>Bismillah miara tanaman karnivora agar ppkm makin enjoy</t>
  </si>
  <si>
    <t>Ayo dukung dan laksanakan vaksinasi guna mempercepat terwujudnya herd immunity serta jangan kendor tetap patuhi protokol kesehatan 
 Keduanya efektif menjadikan Indonesia sehat tanpa kovid dan mempercepat pelonggaran PPKM
 #TetapProkesJanganKendor https://t.co/jgxbZQcITc</t>
  </si>
  <si>
    <t>Ayo dukung dan laksanakan vaksinasi guna mempercepat terwujudnya herd immunity serta jangan kendor tetap patuhi protokol kesehatan Keduanya efektif menjadikan Indonesia sehat tanpa kovid dan mempercepat pelonggaran PPKM</t>
  </si>
  <si>
    <t>Pemberlakuan Pembatasan Kegiatan Masyarakat (PPKM) level 4 sukses dan dinilai berhasil dalam menurunkan angka kasus terjangkit dan kematian akibat virus kovid 19
 #TetapProkesJanganKendor https://t.co/YuZr5n7h6O</t>
  </si>
  <si>
    <t>Pemberlakuan Pembatasan Kegiatan Masyarakat (PPKM) level sukses dan dinilai berhasil dalam menurunkan angka kasus terjangkit dan kematian akibat virus kovid</t>
  </si>
  <si>
    <t>Kebijakan ini diambil pemerintah meskipun sebetulnya berdasarkan data yang dimiliki, penyebaran kasus Cvd19 sudah mulai cenderung menurun setelah PPKM level 4 dijalankan.. tapi tetap prokes Ingat 5M 
 #TetapProkesJanganKendor https://t.co/sflXCr5a3e</t>
  </si>
  <si>
    <t>Kebijakan ini diambil pemerintah meskipun sebetulnya berdasarkan data yang dimiliki, penyebaran kasus Cvd19 sudah mulai cenderung menurun setelah PPKM level dijalankan.. tapi tetap prokes Ingat M</t>
  </si>
  <si>
    <t>Penyebaran kasus Cvd-19 sudah mulai cenderung menurun setelah PPKM level 4 dijalankan, sudah mulai flattening dan menurun, tapi ini mesti hati-hati sekali karena masih masih fluktuatif ke depannya, Tetap patuhi prokes itu penting ya gaes.🙏 
 #TetapProkesJanganKendor https://t.co/syB3NxLIWO</t>
  </si>
  <si>
    <t>Penyebaran kasus Cvd-19 sudah mulai cenderung menurun setelah PPKM level dijalankan, sudah mulai flattening dan menurun, tapi ini mesti hati-hati sekali karena masih masih fluktuatif ke depannya, Tetap patuhi prokes itu penting ya gaes.</t>
  </si>
  <si>
    <t>@drpriono1 @jokowi Ganti kulit PSBB jadi PPKM: PSBb ada di UU karatina tapi UU nya nggak dipakai, mending ganti nama PPKM daripada kena class action. Why ? https://t.co/NoDLPT9cnv</t>
  </si>
  <si>
    <t>Ganti kulit PSBB jadi PPKM: PSBb ada di UU karatina tapi UU nya nggak dipakai, mending ganti nama PPKM daripada kena class action. Why ?</t>
  </si>
  <si>
    <t>Terbukti penurunan Kasus Positif /angka harian telah menurun dm sejak PPKM di berlakukan. Maka,smestiya kita mendukung upaya terkait diberlakukan nya PPKM yg kjni di perpanjang hinga 9 Juli nanti. 
 #TetapProkesJanganKendor https://t.co/0oWenY95t1</t>
  </si>
  <si>
    <t>Terbukti penurunan Kasus Positif /angka harian telah menurun dm sejak PPKM di berlakukan. Maka,smestiya kita mendukung upaya terkait diberlakukan nya PPKM yg kjni di perpanjang hinga Juli nanti.</t>
  </si>
  <si>
    <t>@loeysites ppkm level 4 sampe tgl 9</t>
  </si>
  <si>
    <t>ppkm level sampe tgl</t>
  </si>
  <si>
    <t>eh ppkm diperpanjang sampe tanggal berapa deh?</t>
  </si>
  <si>
    <t>PPKM diperpanjang tuh asli gabisa kemana-mana kalo lagi terpaksa butuh tempat di luar pas malem. Meskipun daring tapi tetep butuh fokus masalahnya 😭</t>
  </si>
  <si>
    <t>PPKM diperpanjang tuh asli gabisa kemana-mana kalo lagi terpaksa butuh tempat di luar pas malem. Meskipun daring tapi tetep butuh fokus masalahnya</t>
  </si>
  <si>
    <t>Ppkm perpanjang lg? 😂</t>
  </si>
  <si>
    <t>Ppkm perpanjang lg?</t>
  </si>
  <si>
    <t>Hallo gaes ,mengenai Beliau (Pak Muslim) ada sedikit info nih
 dari mutual yg sdh ktm beliau
 Beliau biasanya jualan di sklh2 Tapi, karena masih ppkm, beliau berjualan di sekitar stadion ( pagi ) - sekitar sd model ( siang )- kadirojo, sambisari ( sore, sekaligus perjalanan plg ).</t>
  </si>
  <si>
    <t>Hallo gaes ,mengenai Beliau (Pak Muslim) ada sedikit info nihdari mutual yg sdh ktm beliauBeliau biasanya jualan di sklh2 Tapi, karena masih ppkm, beliau berjualan di sekitar stadion ( pagi ) - sekitar sd model ( siang )- kadirojo, sambisari ( sore, sekaligus perjalanan plg ).</t>
  </si>
  <si>
    <t>Hri ni avail yah , ada rate promo khusus ppkm loh😘 yuk gercep dijapri lewat dm beb 🥰 #bolampung #availlampung https://t.co/bqa7TWf7fH</t>
  </si>
  <si>
    <t>Hri ni avail yah , ada rate promo khusus ppkm loh yuk gercep dijapri lewat dm beb</t>
  </si>
  <si>
    <t>@RstmBcl @july_77a @45_fifi @Lemp3r @zaizul_abidin @tnmuda @Iding30 @4bby5 @M3ChaN_1 @L1L178 @sami86pilang @aariejazz @veloalre @Don_Bungah @bunga_lao @Cupidlucky2 @LekMarteg @TikaRi_Na @trewellu @Wandystjk @callBaja @afif_lmg Ngk ada bang perayaannya.. 
 PPKM soale.</t>
  </si>
  <si>
    <t>Ngk ada bang perayaannya.. PPKM soale.</t>
  </si>
  <si>
    <t>@FOODFESS2 ga kepengen, walau ppkm selesai tapi kalo masih pandemi tetep ngeri</t>
  </si>
  <si>
    <t>ga kepengen, walau ppkm selesai tapi kalo masih pandemi tetep ngeri</t>
  </si>
  <si>
    <t>@JanissaryD_Last Kan lg ppkm..pake helm mau kemana</t>
  </si>
  <si>
    <t>Kan lg ppkm..pake helm mau kemana</t>
  </si>
  <si>
    <t>ppkm bogor februari 2021</t>
  </si>
  <si>
    <t>ppkm bogor februari</t>
  </si>
  <si>
    <t>Vaksinasi dan disiplin Prokes efektif menurunkan kasus positif Covid-19
 PPKM Tangkal Pandemi https://t.co/DGcThYwwGX</t>
  </si>
  <si>
    <t>Vaksinasi dan disiplin Prokes efektif menurunkan kasus positif Covid-19PPKM Tangkal Pandemi</t>
  </si>
  <si>
    <t>@nindiwwww Abis PPKM kan</t>
  </si>
  <si>
    <t>Abis PPKM kan</t>
  </si>
  <si>
    <t>Mari kita untuk terus mendukung penerapan PPKM
 PPKM Tangkal Pandemi https://t.co/cuBdRiQC1e</t>
  </si>
  <si>
    <t>Mari kita untuk terus mendukung penerapan PPKMPPKM Tangkal Pandemi</t>
  </si>
  <si>
    <t>Ayo taati PPKM agar cepat berakhir dan ada kelonggaran.
 #TetapProkesJanganKendor https://t.co/KdWmS3rDfC</t>
  </si>
  <si>
    <t>Ayo taati PPKM agar cepat berakhir dan ada kelonggaran.</t>
  </si>
  <si>
    <t>@ayangmutiarasr Banyak yang salit jiwa gara2 ppkm</t>
  </si>
  <si>
    <t>Banyak yang salit jiwa gara2 ppkm</t>
  </si>
  <si>
    <t>Ku awali pagiku di masa PPKM ini dengan melihat senyuman manismu ara ♥
 @N_AraJKT48 @Celine_JKT48
 @paragonpics_ #MabarValkyrie48</t>
  </si>
  <si>
    <t>Ku awali pagiku di masa PPKM ini dengan melihat senyuman manismu ara</t>
  </si>
  <si>
    <t>@squidiww Nanti aja nunggu bulan depan buat memastikan gada ppkm lagi</t>
  </si>
  <si>
    <t>Nanti aja nunggu bulan depan buat memastikan gada ppkm lagi</t>
  </si>
  <si>
    <t>jadiannya pas masih ppkm, putusnya juga tetep masih ppkm..
 ternyata ppkm lebih awet daripada hubungan seseorang...</t>
  </si>
  <si>
    <t>jadiannya pas masih ppkm, putusnya juga tetep masih ppkm..ternyata ppkm lebih awet daripada hubungan seseorang...</t>
  </si>
  <si>
    <t>Kalau aku bikin jadwal expo abis ppkm kira² ada yg mau ga ya... Cba deh kalian mau nyh aku expo kmn.. Klw pun nnt dp masuk expo ga jdi DP aku REFUND ko tenang aja.. Karna dri kmrn bnyak yg DM suruh expo ke daerah yg ini👇 ok aku cba mana yg paling bnyak</t>
  </si>
  <si>
    <t>Kalau aku bikin jadwal expo abis ppkm kira ada yg mau ga ya... Cba deh kalian mau nyh aku expo kmn.. Klw pun nnt dp masuk expo ga jdi DP aku REFUND ko tenang aja.. Karna dri kmrn bnyak yg DM suruh expo ke daerah yg ini ok aku cba mana yg paling bnyak</t>
  </si>
  <si>
    <t>Mari laksanakan vaksinasi. 
 PPKM Tangkal Pandemi https://t.co/bYIKQb0TFv</t>
  </si>
  <si>
    <t>Mari laksanakan vaksinasi. PPKM Tangkal Pandemi</t>
  </si>
  <si>
    <t>Semoga PPKM pakdhe yg berlevel-level selesai, tidak nambah level lagi dan tdk ad pengumuman di Injuring time or tengah malam</t>
  </si>
  <si>
    <t>@acalyours Bosen ppkm</t>
  </si>
  <si>
    <t>Bosen ppkm</t>
  </si>
  <si>
    <t>Mari laksanakan vaksinasi. 
 PPKM Tangkal Pandemi https://t.co/suf9E7fy7j</t>
  </si>
  <si>
    <t>@agis_official 👍 mantap dari pada mikirin PPKM Ega jalan² bisnis</t>
  </si>
  <si>
    <t>mantap dari pada mikirin PPKM Ega jalan bisnis</t>
  </si>
  <si>
    <t>Ppkm please cepatlah berlalu🥲 https://t.co/ZVexpNESiP</t>
  </si>
  <si>
    <t>Ppkm please cepatlah berlalu</t>
  </si>
  <si>
    <t>Terakhir kesini pas sebelum ppkm. Itupun ndak seberapa ramai. Apalagi sekarang pas ppkm.
 Pariwisata segede taman safari aja bisa krisis. Apalagi kita pelaku usaha kecil di bidang pariwisata?
 Ayo pak @jokowi perpanjang lagi, buat kami mati karena kelaparan https://t.co/mLZDF3gK8B https://t.co/rUIptCbqv2</t>
  </si>
  <si>
    <t>Terakhir kesini pas sebelum ppkm. Itupun ndak seberapa ramai. Apalagi sekarang pas ppkm.Pariwisata segede taman safari aja bisa krisis. Apalagi kita pelaku usaha kecil di bidang pariwisata?Ayo pak perpanjang lagi, buat kami mati karena kelaparan</t>
  </si>
  <si>
    <t>Jalan jalan ke Sumedang...
 Gak jadi deng
 Lagi PPKM</t>
  </si>
  <si>
    <t>Jalan jalan ke Sumedang...Gak jadi dengLagi PPKM</t>
  </si>
  <si>
    <t>Ppkm di perpanjang lagi gak? Pen jalan2 ke Sidoarjo lagi😭</t>
  </si>
  <si>
    <t>Ppkm di perpanjang lagi gak? Pen jalan2 ke Sidoarjo lagi</t>
  </si>
  <si>
    <t>@DivHumas_Polri @PutraWadapi Maap2 atu ma pk pol,kok yg di percepat cuman vaksin,Bantuan untuk rakyat yg terkena dampak PPKM jilid2 mana pk tolong dong yg seimbang,pengangguran dimana mana,PHK sepihak juga banyak</t>
  </si>
  <si>
    <t>Maap2 atu ma pk pol,kok yg di percepat cuman vaksin,Bantuan untuk rakyat yg terkena dampak PPKM jilid2 mana pk tolong dong yg seimbang,pengangguran dimana mana,PHK sepihak juga banyak</t>
  </si>
  <si>
    <t>@cnbcindonesia apakah ppkm akan diperpanjang lagi..??</t>
  </si>
  <si>
    <t>apakah ppkm akan diperpanjang lagi..??</t>
  </si>
  <si>
    <t>Kalo gak ppkm pen ngacir aja rasanya 
 😭😭😭😭😭 https://t.co/tMeTBe3hov</t>
  </si>
  <si>
    <t>Kalo gak ppkm pen ngacir aja rasanya</t>
  </si>
  <si>
    <t>@detikTravel Lagi PPKM kok yg di fokuskan ke wisata terus..kan ekonomi kreatif juga perlu perhatian lebih..apalagi saat pandemi ini.</t>
  </si>
  <si>
    <t>Lagi PPKM kok yg di fokuskan ke wisata terus..kan ekonomi kreatif juga perlu perhatian lebih..apalagi saat pandemi ini.</t>
  </si>
  <si>
    <t>PPKM pagi - pagi kita mbedang https://t.co/zox3eC78eH</t>
  </si>
  <si>
    <t>PPKM pagi - pagi kita mbedang</t>
  </si>
  <si>
    <t>Pemerintah telah mengupayakan untuk pencegahan penularan Covid-19.
 Dengan adanya PPKM level 4 jumlah kasus cukup banyak menurun.
 #TetapProkesJanganKendor https://t.co/HfT6UX0q2J</t>
  </si>
  <si>
    <t>Pemerintah telah mengupayakan untuk pencegahan penularan Covid-19.Dengan adanya PPKM level jumlah kasus cukup banyak menurun.</t>
  </si>
  <si>
    <t>@rizkatazky @FiersaBesari Pengen join tapi sek ppkm, puas banget nonton ikatan cinta semalem. Finally ratusan episode lo ngge, sampe geregetan 😌</t>
  </si>
  <si>
    <t>Pengen join tapi sek ppkm, puas banget nonton ikatan cinta semalem. Finally ratusan episode lo ngge, sampe geregetan</t>
  </si>
  <si>
    <t>@nanijinanii banget fak ppkm:(</t>
  </si>
  <si>
    <t>banget fak ppkm</t>
  </si>
  <si>
    <t>Ttep sbar dan smangat dlam mnghadapi ujian slama ppkm.hhhh</t>
  </si>
  <si>
    <t>tandanya bentar lagi selesai ppkm https://t.co/cDj9wUPKCr</t>
  </si>
  <si>
    <t>tandanya bentar lagi selesai ppkm</t>
  </si>
  <si>
    <t>@pipelceng Ppkm sampe kapan ya pak? @jokowi</t>
  </si>
  <si>
    <t>Ppkm sampe kapan ya pak?</t>
  </si>
  <si>
    <t>@dr_koko28 narasi yg dibangun pemerintah dan dokter2 phobia covid itu, terlalu mengada2. org disuruh pk ini itu, isoman dll, emg g butuh biaya? mana ppkm, g da bantuan.. org kecil mah lebih takut kelaparan dibanding kopet</t>
  </si>
  <si>
    <t>narasi yg dibangun pemerintah dan dokter2 phobia covid itu, terlalu mengada2. org disuruh pk ini itu, isoman dll, emg g butuh biaya? mana ppkm, g da bantuan.. org kecil mah lebih takut kelaparan dibanding kopet</t>
  </si>
  <si>
    <t>@stringirr_ iya juga sii benerrr. anj ko ujung nya ppkm sii😭😭</t>
  </si>
  <si>
    <t>iya juga sii benerrr. anj ko ujung nya ppkm sii</t>
  </si>
  <si>
    <t>DISKUSI PUSTAKA DJ CHANNEL
 *********
 Di tengah pandemi Corona yang belum jelas kapan berakhir, sementara kekecewaan masyarakat terhadap pemerintah semakin meningkat akibat penanganan Pandemi yang tidak jelas. Di tambah lagi beban ekonomi masyarakat akibat kebijakan PPKM semaki https://t.co/9iRxPH4xH4</t>
  </si>
  <si>
    <t>DISKUSI PUSTAKA DJ CHANNEL*********Di tengah pandemi Corona yang belum jelas kapan berakhir, sementara kekecewaan masyarakat terhadap pemerintah semakin meningkat akibat penanganan Pandemi yang tidak jelas. Di tambah lagi beban ekonomi masyarakat akibat kebijakan PPKM semaki</t>
  </si>
  <si>
    <t>Dahlah ppkm bikin kkn gajelas males lanjutin lagi hehehe</t>
  </si>
  <si>
    <t>Masih PPKM https://t.co/bKUqT8ZhXI</t>
  </si>
  <si>
    <t>Masih PPKM</t>
  </si>
  <si>
    <t>@tuyyyy_ Heyy, Perlahan tapi pasti. Gak harus detik itu juga km ngelupain yang lamaaa. Ada nanti dimanaa km ngerasa ternyata crush yg baru lebih nyaman kalau dia sefrekuensi sama km garis bawahi. dunia itu luas kitanya aja yg kurang menjelajah karna lagi ppkm :)</t>
  </si>
  <si>
    <t>Heyy, Perlahan tapi pasti. Gak harus detik itu juga km ngelupain yang lamaaa. Ada nanti dimanaa km ngerasa ternyata crush yg baru lebih nyaman kalau dia sefrekuensi sama km garis bawahi. dunia itu luas kitanya aja yg kurang menjelajah karna lagi ppkm</t>
  </si>
  <si>
    <t>@CNNIndonesia Gimana mo jadi petani, PPKM diperpanjang mulu... 😂</t>
  </si>
  <si>
    <t>Gimana mo jadi petani, PPKM diperpanjang mulu...</t>
  </si>
  <si>
    <t>@adindakiran Kayaknya laporan Q2 ya sebelum ppkm. Jadi dari yg tadinya minus, sempat tumbuh.. kelihatan tinggi deh naiknya😁</t>
  </si>
  <si>
    <t>Kayaknya laporan Q2 ya sebelum ppkm. Jadi dari yg tadinya minus, sempat tumbuh.. kelihatan tinggi deh naiknya</t>
  </si>
  <si>
    <t>By The Way, singkatan PPKM apa luur...</t>
  </si>
  <si>
    <t>Bantu para relawan dn nakes dgn patuhi PPKM , kurangi mobilitas, ikut vaksin Dan #TetapProkesJanganKendor . Ayo bersama kita bisa lawan pandemi ini! Jangan abai, jangan lalai krna kopit terus mengintaimu https://t.co/ALaHsO5SKj</t>
  </si>
  <si>
    <t>Bantu para relawan dn nakes dgn patuhi PPKM , kurangi mobilitas, ikut vaksin Dan . Ayo bersama kita bisa lawan pandemi ini! Jangan abai, jangan lalai krna kopit terus mengintaimu</t>
  </si>
  <si>
    <t>Aduh ppkm level levelan ini bener2 republik makaroni ngehe</t>
  </si>
  <si>
    <t>Siapa yang suka nyemil? Ini dia camilan anti mainstream dari Ayam brand yang bisa nemenin kamu #DirumahAja selama PPKM ini, selain gurih camilan satu ini ada tuna-nya juga loh, penasaran kaaaan? Nih kita kasih resepnya!! https://t.co/AoQjANXIPm</t>
  </si>
  <si>
    <t>Siapa yang suka nyemil? Ini dia camilan anti mainstream dari Ayam brand yang bisa nemenin kamu selama PPKM ini, selain gurih camilan satu ini ada tuna-nya juga loh, penasaran kaaaan? Nih kita kasih resepnya!!</t>
  </si>
  <si>
    <t>@jokowi ayo pak kejar vaksin covid di jabodetabek &amp;gt;80% sehingga cepat tercapai herd imunity. Kalo jakarta terus2an PPKM maka ekonomi indonesia akan lumpuh. Biar daerah lain nyusul vaksinnya</t>
  </si>
  <si>
    <t>ayo pak kejar vaksin covid di jabodetabek &amp;gt;80% sehingga cepat tercapai herd imunity. Kalo jakarta terus2an PPKM maka ekonomi indonesia akan lumpuh. Biar daerah lain nyusul vaksinnya</t>
  </si>
  <si>
    <t>@Askrlfess Tumben bgt ini tumben bgt ini. Lagi ppkm nder. Mcd dkt rumahku selalu bikin pengumuman lewat status wa kok kalo mereka tutupnya jam 8 malem</t>
  </si>
  <si>
    <t>Tumben bgt ini tumben bgt ini. Lagi ppkm nder. Mcd dkt rumahku selalu bikin pengumuman lewat status wa kok kalo mereka tutupnya jam malem</t>
  </si>
  <si>
    <t>@adearmando1 Nyindir halus itumah, iya gapapa gapapa ppkm nya sampe hari kiamat juga gapapa, kitamah setrong, itu contohnya, modelnya seperti itu</t>
  </si>
  <si>
    <t>Nyindir halus itumah, iya gapapa gapapa ppkm nya sampe hari kiamat juga gapapa, kitamah setrong, itu contohnya, modelnya seperti itu</t>
  </si>
  <si>
    <t>@cyanntiiikkkkkk Memang ppkm mempersulit semua u,u</t>
  </si>
  <si>
    <t>Memang ppkm mempersulit semua u,u</t>
  </si>
  <si>
    <t>#TetapProkesJanganKendor
 PPKM level 4 sukses
 turunkan lonjakan kasus covid
 Biar Ekonomi Geliat lagi
 Selalu dan Selalu
 terapkan taati disiplin 5 M
 di setiap aktifitasmu
 walo udah divaksinasi , ya ☺️ https://t.co/O5b8Mupl76</t>
  </si>
  <si>
    <t>level suksesturunkan lonjakan kasus covidBiar Ekonomi Geliat lagiSelalu dan Selaluterapkan taati disiplin Mdi setiap aktifitasmuwalo udah divaksinasi , ya</t>
  </si>
  <si>
    <t>@SusantiDewi__ wisata mgl taat ppkm 😌</t>
  </si>
  <si>
    <t>wisata mgl taat ppkm</t>
  </si>
  <si>
    <t>@Dpram_Back Tapi buat ppkm teu boga duit ceunah, beak 5T. 🤪</t>
  </si>
  <si>
    <t>Tapi buat ppkm teu boga duit ceunah, beak T.</t>
  </si>
  <si>
    <t>Ayo
 #TetapProkesJanganKendor
 Sekarang jadikan protokol kesehatan menjadi hal yang wajib dilakukan dalam beraktifitas sehari hari khususnya saat ini dalam pemberlakuan PPKM level 4 https://t.co/MeWsnSQRrs</t>
  </si>
  <si>
    <t>Ayo jadikan protokol kesehatan menjadi hal yang wajib dilakukan dalam beraktifitas sehari hari khususnya saat ini dalam pemberlakuan PPKM level</t>
  </si>
  <si>
    <t>Alhamdulillah 
 PPKM level 4 berhasil turunkan kasus covid-19
 Yuk #TetapProkesJanganKendor https://t.co/zk3Ety3YiD</t>
  </si>
  <si>
    <t>Alhamdulillah PPKM level berhasil turunkan kasus covid-19Yuk</t>
  </si>
  <si>
    <t>#TetapProkesJanganKendor
 Dukung PPKM level 4 turunkan kasus covid https://t.co/RJ15Adw1Nu</t>
  </si>
  <si>
    <t>PPKM level turunkan kasus covid</t>
  </si>
  <si>
    <t>PPKM level 4 turunkan kasus positif cvd19, yuk tetap patuhi aturan yg ada. jadikan protokol kesehatan sebagai kebutuhan, dengan demikian kita membantu mengurangi beban bagi fasilitas pelayanan kesehatan.
 #TetapProkesJanganKendor https://t.co/0BYJnZ17xj</t>
  </si>
  <si>
    <t>PPKM level turunkan kasus positif cvd19, yuk tetap patuhi aturan yg ada. jadikan protokol kesehatan sebagai kebutuhan, dengan demikian kita membantu mengurangi beban bagi fasilitas pelayanan kesehatan.</t>
  </si>
  <si>
    <t>#TetapProkesJanganKendor dan percepatan vaksinasi dan menurunkan level PPKM maka akan ada fleksibilitas untuk kegiatan masyarakat https://t.co/UxdzdLWqx4</t>
  </si>
  <si>
    <t>dan percepatan vaksinasi dan menurunkan level PPKM maka akan ada fleksibilitas untuk kegiatan masyarakat</t>
  </si>
  <si>
    <t>#TetapProkesJanganKendor dan juga taat aturan PPKM Darurat Level 4 dukung Indonesia segera pulih kembali 🙏 https://t.co/m4IMPu5ArY</t>
  </si>
  <si>
    <t>dan juga taat aturan PPKM Darurat Level dukung Indonesia segera pulih kembali</t>
  </si>
  <si>
    <t>#TetapProkesJanganKendor yess n taat aturan PPKM juga! https://t.co/moVAg62sQi</t>
  </si>
  <si>
    <t>yess n taat aturan PPKM juga!</t>
  </si>
  <si>
    <t>Ayo
 #TetapProkesJanganKendor
 Buat sobat semua yg daerah nya masih menerapkan PPKM Level 4,
 Pastikan diri kita Disiplin Prokes ya. https://t.co/NDtTDMk83U</t>
  </si>
  <si>
    <t>Ayo sobat semua yg daerah nya masih menerapkan PPKM Level ,Pastikan diri kita Disiplin Prokes ya.</t>
  </si>
  <si>
    <t>#TetapProkesJanganKendor
 Tetap taat aturan PPKM Darurat Level 4 juga https://t.co/a6oEIiXfna</t>
  </si>
  <si>
    <t>taat aturan PPKM Darurat Level juga</t>
  </si>
  <si>
    <t>Dengan #TetapProkesJanganKendor dan terus patuhi PPKM maka kasus vovid19 segera selsai https://t.co/5YEYGPuyaB</t>
  </si>
  <si>
    <t>Dengan dan terus patuhi PPKM maka kasus vovid19 segera selsai</t>
  </si>
  <si>
    <t>#TetapProkesJanganKendor
 Sukseskan PPKM level 4 https://t.co/mGrT5MINsE</t>
  </si>
  <si>
    <t>PPKM level</t>
  </si>
  <si>
    <t>#TetapProkesJanganKendor
 Dgn menjaga prokes dan percepat vaksinasi bisa menurunkan level PPKM https://t.co/jCFc2ERdrU</t>
  </si>
  <si>
    <t>menjaga prokes dan percepat vaksinasi bisa menurunkan level PPKM</t>
  </si>
  <si>
    <t>@BanyuSadewa Saya jg 2 thn ini selalu keluar rmh mostly wfo dan baru2 ini wfh lagi. Belanja jg k supermarket, pernah sempet makan d cafe bbrp x, jln2 k bandung, ntn bioskop wkt blm ada ppkm. Asupan tiap hr mkn tempe, bnyk minum air putih, dan yg paling freak adl cuci tangan kapanpun dimnpun</t>
  </si>
  <si>
    <t>Saya jg thn ini selalu keluar rmh mostly wfo dan baru2 ini wfh lagi. Belanja jg k supermarket, pernah sempet makan d cafe bbrp x, jln2 k bandung, ntn bioskop wkt blm ada ppkm. Asupan tiap hr mkn tempe, bnyk minum air putih, dan yg paling freak adl cuci tangan kapanpun dimnpun</t>
  </si>
  <si>
    <t>Tumben banget ini, kenapa?'
 Elu yg kenapa anj.... Ppkm woy elah 😭😭 dikata yg kena ppkm cuma warung kecil apa ya 😭😭 https://t.co/tnr6EOqeR5</t>
  </si>
  <si>
    <t>Tumben banget ini, kenapa?'Elu yg kenapa anj.... Ppkm woy elah dikata yg kena ppkm cuma warung kecil apa ya</t>
  </si>
  <si>
    <t>Pagi ini job tengah bulan cancel semua grgr PPKM yg tida jelas :')</t>
  </si>
  <si>
    <t>gua mo marah sama ppkm ini tpi hrus sadar diri,,,</t>
  </si>
  <si>
    <t>@BanyuSadewa balik kerja wajib ganti baju, mandi, kalo abis belanja2 mingguan cuci tangan, abis megang2 berkas pake sanitizer, lepas masker pas makan siang apa mau minum, gak kemana2 kecuali kerja, kalo bosen janjian masak2 sama temen dirumah siapa, cuma ber5, ppkm ini belum pernah maen</t>
  </si>
  <si>
    <t>balik kerja wajib ganti baju, mandi, kalo abis belanja2 mingguan cuci tangan, abis megang2 berkas pake sanitizer, lepas masker pas makan siang apa mau minum, gak kemana2 kecuali kerja, kalo bosen janjian masak2 sama temen dirumah siapa, cuma ber5, ppkm ini belum pernah maen</t>
  </si>
  <si>
    <t>PPKM di kab timika papua aparat tidak berani menindak para pesabung ayam yg beraksi setiap hari., sementara t4 usaha yg halal harus menelan ludah...👎👎
 https://t.co/YOHqqa1SSO</t>
  </si>
  <si>
    <t>PPKM di kab timika papua aparat tidak berani menindak para pesabung ayam yg beraksi setiap hari., sementara t4 usaha yg halal harus menelan ludah...</t>
  </si>
  <si>
    <t>@ygpunyamnies ppkm yang</t>
  </si>
  <si>
    <t>ppkm yang</t>
  </si>
  <si>
    <t>@Dennysiregar7 @erickthohir Itu menunjukkan LEPEL kau denn cuma sebatas LEPEL PPKM aja ... nyinyir kau dibayar perjam cuma seharga nasi bungkus tapi LEPEL koruptor ini lepel KOMISARIS ... *maka teruslah memggonggong krn kalo kau tak menggonggong maka tak makan* 😁😁😁</t>
  </si>
  <si>
    <t>Itu menunjukkan LEPEL kau denn cuma sebatas LEPEL PPKM aja ... nyinyir kau dibayar perjam cuma seharga nasi bungkus tapi LEPEL koruptor ini lepel KOMISARIS ... *maka teruslah memggonggong krn kalo kau tak menggonggong maka tak makan*</t>
  </si>
  <si>
    <t>@qalsrama Ciee yg nyari tukang bubur ciee, padahal tukang buburnya bangkrut gara-gara PPKM</t>
  </si>
  <si>
    <t>Ciee yg nyari tukang bubur ciee, padahal tukang buburnya bangkrut gara-gara PPKM</t>
  </si>
  <si>
    <t>YaAllah udah jangan ppkm lagi senin besok ya Allah…</t>
  </si>
  <si>
    <t>YaAllah udah jangan ppkm lagi senin besok ya Allah</t>
  </si>
  <si>
    <t>@priorafflesia Semoga pandemi lekas musnah ya Mbak. Sedih rasanya. Tapi kalo ppkm aku mendukung aja sih</t>
  </si>
  <si>
    <t>Semoga pandemi lekas musnah ya Mbak. Sedih rasanya. Tapi kalo ppkm aku mendukung aja sih</t>
  </si>
  <si>
    <t>@writterbil @Askrlfess dari tadi sendernya rep 'tapi kan ppkm' mulu. mungkin sendernya dari kalangan orang berada ya, yang gapernah ngerasain 'hari ini ga akan bisa makan kalo ga cari duit'.</t>
  </si>
  <si>
    <t>dari tadi sendernya rep 'tapi kan ppkm' mulu. mungkin sendernya dari kalangan orang berada ya, yang gapernah ngerasain 'hari ini ga akan bisa makan kalo ga cari duit'.</t>
  </si>
  <si>
    <t>@BanyuSadewa terakhir kmren sakit udh dipriksain lama, kirain disuruh swab taunya gak, karna ternyata asam lambung parah sama lagi musim batuk aja, gak pernah maen ke mall apa nongkrong2, kalo maen sebelum ppkm paling ke laut apa gunung, kalo ketemuan temen sebelum ppkm rumah kerumah aja</t>
  </si>
  <si>
    <t>terakhir kmren sakit udh dipriksain lama, kirain disuruh swab taunya gak, karna ternyata asam lambung parah sama lagi musim batuk aja, gak pernah maen ke mall apa nongkrong2, kalo maen sebelum ppkm paling ke laut apa gunung, kalo ketemuan temen sebelum ppkm rumah kerumah aja</t>
  </si>
  <si>
    <t>@kompascom Tolong dong media jangan bahas soal corona lagi, kita sudah bosan. Ujung2nya PPKM atau lainnya, yg susah juga rakyat lagi.</t>
  </si>
  <si>
    <t>Tolong dong media jangan bahas soal corona lagi, kita sudah bosan. Ujung2nya PPKM atau lainnya, yg susah juga rakyat lagi.</t>
  </si>
  <si>
    <t>Pengen jalan ke grameddd, ppkm lama banget sihh 😫</t>
  </si>
  <si>
    <t>Pengen jalan ke grameddd, ppkm lama banget sihh</t>
  </si>
  <si>
    <t>@FOODFESS2 Umm pengen makan apa aja sama manteman. Asalkan selain ppkm selesai, tingkat COVID ga terlalu tinggi. Tp krn terlalu beresiko setidaknya klo tingkat COVID turun, boleh ajak manteman di take away aja makan di rmh.</t>
  </si>
  <si>
    <t>Umm pengen makan apa aja sama manteman. Asalkan selain ppkm selesai, tingkat COVID ga terlalu tinggi. Tp krn terlalu beresiko setidaknya klo tingkat COVID turun, boleh ajak manteman di take away aja makan di rmh.</t>
  </si>
  <si>
    <t>@QaillaAsyiqah @msaid_didu Supaya ga demo PPKM mestinya begini https://t.co/QWUMls2oxp</t>
  </si>
  <si>
    <t>Supaya ga demo PPKM mestinya begini</t>
  </si>
  <si>
    <t>Gramedia gitu buka gak sih lg ppkm gini?</t>
  </si>
  <si>
    <t>@Risma_Nurh Sejak PPKM ekonomi naik 15%
 Khusus
 Pejabat Pemerintah Kaya Mendadak</t>
  </si>
  <si>
    <t>Sejak PPKM ekonomi naik %KhususPejabat Pemerintah Kaya Mendadak</t>
  </si>
  <si>
    <t>PPKM makin panjang, kerja dirumahkan. Yaudah deh</t>
  </si>
  <si>
    <t>@18fessss Dahh jgn nambah2 virus, diem aja di rumah orng lagi ppkm gini</t>
  </si>
  <si>
    <t>Dahh jgn nambah2 virus, diem aja di rumah orng lagi ppkm gini</t>
  </si>
  <si>
    <t>Meski ada PPKM ,kakek2 ini tetap olahraga 😀
  🏄🎶🎧 https://t.co/zE9ErFXkHT</t>
  </si>
  <si>
    <t>Meski ada PPKM ,kakek2 ini tetap olahraga</t>
  </si>
  <si>
    <t>@nuryantidewi78 InsyaAllah selalu semangat, Kak. Semoga perpanjangan masa ppkm semakin membuat kasus positif semakin menurun, amiiin</t>
  </si>
  <si>
    <t>InsyaAllah selalu semangat, Kak. Semoga perpanjangan masa ppkm semakin membuat kasus positif semakin menurun, amiiin</t>
  </si>
  <si>
    <t>@ayazpadmo Kenapa HBO max sih, kenapa nggak bioskop ya, kenapa ppkm ya 😭</t>
  </si>
  <si>
    <t>Kenapa HBO max sih, kenapa nggak bioskop ya, kenapa ppkm ya</t>
  </si>
  <si>
    <t>Dari Balung - Maesan pulang sendirian sekitaran jam 8nan malem. Karna PPKM banyak jalan ditutup dan harus muter jalan lain ditambah lampu lampu yang udah pada mati ngebuat jalan jadi lebih sepi dari pada biasanya. Pas nyampe rumah langsung bangga sama diri sendiri.</t>
  </si>
  <si>
    <t>Dari Balung - Maesan pulang sendirian sekitaran jam nan malem. Karna PPKM banyak jalan ditutup dan harus muter jalan lain ditambah lampu lampu yang udah pada mati ngebuat jalan jadi lebih sepi dari pada biasanya. Pas nyampe rumah langsung bangga sama diri sendiri.</t>
  </si>
  <si>
    <t>Ini skk kedinasan ga mau diundur ya? Minggu ini sibuk bgt ospek, tgl 1 minggu doang buat nyiapin kebugaran 😭 tolong dong pak, tgl 9 jg kan masih ppkm 😭😭
 🌸🦁</t>
  </si>
  <si>
    <t>Ini skk kedinasan ga mau diundur ya? Minggu ini sibuk bgt ospek, tgl minggu doang buat nyiapin kebugaran tolong dong pak, tgl jg kan masih ppkm</t>
  </si>
  <si>
    <t>Gabole studi tour soalnya lagi ppkm https://t.co/J6tptkSyQB</t>
  </si>
  <si>
    <t>Gabole studi tour soalnya lagi ppkm</t>
  </si>
  <si>
    <t>Tumben pulang malem pas ppkm, gelap banget anjir jalannya. Isi muter2 lewat sawah gegara penyekatan 🥲 sepi bgt lagi..</t>
  </si>
  <si>
    <t>Tumben pulang malem pas ppkm, gelap banget anjir jalannya. Isi muter2 lewat sawah gegara penyekatan sepi bgt lagi..</t>
  </si>
  <si>
    <t>@DivHumas_Polri @PutraWadapi Lhoo bukanya ppkm limit smp tgl 6agustus pak? Kok mulur terus.. Gmn bnsos nya utk luar dki blm ada.</t>
  </si>
  <si>
    <t>Lhoo bukanya ppkm limit smp tgl agustus pak? Kok mulur terus.. Gmn bnsos nya utk luar dki blm ada.</t>
  </si>
  <si>
    <t>@detikcom Emang kenapa , PPKM bukan lockdown banyak sekali orang mau pergi kemanapun sesuka hatinya kenapa cuma keluarga ayu ting ting yg dipermasalahkan</t>
  </si>
  <si>
    <t>Emang kenapa , PPKM bukan lockdown banyak sekali orang mau pergi kemanapun sesuka hatinya kenapa cuma keluarga ayu ting ting yg dipermasalahkan</t>
  </si>
  <si>
    <t>Gegara korona gegara PPKM gua kerja aja berasa d gantung 😭 udh nyaman d A 
 Nah si A ini krna wfh terus dan masih ke hendel kerjaan nya gua suruh d kampung 
  Ada si B nawarin buat d sna kerja sementara we di udh nyaman jg 
  Tpi si A gk bisa lepas gua jg krna btuh gini amaat 😭</t>
  </si>
  <si>
    <t>Gegara korona gegara PPKM gua kerja aja berasa d gantung udh nyaman d A Nah si A ini krna wfh terus dan masih ke hendel kerjaan nya gua suruh d kampung Ada si B nawarin buat d sna kerja sementara we di udh nyaman jg Tpi si A gk bisa lepas gua jg krna btuh gini amaat</t>
  </si>
  <si>
    <t>@Hi_Quds Ppkm terbukti bisa menekan laju penyebaran covid yaa, yuk kita dukung</t>
  </si>
  <si>
    <t>Ppkm terbukti bisa menekan laju penyebaran covid yaa, yuk kita dukung</t>
  </si>
  <si>
    <t>@IrutPagut @PutraWadapi Mungkin pulang kampung balik ke Jakarta terhalang penyekatan PPKM level 4.</t>
  </si>
  <si>
    <t>Mungkin pulang kampung balik ke Jakarta terhalang penyekatan PPKM level .</t>
  </si>
  <si>
    <t>Perpanjangan PPKM level 4 sudah mempertimbangkan berbagai aspek..ketahanan, kesehatan dan keselamatan masyarakat demi mencegah penyebaran virus kovid 19
 .
 .
 #TetapWaspadaCovidMasihAda 
 Mari taat dan patuhi aturan PPKM 
 Lawan kovid 19 https://t.co/IIX0vezPrH</t>
  </si>
  <si>
    <t>Perpanjangan PPKM level sudah mempertimbangkan berbagai aspek..ketahanan, kesehatan dan keselamatan masyarakat demi mencegah penyebaran virus kovid .. Mari taat dan patuhi aturan PPKM Lawan kovid</t>
  </si>
  <si>
    <t>@ongbobae kan lagi ppkm 🤪😂</t>
  </si>
  <si>
    <t>kan lagi ppkm</t>
  </si>
  <si>
    <t>@pasarbighit dulu aku sehari nyampe, gatau sekarang kan ppkm</t>
  </si>
  <si>
    <t>dulu aku sehari nyampe, gatau sekarang kan ppkm</t>
  </si>
  <si>
    <t>@bogorfess_ Lagi ppkm gini terus disempetin buat ngedate aja udah aneh</t>
  </si>
  <si>
    <t>Lagi ppkm gini terus disempetin buat ngedate aja udah aneh</t>
  </si>
  <si>
    <t>lagi lagi kangen ke bandung sm temen temen aaaa buruan kek kelar ni ppkm</t>
  </si>
  <si>
    <t>@taeluveelys aduh lagi ppkm</t>
  </si>
  <si>
    <t>aduh lagi ppkm</t>
  </si>
  <si>
    <t>I think ppkm bakal diperpanjang lagi......seminggu🤡</t>
  </si>
  <si>
    <t>I think ppkm bakal diperpanjang lagi......seminggu</t>
  </si>
  <si>
    <t>PPKM Level 4 yang telah dilakukan sebelumnya telah membawa sejumlah perbaikan.
 Baik dalam hal konfirmasi kasus harian, tingkat kasus aktif, tingkat kesembuhan, dan persentase BOR (bed occupancy rate). 
 #TetapWaspadaCovidMasihAda https://t.co/6Khe4HYxG6</t>
  </si>
  <si>
    <t>PPKM Level yang telah dilakukan sebelumnya telah membawa sejumlah perbaikan.Baik dalam hal konfirmasi kasus harian, tingkat kasus aktif, tingkat kesembuhan, dan persentase BOR (bed occupancy rate).</t>
  </si>
  <si>
    <t>PPKM gaboleh kemana mana
 Tapi kok "tuh" foto udah dimana mana</t>
  </si>
  <si>
    <t>PPKM gaboleh kemana manaTapi kok "tuh" foto udah dimana mana</t>
  </si>
  <si>
    <t>@bibirixe naah baguuss msih ppkm</t>
  </si>
  <si>
    <t>naah baguuss msih ppkm</t>
  </si>
  <si>
    <t>@tempodotco Tempo..sebagai media terpercaya ..semestinya nggak perlu memakai istilah PPKM...mengikuti Rejim Kecebong yang nggak jelas saat ini...
 (Sorry...Just a Suggestion)</t>
  </si>
  <si>
    <t>Tempo..sebagai media terpercaya ..semestinya nggak perlu memakai istilah PPKM...mengikuti Rejim Kecebong yang nggak jelas saat ini...(Sorry...Just a Suggestion)</t>
  </si>
  <si>
    <t>@detikcom perpanjang, namanya jadi PPKM level 4 pro max</t>
  </si>
  <si>
    <t>perpanjang, namanya jadi PPKM level pro max</t>
  </si>
  <si>
    <t>PPKM dibuka cusss balik gue</t>
  </si>
  <si>
    <t>Masih PPKM bisa bisa nya temenku ngajakin main 🤦</t>
  </si>
  <si>
    <t>Masih PPKM bisa bisa nya temenku ngajakin main</t>
  </si>
  <si>
    <t>@harruchiyosanzu nanti klo udah ga ppkm aku kirim se pabriknya</t>
  </si>
  <si>
    <t>nanti klo udah ga ppkm aku kirim se pabriknya</t>
  </si>
  <si>
    <t>ppkm larangan mudik</t>
  </si>
  <si>
    <t>/wal ada yg tau lah kedai djadoel bjb selama ppkm ni buka jam berapa? mau jajan disana eh :'</t>
  </si>
  <si>
    <t>Ingin buryam di pinggir jalan margonda depan gang, tp smnjak ppkm ga jualan mele :(</t>
  </si>
  <si>
    <t>Ingin buryam di pinggir jalan margonda depan gang, tp smnjak ppkm ga jualan mele</t>
  </si>
  <si>
    <t>@spazzlii danau nya di new zealand ga ada ppkm</t>
  </si>
  <si>
    <t>danau nya di new zealand ga ada ppkm</t>
  </si>
  <si>
    <t>@Widyarenee_ Masyarakat harus patuh PPKM</t>
  </si>
  <si>
    <t>Masyarakat harus patuh PPKM</t>
  </si>
  <si>
    <t>@elghozaliii Males ah, disitu sepi grgr ppkm:")</t>
  </si>
  <si>
    <t>Males ah, disitu sepi grgr ppkm:")</t>
  </si>
  <si>
    <t>baru kali ini belanja online dikirimnya sampe lebih semingguan begini belum sampe juga. aduh ppkm</t>
  </si>
  <si>
    <t>PPKM pelan pelan kumasukin memeknya 😓</t>
  </si>
  <si>
    <t>PPKM pelan pelan kumasukin memeknya</t>
  </si>
  <si>
    <t>@AREAJULID Ppkm jancok</t>
  </si>
  <si>
    <t>Ppkm jancok</t>
  </si>
  <si>
    <t>car free day ditambah PPKM pula 🚲 https://t.co/JUmaNqhQZq</t>
  </si>
  <si>
    <t>car free day ditambah PPKM pula</t>
  </si>
  <si>
    <t>yuk bisa yuk habis ppkm kemari https://t.co/9vMJp3O6xY</t>
  </si>
  <si>
    <t>yuk bisa yuk habis ppkm kemari</t>
  </si>
  <si>
    <t>Mol di tangerang tutup ga gaes selama PPKM??</t>
  </si>
  <si>
    <t>Ppkm sampe hari ini kan yahh. Semoga gk diperpanjang lg plisss...</t>
  </si>
  <si>
    <t>@taekyourhand Ppkm ya tida bole</t>
  </si>
  <si>
    <t>Ppkm ya tida bole</t>
  </si>
  <si>
    <t>@ngalamfess Percuma PPKM kalau gak ada pemecah solusi ekonomi, malah tutup karena bangkrut. Apapun kerjaannya semua lagi di ujung maut</t>
  </si>
  <si>
    <t>Percuma PPKM kalau gak ada pemecah solusi ekonomi, malah tutup karena bangkrut. Apapun kerjaannya semua lagi di ujung maut</t>
  </si>
  <si>
    <t>Ditunggu kabar ppkm selanjutnya</t>
  </si>
  <si>
    <t>Udah bosen di rumah terus karna pandemi &amp;amp; PPKM. Sampe gatau mau ngapain di kamar, tidur bosen. Enaknya ngapain yak?</t>
  </si>
  <si>
    <t>@putuputu_sin Masih ppkm😩</t>
  </si>
  <si>
    <t>"yeu tolol orang gila, halu banget jadi orang" lu bgo yang orang gila, ppkm gini malah maen anak tolol, ga liat jumlah kasus covid apa ya?</t>
  </si>
  <si>
    <t>Tahan dulu ya sayang ke oyo nya, ppkm masih di perpanjang.</t>
  </si>
  <si>
    <t>Selamat pagi....Selamat Hari Minggu...
 Tetap SEMANGAT, Jaga OPTIMISME, terus BERUSAHA, tak putus harapan dlm DOA, niscaya...semua akan PPKM
 Pelan Pelan Kan Membaik..
 Tuhan memberkati kita semua https://t.co/ey2q2ql38P</t>
  </si>
  <si>
    <t>Selamat pagi....Selamat Hari Minggu...Tetap SEMANGAT, Jaga OPTIMISME, terus BERUSAHA, tak putus harapan dlm DOA, niscaya...semua akan PPKMPelan Pelan Kan Membaik..Tuhan memberkati kita semua</t>
  </si>
  <si>
    <t>@1004pun_ Biar ppkm g meluk guling terus</t>
  </si>
  <si>
    <t>Biar ppkm g meluk guling terus</t>
  </si>
  <si>
    <t>Gara2 over thinking belum ngantuk2 aja
 Lagi berdiskusi dengan diri "self talk" bahas kebijakan ppkm pemerintah dengan perbandingan dengan karantina wilayah 🥱🤔
 Baik lah berhubung udah jam 7 nyari saran enak kali ya sebelum nyari posisi bobo</t>
  </si>
  <si>
    <t>Gara2 over thinking belum ngantuk2 ajaLagi berdiskusi dengan diri "self talk" bahas kebijakan ppkm pemerintah dengan perbandingan dengan karantina wilayah Baik lah berhubung udah jam nyari saran enak kali ya sebelum nyari posisi bobo</t>
  </si>
  <si>
    <t>disuru jd pager ayu pas ppkm gini😭</t>
  </si>
  <si>
    <t>disuru jd pager ayu pas ppkm gini</t>
  </si>
  <si>
    <t>waduh nunggu ppkm beres dulu https://t.co/agAY5uoL3W</t>
  </si>
  <si>
    <t>waduh nunggu ppkm beres dulu</t>
  </si>
  <si>
    <t>@minkyungsa PPKM diperpanjang sampe That (Hidden) Princess update🙂</t>
  </si>
  <si>
    <t>PPKM diperpanjang sampe That (Hidden) Princess update</t>
  </si>
  <si>
    <t>@onlywinda_ istirahat dulu Win ppkm diperpanjang terus, pusing 😂</t>
  </si>
  <si>
    <t>istirahat dulu Win ppkm diperpanjang terus, pusing</t>
  </si>
  <si>
    <t>@unnesmenfess lagi sibuk ngursin ppkm di wakanda</t>
  </si>
  <si>
    <t>lagi sibuk ngursin ppkm di wakanda</t>
  </si>
  <si>
    <t>@tubirfess Kok bisa ya nipu ortu kek gitu? aku aja rela putus kuliah karena kena dampak ppkm, ehh itu yang masih bisa kuliah &amp;amp; dibebaskan ukt malah kelakuannya kek gt🙁</t>
  </si>
  <si>
    <t>Kok bisa ya nipu ortu kek gitu? aku aja rela putus kuliah karena kena dampak ppkm, ehh itu yang masih bisa kuliah &amp;amp; dibebaskan ukt malah kelakuannya kek gt</t>
  </si>
  <si>
    <t>Biarkan PPKM menutup jalan raya,
 yang penting tidak menutup hatimu untuk saya.</t>
  </si>
  <si>
    <t>Biarkan PPKM menutup jalan raya,yang penting tidak menutup hatimu untuk saya.</t>
  </si>
  <si>
    <t>Wisma ATLIT MULAI Kosong artinyaaaaa PPKM BERHASIL bukan kar3na hasil kerja sseorang saja bukan hasil kerja Gubernurnya saja . Asyik Minggu depan bisa cusss ..</t>
  </si>
  <si>
    <t>Happy weekend... 
 Masih PPKM jangan keluar dulu ya, kalau terpaksa keluarnya didalam aja.</t>
  </si>
  <si>
    <t>Happy weekend... Masih PPKM jangan keluar dulu ya, kalau terpaksa keluarnya didalam aja.</t>
  </si>
  <si>
    <t>@sintadewipuspit Sblm ppkm</t>
  </si>
  <si>
    <t>Sblm ppkm</t>
  </si>
  <si>
    <t>#TetapWaspadaCovidMasihAda 
 PPKM level 4 efektif turunkan dn cegah ledakan kopit 19. Tapiiiiiii…. Tetap harus waspada jangan sampai melonjak lagi. Taati prokesnya.. jangan sampai kamu yg tertular! https://t.co/5DzGrQJu2s</t>
  </si>
  <si>
    <t>PPKM level efektif turunkan dn cegah ledakan kopit . Tapiiiiiii. Tetap harus waspada jangan sampai melonjak lagi. Taati prokesnya.. jangan sampai kamu yg tertular!</t>
  </si>
  <si>
    <t>Terus semalem aku ke borma, sepanjang jalan kagak ada social distancing nya, kagak ada rasa PPKM nya samsek, pada ga pake masker pula 😩</t>
  </si>
  <si>
    <t>Terus semalem aku ke borma, sepanjang jalan kagak ada social distancing nya, kagak ada rasa PPKM nya samsek, pada ga pake masker pula</t>
  </si>
  <si>
    <t>@bibirixe Msh ppkm y</t>
  </si>
  <si>
    <t>Msh ppkm y</t>
  </si>
  <si>
    <t>Mendukung keputusan terkait perpanjangan PPKM
 Vaksinasi Keluarga Terlindungi https://t.co/QQph5zLtdc</t>
  </si>
  <si>
    <t>Mendukung keputusan terkait perpanjangan PPKMVaksinasi Keluarga Terlindungi</t>
  </si>
  <si>
    <t>#TetapWaspadaCovidMasihAda
 Pemerintah trs melakukan evaluasi PPKM Darurat Level 4 hingga 9 Agustus 2021 mendatang. Satuan Tugas Penanganan Covid-19 mencatat terjadi penurunan kasus aktif Covid-19 di beberapa Provinsi Jawa Bali yg menerapkan aturan tsb. https://t.co/RNsfqpAcxc</t>
  </si>
  <si>
    <t>trs melakukan evaluasi PPKM Darurat Level hingga Agustus mendatang. Satuan Tugas Penanganan Covid-19 mencatat terjadi penurunan kasus aktif Covid-19 di beberapa Provinsi Jawa Bali yg menerapkan aturan tsb.</t>
  </si>
  <si>
    <t>#TetapWaspadaCovidMasihAda
 PPKM adalah bentuk kepedulian pemerintah untuk keselamatan rakyat Indonesia .
 Pemerintah maksimalkan dan optimalkan Penanganan covid-19.
 @jokowi Lawan Pandemi https://t.co/30m5pOWkqP</t>
  </si>
  <si>
    <t>adalah bentuk kepedulian pemerintah untuk keselamatan rakyat Indonesia .Pemerintah maksimalkan dan optimalkan Penanganan covid-19. Lawan Pandemi</t>
  </si>
  <si>
    <t>#TetapWaspadaCovidMasihAda
 Penerapan PROKES 5 M
 secara ketat adalah kunci sukses mencegah penularan virus covid
 Membatasi Mobilisasi &amp;amp; Menghindari Kerumunan adalah
 2 hal di 5 M yg didapat dlm pelaksanaan PPKM darurat.
 Tentu semua ini adalah cara tuk segera keluar dari PAMDEMI https://t.co/8QdnOrYukl</t>
  </si>
  <si>
    <t>PROKES Msecara ketat adalah kunci sukses mencegah penularan virus covidMembatasi Mobilisasi &amp;amp; Menghindari Kerumunan adalah2 hal di M yg didapat dlm pelaksanaan PPKM darurat.Tentu semua ini adalah cara tuk segera keluar dari PAMDEMI</t>
  </si>
  <si>
    <t>Pemberlakuan Pembatasan Kegiatan Masyarakat (PPKM) level 4 terbukti berhasil menekan penularan kasus kovid 19
 Kebijakan ini guna untuk kesehatan, keselamatan dan ketahanan masyarakat selama masa pandemi kovid 19
 #TetapWaspadaCovidMasihAda https://t.co/mlWXsCaAOR</t>
  </si>
  <si>
    <t>Pemberlakuan Pembatasan Kegiatan Masyarakat (PPKM) level terbukti berhasil menekan penularan kasus kovid Kebijakan ini guna untuk kesehatan, keselamatan dan ketahanan masyarakat selama masa pandemi kovid</t>
  </si>
  <si>
    <t>Mematuhi aturan ini sama dgn kita menjaga lingkungan dan orang2 terdekat kita. Ayo terus kita taat PPKM level 4 ini agar kita bisa terlepas dari pandemi cvd19.🙏
 #TetapWaspadaCovidMasihAda https://t.co/1AO8dSkstx</t>
  </si>
  <si>
    <t>Mematuhi aturan ini sama dgn kita menjaga lingkungan dan orang2 terdekat kita. Ayo terus kita taat PPKM level ini agar kita bisa terlepas dari pandemi cvd19.</t>
  </si>
  <si>
    <t>Kebijakan PPKM merupakan bentuk kepedulian pemerintah atas keselamatan dan kesehatan masyarakat serta untuk menekan penyebaran Covid-19.
 #TetapWaspadaCovidMasihAda https://t.co/lQQ6n8sihh</t>
  </si>
  <si>
    <t>Kebijakan PPKM merupakan bentuk kepedulian pemerintah atas keselamatan dan kesehatan masyarakat serta untuk menekan penyebaran Covid-19.</t>
  </si>
  <si>
    <t>Sudah banyak korban dari Pandemi Covid ini, jangan sampai ada lagi yg lain. Tetap semangat dan Patuh Prokes ketat, Vaksinasi dan terapkan PPKM menjadi hal mutlak yg harus kita ikuti jika kita ingin situasi sulit ini berakhir. 
 #TetapWaspadaCovidMasihAda https://t.co/RhKgVyCxlq</t>
  </si>
  <si>
    <t>Sudah banyak korban dari Pandemi Covid ini, jangan sampai ada lagi yg lain. Tetap semangat dan Patuh Prokes ketat, Vaksinasi dan terapkan PPKM menjadi hal mutlak yg harus kita ikuti jika kita ingin situasi sulit ini berakhir.</t>
  </si>
  <si>
    <t>@barryallen_1st PPKM mau berakhir, baliho, vaksinasi mulai banyak, ekonomi 7%, partai mercy diserang, kasak-kusuk jd No.1.
 Pak wowo kemana?</t>
  </si>
  <si>
    <t>PPKM mau berakhir, baliho, vaksinasi mulai banyak, ekonomi %, partai mercy diserang, kasak-kusuk jd No.1.Pak wowo kemana?</t>
  </si>
  <si>
    <t>Perpanjangan PPKM membuahkan hasil yg signifikan, berhasil menekan penyebaran virus varian baru ke masyarakat luas, Terimakasih untuk tenaga medis yg berjuang tanpa lelah
 Semoga wabah ini segera berahir
 #TetapWaspadaCovidMasihAda https://t.co/WbbcnLCRr5</t>
  </si>
  <si>
    <t>Perpanjangan PPKM membuahkan hasil yg signifikan, berhasil menekan penyebaran virus varian baru ke masyarakat luas, Terimakasih untuk tenaga medis yg berjuang tanpa lelahSemoga wabah ini segera berahir</t>
  </si>
  <si>
    <t>@strawbry_ cape ppkm mulu</t>
  </si>
  <si>
    <t>cape ppkm mulu</t>
  </si>
  <si>
    <t>@00thinggs Selama ppkm mimpiin orang itu muluu, kenapa si :(</t>
  </si>
  <si>
    <t>Selama ppkm mimpiin orang itu muluu, kenapa si</t>
  </si>
  <si>
    <t>Status kota PPKM level 4, tp msh jg adakan pesta pernikahan. Saat diingatkan, ktnya cm terbatas keluarga sendiri...gak ingat kl tamu yg datang gak bisa dikendalikan🙄</t>
  </si>
  <si>
    <t>Status kota PPKM level , tp msh jg adakan pesta pernikahan. Saat diingatkan, ktnya cm terbatas keluarga sendiri...gak ingat kl tamu yg datang gak bisa dikendalikan</t>
  </si>
  <si>
    <t>Plus, ngapain bahas si candy. Dia covidiots. Menentang PPKM. Jgn karena lagi populer, terus2an dikulik.
 Bahasnya stop ampe aksi bikini dia aja
 Dunia Literatur populer Indonesia masih toxic. Sesuai dgn keadaan kualitas rakyat saat ini.
 Sedikit media yg netral. CNN ID misalnya.</t>
  </si>
  <si>
    <t>Plus, ngapain bahas si candy. Dia covidiots. Menentang PPKM. Jgn karena lagi populer, terus2an dikulik.Bahasnya stop ampe aksi bikini dia ajaDunia Literatur populer Indonesia masih toxic. Sesuai dgn keadaan kualitas rakyat saat ini.Sedikit media yg netral. CNN ID misalnya.</t>
  </si>
  <si>
    <t>@patio9eneral Ngomongin HAM di negeri ini kayak ngomongin kentu, rame pas bau, setelah ndak bau, ya sibuk yg laen lagi.
 Tp klo masalah perut, beru jadi perhatian. Sejarah mengajarkan demikian, Presiden jatuh krn rakyat lapar.
 PPKM dikendorkan krn mulai ada perlawanan, diakibatkan perut lapar</t>
  </si>
  <si>
    <t>Ngomongin HAM di negeri ini kayak ngomongin kentu, rame pas bau, setelah ndak bau, ya sibuk yg laen lagi.Tp klo masalah perut, beru jadi perhatian. Sejarah mengajarkan demikian, Presiden jatuh krn rakyat lapar.PPKM dikendorkan krn mulai ada perlawanan, diakibatkan perut lapar</t>
  </si>
  <si>
    <t>Ini adalah cara kami untuk liburan adventure dimasa PPKM, yg sabar ya nak.. 
 .
 #PPKM 
 #PPKMLevel4LawanCovid 
 #COVID19 
 #VarianteDelta https://t.co/Mpfl1ucW6O</t>
  </si>
  <si>
    <t>Ini adalah cara kami untuk liburan adventure dimasa PPKM, yg sabar ya nak.. .</t>
  </si>
  <si>
    <t>Pak de lagi bingung kasi nama apa lagi setelah ppkm level.. Di carikan team utk menyelesaikan mencari nama. #DayaRusakJokowiLuarbiasa #NKRIBukanMilikPDIP https://t.co/ugP1y1MkYT</t>
  </si>
  <si>
    <t>Pak de lagi bingung kasi nama apa lagi setelah ppkm level.. Di carikan team utk menyelesaikan mencari nama.</t>
  </si>
  <si>
    <t>Agar terhidari dari C_19 patuhi PPKM.Dan tetap jaga jarak,jaga jarak sama mantan ajh kamu bisa moso sama wabah ga bisa 😁
 Semangat pagi 
 Semangat meningkatkan imun 😊 https://t.co/4kTCjz9ZlJ</t>
  </si>
  <si>
    <t>Agar terhidari dari C_19 patuhi PPKM.Dan tetap jaga jarak,jaga jarak sama mantan ajh kamu bisa moso sama wabah ga bisa Semangat pagi Semangat meningkatkan imun</t>
  </si>
  <si>
    <t>@Siajapul @BFofZlhan Inilah yang jadi pertanyaan.
 Masyarakat di PPKM,tapi TKA china berdatangan.ini kan sama halnya otak bukan dikepala,tapi otak pindah di dengkul.
 #BuzzerMusnahJokowiPunah 
 #BuzzerMusnahJokowiPunah</t>
  </si>
  <si>
    <t>Inilah yang jadi pertanyaan.Masyarakat di PPKM,tapi TKA china berdatangan.ini kan sama halnya otak bukan dikepala,tapi otak pindah di dengkul.</t>
  </si>
  <si>
    <t>@kddoxs Mendukung program pemerintah PPKM</t>
  </si>
  <si>
    <t>Mendukung program pemerintah PPKM</t>
  </si>
  <si>
    <t>@refalhady Apakah PPKM merubah pola hidup mu kak? 😁✌🏻</t>
  </si>
  <si>
    <t>Apakah PPKM merubah pola hidup mu kak?</t>
  </si>
  <si>
    <t>@piooipp Iyaaa🥺
 Ppkm malah bikin ga istirahat gmn dah</t>
  </si>
  <si>
    <t>IyaaaPpkm malah bikin ga istirahat gmn dah</t>
  </si>
  <si>
    <t>pengen kesini nanti abis ppkm https://t.co/Psy5SGzuuk</t>
  </si>
  <si>
    <t>pengen kesini nanti abis ppkm</t>
  </si>
  <si>
    <t>@sadeesfaction Patuhi aturan PPKM..demi kesehatan bersama</t>
  </si>
  <si>
    <t>Patuhi aturan PPKM..demi kesehatan bersama</t>
  </si>
  <si>
    <t>Mudah mudahan habis PPKM 😢 https://t.co/5hyYXAECVb</t>
  </si>
  <si>
    <t>Mudah mudahan habis PPKM</t>
  </si>
  <si>
    <t>Berasa ga si PPKM masih level 4 tapi jalanan Jakarta akhir pekan rame banget</t>
  </si>
  <si>
    <t>Berasa ga si PPKM masih level tapi jalanan Jakarta akhir pekan rame banget</t>
  </si>
  <si>
    <t>Ini ppkm berasa udah ga kya ppkm, rame bet jalanan bandung</t>
  </si>
  <si>
    <t>@GreysPolii @BLACKPINK Mintaa adain kak greyy kalo udh selesai ppkm :(((</t>
  </si>
  <si>
    <t>Mintaa adain kak greyy kalo udh selesai ppkm</t>
  </si>
  <si>
    <t>Demi keselamatan rakyat indonesia, mari dukung keputusan Presiden Joko Widodo terkait perpanjangan PPKM sampai 9 Agustus 2021. Vaksinasi Keluarga Terlindungi https://t.co/3YgP9pvx0t</t>
  </si>
  <si>
    <t>Demi keselamatan rakyat indonesia, mari dukung keputusan Presiden Joko Widodo terkait perpanjangan PPKM sampai Agustus . Vaksinasi Keluarga Terlindungi</t>
  </si>
  <si>
    <t>Ppkm cen asu</t>
  </si>
  <si>
    <t>@wulanutari52 Yukk dukung PPKM</t>
  </si>
  <si>
    <t>Yukk dukung PPKM</t>
  </si>
  <si>
    <t>@KRMTRoySuryo2 Yah si om. Kan duit ditangan mereka itu buanyakkkkk fantastis...jadi soal ngecet2 pesawat mah kecil lah. Itu duit ada dan buanyakkkkk bgt. Wajarlah bnyk duit. Urusan kesusahan rakyat dimasa pandemi?, PPKM? Ya...endaktahu.</t>
  </si>
  <si>
    <t>Yah si om. Kan duit ditangan mereka itu buanyakkkkk fantastis...jadi soal ngecet2 pesawat mah kecil lah. Itu duit ada dan buanyakkkkk bgt. Wajarlah bnyk duit. Urusan kesusahan rakyat dimasa pandemi?, PPKM? Ya...endaktahu.</t>
  </si>
  <si>
    <t>@jaesahinoo Bissmillahirrahmannnirrahiim ...
 Buat jajajn anak aku. Karna ppkm jadi gabisa usaha. https://t.co/81jI7uzf5R</t>
  </si>
  <si>
    <t>Bissmillahirrahmannnirrahiim ...Buat jajajn anak aku. Karna ppkm jadi gabisa usaha.</t>
  </si>
  <si>
    <t>@Shanumfatima PPKM diperpanjang 😁😁😁</t>
  </si>
  <si>
    <t>@AliBej0 Perpanjangan PPKM sdh di pertimbangkan</t>
  </si>
  <si>
    <t>Perpanjangan PPKM sdh di pertimbangkan</t>
  </si>
  <si>
    <t>@intansariwjy abis ppkm nanti ditemenin, jangan nyari online klo buat jeansn serem</t>
  </si>
  <si>
    <t>abis ppkm nanti ditemenin, jangan nyari online klo buat jeansn serem</t>
  </si>
  <si>
    <t>@dapitnih Paling enak beri jawaban SAYA HANYA DIBERI TUGAS, dan plus d beri FEE KEPANITIAAN KONSEP PPKM, sdgkan rakyat mau jualan malah d suruh tutup, woii petugas anda tau ndak arti PPKM = pemberlakuan pembatasan kegiatan masyarakat bukan PENUTUPAN ingat ya PEMBATASAN👊👊👊👎👎👎😡😡😡</t>
  </si>
  <si>
    <t>Paling enak beri jawaban SAYA HANYA DIBERI TUGAS, dan plus d beri FEE KEPANITIAAN KONSEP PPKM, sdgkan rakyat mau jualan malah d suruh tutup, woii petugas anda tau ndak arti PPKM = pemberlakuan pembatasan kegiatan masyarakat bukan PENUTUPAN ingat ya PEMBATASAN</t>
  </si>
  <si>
    <t>@HanifahAndini96 Dukung PPKM</t>
  </si>
  <si>
    <t>Merdeka adalah lepas dari penjajahan &amp;amp; penindasan
 Penindasan jaman now berupa ppkm dan vaksin
 #JokowiMusibahBangsa
 #JokowiMusibahBangsa</t>
  </si>
  <si>
    <t>Merdeka adalah lepas dari penjajahan &amp;amp; penindasanPenindasan jaman now berupa ppkm dan vaksin</t>
  </si>
  <si>
    <t>Rakyat sendiri di kandangi,bnyk yg Kena PHK,bahkan tukang bubur dan tukang bakso di denda 5jta krna melanggar PPKM,ehh pemerintah malah sibuk import TKA
 WNA Masuk Lagi ke Indonesia, Wakil Ketua MPR: Melanggar Aturan Resmi dari Pemerintah https://t.co/MMzd9CwOiY</t>
  </si>
  <si>
    <t>Rakyat sendiri di kandangi,bnyk yg Kena PHK,bahkan tukang bubur dan tukang bakso di denda jta krna melanggar PPKM,ehh pemerintah malah sibuk import TKAWNA Masuk Lagi ke Indonesia, Wakil Ketua MPR: Melanggar Aturan Resmi dari Pemerintah</t>
  </si>
  <si>
    <t>@endorfineeee Ppkm kak maap gabisa</t>
  </si>
  <si>
    <t>Ppkm kak maap gabisa</t>
  </si>
  <si>
    <t>@txtdarigajelas Di bingung mencari jalan keluar ppkm</t>
  </si>
  <si>
    <t>Di bingung mencari jalan keluar ppkm</t>
  </si>
  <si>
    <t>Pro dan kontra jamak terjadi ketika adanya sebuah kebijakan...namun mari kita renungkan bersama ...bahwa kebijakan PPKM ini semata mata utk keamanan dan keselamatan kita juga....
 #TetapWaspadaCovidMasihAda 
 Jgn lengah ya Guys.... https://t.co/33PLPSsyrS</t>
  </si>
  <si>
    <t>Pro dan kontra jamak terjadi ketika adanya sebuah kebijakan...namun mari kita renungkan bersama ...bahwa kebijakan PPKM ini semata mata utk keamanan dan keselamatan kita juga.... Jgn lengah ya Guys....</t>
  </si>
  <si>
    <t>Kita harusnya menyadari bahwa Kebijakan PPKM merupakan wujud dr keperdulian Pemerintah terhadap keselamatan serta kesehatan kita...
 #TetapWaspadaCovidMasihAda 
 Mari kita selalu mewaspadai Copid.... https://t.co/hiV0twhXhC</t>
  </si>
  <si>
    <t>Kita harusnya menyadari bahwa Kebijakan PPKM merupakan wujud dr keperdulian Pemerintah terhadap keselamatan serta kesehatan kita... Mari kita selalu mewaspadai Copid....</t>
  </si>
  <si>
    <t>@Urrangawak Lawan kovid dengan taati aturan PPKM, disiplin prokes dan lakukan vaksinasi</t>
  </si>
  <si>
    <t>Lawan kovid dengan taati aturan PPKM, disiplin prokes dan lakukan vaksinasi</t>
  </si>
  <si>
    <t>@detikcom Bisa pak diirem tapi hajat hidup orang banyak ditanggung ya... Jgn buat istilah terus habis ppkm apalagi...</t>
  </si>
  <si>
    <t>Bisa pak diirem tapi hajat hidup orang banyak ditanggung ya... Jgn buat istilah terus habis ppkm apalagi...</t>
  </si>
  <si>
    <t>Mari taati dan patuhi aturan PPKM 
 #TetapWaspadaCovidMasihAda https://t.co/gItOmMINpY</t>
  </si>
  <si>
    <t>Mari taati dan patuhi aturan PPKM</t>
  </si>
  <si>
    <t>PPKM taikkk</t>
  </si>
  <si>
    <t>abis pulang dari warpat trs sepanjang jalan dari ciawi-puncaknya macet bgt like itu ppkm?!! mana diwarpatnya always penuh gangerti si</t>
  </si>
  <si>
    <t>@kloningyan Aaah iya bener, semarang kalo panas manteup banget ga da lawan
 Iyaaa, makin banyak tempat kopi sekarang. 
 Tetep bisa main kok tapi nanti pas ppkm udah dikendorin hehe, yang penting syarat perjalanan lengkap, tidak kendor prokesnya</t>
  </si>
  <si>
    <t>Aaah iya bener, semarang kalo panas manteup banget ga da lawanIyaaa, makin banyak tempat kopi sekarang. Tetep bisa main kok tapi nanti pas ppkm udah dikendorin hehe, yang penting syarat perjalanan lengkap, tidak kendor prokesnya</t>
  </si>
  <si>
    <t>#TetapWaspadaCovidMasihAda , PPKM dan vaksinasi adalah upaya pemerintah tuk tekan laju lonjakan kopit. Ayo bantu para nakes dgn ikut vaksin dn taati prokes 5m https://t.co/BfZac1CMGP</t>
  </si>
  <si>
    <t>, PPKM dan vaksinasi adalah upaya pemerintah tuk tekan laju lonjakan kopit. Ayo bantu para nakes dgn ikut vaksin dn taati prokes m</t>
  </si>
  <si>
    <t>@VICE_ID Perasaanku PPKM akan di perpanjang (hmm 😒)</t>
  </si>
  <si>
    <t>Perasaanku PPKM akan di perpanjang (hmm )</t>
  </si>
  <si>
    <t>Alhamdulillah..
 Perpanjangan PPKM Level 4 ternyata memberikan hasil positif. Yakni angka kasus Covid-19 di Jawa dan Bali sudah mulai melandai.
 Tetap taati protokol kesehatan ya, sobatku semua di seluruh Tanah Air.
 https://t.co/KTBv20w9Mn
 #TetapWaspadaCovidMasihAda https://t.co/zbp08ljWCb</t>
  </si>
  <si>
    <t>Alhamdulillah..Perpanjangan PPKM Level ternyata memberikan hasil positif. Yakni angka kasus Covid-19 di Jawa dan Bali sudah mulai melandai.Tetap taati protokol kesehatan ya, sobatku semua di seluruh Tanah Air.</t>
  </si>
  <si>
    <t>@Nisaa_C_Almeer @De_R4IN @4addibA @ad3ira29 @Abang_Faey 😅😅😅 semua ini salah ppkm yg menyuruh jaga jarak niss</t>
  </si>
  <si>
    <t>semua ini salah ppkm yg menyuruh jaga jarak niss</t>
  </si>
  <si>
    <t>#TetapWaspadaCovidMasihAda , taati PPKM, kurangi mobilitas, ikut vaksin, sangat vabtu relawan dn para nakes, jgn tambah beban mereka. 
 Pakai masker harga mati
 Gak pakai masker bikin cepat mati https://t.co/MmE4r3IM5e</t>
  </si>
  <si>
    <t>, taati PPKM, kurangi mobilitas, ikut vaksin, sangat vabtu relawan dn para nakes, jgn tambah beban mereka. Pakai masker harga matiGak pakai masker bikin cepat mati</t>
  </si>
  <si>
    <t>@convomfs liburan setelah ppkm? staycation? beli kue buat diri sendiri? atau beli yang dimau sesuai budget aja</t>
  </si>
  <si>
    <t>liburan setelah ppkm? staycation? beli kue buat diri sendiri? atau beli yang dimau sesuai budget aja</t>
  </si>
  <si>
    <t>@samsularifffin @SiaranBolaLive Oiya 😂 abisnya ppkm kek cokicoki, panjang dan laaaamaaa 😮‍💨</t>
  </si>
  <si>
    <t>Oiya abisnya ppkm kek cokicoki, panjang dan laaaamaaa</t>
  </si>
  <si>
    <t>@tempodotco Ada pula istilah ppkm di china??</t>
  </si>
  <si>
    <t>Ada pula istilah ppkm di china??</t>
  </si>
  <si>
    <t>@VICE_ID Khawatir karna takut ppkm diperpanjang.</t>
  </si>
  <si>
    <t>Khawatir karna takut ppkm diperpanjang.</t>
  </si>
  <si>
    <t>@aiyu_asayaka @SiaranBolaLive Wkkkkk katanya nunggu ppkm selesaiiiii… ga enak klo dibjngkussss 😂😂😂</t>
  </si>
  <si>
    <t>Wkkkkk katanya nunggu ppkm selesaiiiii ga enak klo dibjngkussss</t>
  </si>
  <si>
    <t>@LmsAgnes @amanbrug Belum ada kak karna ppkm jadi belum pernah pergi pergi</t>
  </si>
  <si>
    <t>Belum ada kak karna ppkm jadi belum pernah pergi pergi</t>
  </si>
  <si>
    <t>Ngerengek-rengek minta ketemu. Smg ppkm cepet selesai.</t>
  </si>
  <si>
    <t>@GreysPolii gatau kak, semoga aja habis ppkm 😭 kangen sama mereka😭😭</t>
  </si>
  <si>
    <t>gatau kak, semoga aja habis ppkm kangen sama mereka</t>
  </si>
  <si>
    <t>#TetapWaspadaCovidMasihAda
 Sejak awal pandemi tahun 2020 hingga semester I tahun 2021, kebijakan pembatasan mobilitas masyarakat dimulai dengan istilah PSBB pada April 2020 hingga PPKM Level 3 dan 4 menjelang akhir Juli 2021. 
 Yuk dukung terus kinerja Pemerintah dgn taat Prokes! https://t.co/Ha3UePOoMS</t>
  </si>
  <si>
    <t>awal pandemi tahun hingga semester I tahun , kebijakan pembatasan mobilitas masyarakat dimulai dengan istilah PSBB pada April hingga PPKM Level dan menjelang akhir Juli . Yuk dukung terus kinerja Pemerintah dgn taat Prokes!</t>
  </si>
  <si>
    <t>Kebijakan PPKM yang selama ini diberlakukan sebagai upaya menjamin keselamatan masyarakat ditengah peningkatan kasus Covid-19 yang masih tinggi.
 #TetapWaspadaCovidMasihAda https://t.co/hHmed4jq0N</t>
  </si>
  <si>
    <t>Kebijakan PPKM yang selama ini diberlakukan sebagai upaya menjamin keselamatan masyarakat ditengah peningkatan kasus Covid-19 yang masih tinggi.</t>
  </si>
  <si>
    <t>Pelaksanaan serta perpanjangan PPKM adalah upaya Pemerintah dan didukung semua elemen masyarakat guna mencegah dan mengantisipasi penyebaran virus kovid 19
 #TetapWaspadaCovidMasihAda https://t.co/htvsqwVI4a</t>
  </si>
  <si>
    <t>Pelaksanaan serta perpanjangan PPKM adalah upaya Pemerintah dan didukung semua elemen masyarakat guna mencegah dan mengantisipasi penyebaran virus kovid</t>
  </si>
  <si>
    <t>Mari kita 
 #TetapWaspadaCovidMasihAda 
 Jaga kesehatan..
 Patuhi disiplin protokol kesehatan dan lakukan vaksinasi..
 Serta patuhi aturan PPKM 
 Demi kesehatan dan keselamatan kita semua https://t.co/Q1crCnovC7</t>
  </si>
  <si>
    <t>Mari kita Jaga kesehatan..Patuhi disiplin protokol kesehatan dan lakukan vaksinasi..Serta patuhi aturan PPKM Demi kesehatan dan keselamatan kita semua</t>
  </si>
  <si>
    <t>Dengan Patuhi Prokes dan Taat PPKM serta melakukan Vaksinasi laju penyebaran covid19 bisa diatasi. 
 #TetapWaspadaCovidMasihAda https://t.co/5IfkpHT4u3</t>
  </si>
  <si>
    <t>Dengan Patuhi Prokes dan Taat PPKM serta melakukan Vaksinasi laju penyebaran covid19 bisa diatasi.</t>
  </si>
  <si>
    <t>PPKM utk lawan covid, negara hadir demi melindungi rakyat dari musibah pandemi dg mempercepat vaksinasi kejar target Herd Immunity... 
 #TetapWaspadaCovidMasihAda https://t.co/kD3NEkygRy</t>
  </si>
  <si>
    <t>PPKM utk lawan covid, negara hadir demi melindungi rakyat dari musibah pandemi dg mempercepat vaksinasi kejar target Herd Immunity...</t>
  </si>
  <si>
    <t>#TetapWaspadaCovidMasihAda
 perpanjangan PPKM level,4 semata hanya untuk keselamatan masyarakat. https://t.co/TLL5oaNhgU</t>
  </si>
  <si>
    <t>PPKM level,4 semata hanya untuk keselamatan masyarakat.</t>
  </si>
  <si>
    <t>#TetapWaspadaCovidMasihAda
 Kasus Kovid turun karena PPKM Level 4. https://t.co/X5sFUnz0gr</t>
  </si>
  <si>
    <t>Kovid turun karena PPKM Level .</t>
  </si>
  <si>
    <t>Kesadaran kita mematuhi aturan PPKM itu lah yg nomor satu.
 Pemerintah Peduli, Rakyat Peduli, Covid pun Pergi dan tak kan kembali lagi.
 #TetapWaspadaCovidMasihAda https://t.co/V0KOMnyObL</t>
  </si>
  <si>
    <t>Kesadaran kita mematuhi aturan PPKM itu lah yg nomor satu.Pemerintah Peduli, Rakyat Peduli, Covid pun Pergi dan tak kan kembali lagi.</t>
  </si>
  <si>
    <t>#TetapWaspadaCovidMasihAda bila tak di genjot vaksinasi tentu saja pasti virus covid-19 varian delta ini kan semakin meningkat dan tak bisa dikendalikan 
 Dengan PPKM vaksinasi cepat tercaver semua https://t.co/Y84hB0NdBI</t>
  </si>
  <si>
    <t>bila tak di genjot vaksinasi tentu saja pasti virus covid-19 varian delta ini kan semakin meningkat dan tak bisa dikendalikan Dengan PPKM vaksinasi cepat tercaver semua</t>
  </si>
  <si>
    <t>#TetapWaspadaCovidMasihAda
 Vaksin, Prokes n PPKM adlh 3 solusi penting lawan Kovid. https://t.co/FjqEse2mMf</t>
  </si>
  <si>
    <t>, Prokes n PPKM adlh solusi penting lawan Kovid.</t>
  </si>
  <si>
    <t>PPKM merupakan bentuk kepedulian pemerintah atas keselamatan dan kesehatan masyarakat.
 #TetapWaspadaCovidMasihAda https://t.co/LeJzLFcgeF</t>
  </si>
  <si>
    <t>PPKM merupakan bentuk kepedulian pemerintah atas keselamatan dan kesehatan masyarakat.</t>
  </si>
  <si>
    <t>Perpanjangan PPKM level 4 mempertimbangkan berbagai aspek guna mencegah penyebaran kovid
 #TetapWaspadaCovidMasihAda https://t.co/0iCdwFr8i5</t>
  </si>
  <si>
    <t>Perpanjangan PPKM level mempertimbangkan berbagai aspek guna mencegah penyebaran kovid</t>
  </si>
  <si>
    <t>#TetapWaspadaCovidMasihAda
 Perpanjangan PPKM demi pecegahan penularan Kovid19. https://t.co/hMCNwXnPsX</t>
  </si>
  <si>
    <t>PPKM demi pecegahan penularan Kovid19.</t>
  </si>
  <si>
    <t>@Wdtfs10 ak engga🤡 anw abis ppkm kita mo ke bandung!!!</t>
  </si>
  <si>
    <t>ak engga anw abis ppkm kita mo ke bandung!!!</t>
  </si>
  <si>
    <t>@GreysPolii @BLACKPINK Selesai ppkm Amin</t>
  </si>
  <si>
    <t>Selesai ppkm Amin</t>
  </si>
  <si>
    <t>Dari awal PSBB, hayuk kalem ngikut. Bansos dikorup, ookay siap. Di'PPKM, gaskeun masih sabar. ☺️ Kasih pertambahan waktu, hufttt okelah buoss. Kemarin kasih beras batu, dah rada nahan nich 😡 Sekarang malah dikasih TAI sama goverment... Munyuk!
 Selamat pagi 😇🙏 https://t.co/ua9OUlQ5LE</t>
  </si>
  <si>
    <t>Dari awal PSBB, hayuk kalem ngikut. Bansos dikorup, ookay siap. Di'PPKM, gaskeun masih sabar. Kasih pertambahan waktu, hufttt okelah buoss. Kemarin kasih beras batu, dah rada nahan nich Sekarang malah dikasih TAI sama goverment... Munyuk!Selamat pagi</t>
  </si>
  <si>
    <t>@detikcom kalau dilanjut lagi, namanya bakalan berubah PPKM Level 4 Part 2</t>
  </si>
  <si>
    <t>kalau dilanjut lagi, namanya bakalan berubah PPKM Level Part</t>
  </si>
  <si>
    <t>Para petugas yg razia pedagang kecil selama PPKM selalu mengatakan menjalankan aturan. 
 Sementara dipusat kekuasaan mereka melanggar aturan. 
 Ini yg buat Rakyat muak! https://t.co/oi3f39cmcU</t>
  </si>
  <si>
    <t>Para petugas yg razia pedagang kecil selama PPKM selalu mengatakan menjalankan aturan. Sementara dipusat kekuasaan mereka melanggar aturan. Ini yg buat Rakyat muak!</t>
  </si>
  <si>
    <t>Bener bener kalo ada PPKM pada menjerit, PPKMnya longgar dikit pada gamake masker -_- pergi ke pasar udah kaya ke area hunger games</t>
  </si>
  <si>
    <t>@detikcom Kalau boleh maen tebak-tebakan sepertinya berlanjut. Daerah saya ppkm level 3 di Jawa Timur. Pas siang-siang warkop masih buka biasa aja ngga ada aturan-aturan, pas pagi2 sepedahan banyak yang ga pakai masker, masjid pas jumatan penuh semua..</t>
  </si>
  <si>
    <t>Kalau boleh maen tebak-tebakan sepertinya berlanjut. Daerah saya ppkm level di Jawa Timur. Pas siang-siang warkop masih buka biasa aja ngga ada aturan-aturan, pas pagi2 sepedahan banyak yang ga pakai masker, masjid pas jumatan penuh semua..</t>
  </si>
  <si>
    <t>Aparat menjalankan PPKM protokol covid-19. Masih dimanjakan negara, terima gaji bulanan. 
 Pemerintah euforia, pertum eko Q2/2021 capai 7% . Tp rakyat berteriak kesusahan utk bertahan. 
 Kok gak nyambung? 
 Ini mirip kisah korban covid menurun, tapi jmlh yg meninggal tetap tinggi https://t.co/behxQmdZdL</t>
  </si>
  <si>
    <t>Aparat menjalankan PPKM protokol covid-19. Masih dimanjakan negara, terima gaji bulanan. Pemerintah euforia, pertum eko Q2/2021 capai % . Tp rakyat berteriak kesusahan utk bertahan. Kok gak nyambung? Ini mirip kisah korban covid menurun, tapi jmlh yg meninggal tetap tinggi</t>
  </si>
  <si>
    <t>@edy_siregar_77 Padahal pemerintah telah membuat larangan secara resmi terhadap masuknya orang asing, termasuk pekerja asing ke Indonesia mulai 21 Juli 2021 bersamaan dengan berlakunya PPKM</t>
  </si>
  <si>
    <t>Padahal pemerintah telah membuat larangan secara resmi terhadap masuknya orang asing, termasuk pekerja asing ke Indonesia mulai Juli bersamaan dengan berlakunya PPKM</t>
  </si>
  <si>
    <t>@urfavcrml Tidur aja masih ppkm</t>
  </si>
  <si>
    <t>Tidur aja masih ppkm</t>
  </si>
  <si>
    <t>Tapi ppkm lumayan efektif loh beneran, pasien covid di RS gue berkurang jauh, sekarang tinggal 2 ruang isolasi aja, IGD udah jarang rame, yang swab antigen sama pcr ke poli covid juga udah sedikit, yuk bisa yuk cepet selesai 😭🙏</t>
  </si>
  <si>
    <t>Tapi ppkm lumayan efektif loh beneran, pasien covid di RS gue berkurang jauh, sekarang tinggal ruang isolasi aja, IGD udah jarang rame, yang swab antigen sama pcr ke poli covid juga udah sedikit, yuk bisa yuk cepet selesai</t>
  </si>
  <si>
    <t>Alhamdulillah sekarang kalo ada yg ngajak nongkrong, punya alasan buat nolak. 
 'Kan lagi ppkm'</t>
  </si>
  <si>
    <t>Alhamdulillah sekarang kalo ada yg ngajak nongkrong, punya alasan buat nolak. 'Kan lagi ppkm'</t>
  </si>
  <si>
    <t>#BLACKPINK5thANNIVERSARY ya Tuhan kalo PPKm terus diperpanjang kapan aku liat bioskop cuma buat nonton BP the movie. Huhuhu mengsedih. Happy birthday anak paud kuuuu. https://t.co/6oGGomsMk6</t>
  </si>
  <si>
    <t>ya Tuhan kalo PPKm terus diperpanjang kapan aku liat bioskop cuma buat nonton BP the movie. Huhuhu mengsedih. Happy birthday anak paud kuuuu.</t>
  </si>
  <si>
    <t>Aturan PPKM yang berjalan bisa mematikan usaha anggota mereka. https://t.co/TP7yrCVgDo</t>
  </si>
  <si>
    <t>Aturan PPKM yang berjalan bisa mematikan usaha anggota mereka.</t>
  </si>
  <si>
    <t>semoga ppkm gak diperpanjang lagiiii, amiin</t>
  </si>
  <si>
    <t>Dampak ppkm yang berkepanjangan jadi banyak yg beralih profesi jadi wibu</t>
  </si>
  <si>
    <t>CW // Gaji
 Work! Gaes aku kan punya nazar, kalo nerima gaji pertama mau traktir keluarga. Nah brhubung ppkm gabisa kemana2, enaknya beli apa ya yg bisa dimakan brg2 dirumah? Bdgt 100-150an btw.</t>
  </si>
  <si>
    <t>CW // GajiWork! Gaes aku kan punya nazar, kalo nerima gaji pertama mau traktir keluarga. Nah brhubung ppkm gabisa kemana2, enaknya beli apa ya yg bisa dimakan brg2 dirumah? Bdgt $NUMBER$an btw.</t>
  </si>
  <si>
    <t>@k0pi_pahitku hehe sulit skrg ku temui yg seperti ini semenjak ppkm</t>
  </si>
  <si>
    <t>hehe sulit skrg ku temui yg seperti ini semenjak ppkm</t>
  </si>
  <si>
    <t>@txtdrjek lagi ppkm</t>
  </si>
  <si>
    <t>@ydhiyadeh Ya kan ppkm Bu. Takutnya mau kesana ada penyekatan</t>
  </si>
  <si>
    <t>Ya kan ppkm Bu. Takutnya mau kesana ada penyekatan</t>
  </si>
  <si>
    <t>@tempodotco Beijing PPKM?? 
 GA SALAH NULIS MAS TEMPO??</t>
  </si>
  <si>
    <t>Beijing PPKM?? GA SALAH NULIS MAS TEMPO??</t>
  </si>
  <si>
    <t>Ga mau jadi party pooper tp penn nanya, jogja gaada ppkm kah? https://t.co/Yiu1XxCUoY</t>
  </si>
  <si>
    <t>Ga mau jadi party pooper tp penn nanya, jogja gaada ppkm kah?</t>
  </si>
  <si>
    <t>braw! Info dong klinik UB buka ga hari kerja pas ppkm?</t>
  </si>
  <si>
    <t>Alhamdulillah occupancy hotel udh menuju normal lagi. Yang bingung mau main kemana pas ppkm mending staycation ke hotel aja semua karyawannya sudah divaksin prokes juga ketat yang pasti aman dan nyaman 😁</t>
  </si>
  <si>
    <t>Alhamdulillah occupancy hotel udh menuju normal lagi. Yang bingung mau main kemana pas ppkm mending staycation ke hotel aja semua karyawannya sudah divaksin prokes juga ketat yang pasti aman dan nyaman</t>
  </si>
  <si>
    <t>Bismillah,
 Pagi ini gowes atau lari, lari aja lah 
 Lari dari PPKM /perbuatan percobaan kepoin mantan.</t>
  </si>
  <si>
    <t>Bismillah,Pagi ini gowes atau lari, lari aja lah Lari dari PPKM /perbuatan percobaan kepoin mantan.</t>
  </si>
  <si>
    <t>Rugi ongkir😢😌 ni ongkir klo ppkm cuma kepotong 5k doang? Biasanya kepotong 15-25k https://t.co/vkdgORthUZ</t>
  </si>
  <si>
    <t>Rugi ongkir ni ongkir klo ppkm cuma kepotong k doang? Biasanya kepotong $NUMBER$k</t>
  </si>
  <si>
    <t>@ydhiyadeh Emang ppkm bisa kesana ya?</t>
  </si>
  <si>
    <t>Emang ppkm bisa kesana ya?</t>
  </si>
  <si>
    <t>Mari berdoa ppkm besok tidak diperpanjang🤲🏻</t>
  </si>
  <si>
    <t>Mari berdoa ppkm besok tidak diperpanjang</t>
  </si>
  <si>
    <t>Kayaknya PPKM masih lanjut yah.. Iya kan pak @jokowi?</t>
  </si>
  <si>
    <t>Kayaknya PPKM masih lanjut yah.. Iya kan pak ?</t>
  </si>
  <si>
    <t>@saniascipaaa PPKM DI PERPANJANG 😭😭😭</t>
  </si>
  <si>
    <t>PPKM DI PERPANJANG</t>
  </si>
  <si>
    <t>@GreysPolii @BLACKPINK ka bilangin ke bpk presiden ppkm nya jangan lama" gitu mau nonton @BLACKPINK</t>
  </si>
  <si>
    <t>ka bilangin ke bpk presiden ppkm nya jangan lama" gitu mau nonton</t>
  </si>
  <si>
    <t>@patriafess Emang yakin ppkm gak di perpanjang?</t>
  </si>
  <si>
    <t>Emang yakin ppkm gak di perpanjang?</t>
  </si>
  <si>
    <t>Siap siap pengumuman perpanjang ppkm haha</t>
  </si>
  <si>
    <t>@senahansol02 Udah tau ppkm masih aja berkerumun, tapi itu sebenarnya hak mereka ya tapi gimana yaa</t>
  </si>
  <si>
    <t>Udah tau ppkm masih aja berkerumun, tapi itu sebenarnya hak mereka ya tapi gimana yaa</t>
  </si>
  <si>
    <t>Perundang-undangan semu = Intruksi Mentri = PPKM 
 Sekarang semua lebih takut sama peraturan kebijakan ketimbang UUD atau UU</t>
  </si>
  <si>
    <t>Perundang-undangan semu = Intruksi Mentri = PPKM Sekarang semua lebih takut sama peraturan kebijakan ketimbang UUD atau UU</t>
  </si>
  <si>
    <t>@detikcom Saat PPKM Level 3&amp;amp;4 di akhiri/ dilonggarkan ...yg pasti memang betul akan terjadi dendam rakyat pergi ber-bondong2 ke tempat2 hiburan &amp;amp; pariwisata tak terbendung ...padahal msh ada sisa wabah Virus Corona ...maka disitulah meledaknya penderita Covid seperti bom atom ..pasti..!!!</t>
  </si>
  <si>
    <t>Saat PPKM Level &amp;amp;4 di akhiri/ dilonggarkan ...yg pasti memang betul akan terjadi dendam rakyat pergi ber-bondong2 ke tempat2 hiburan &amp;amp; pariwisata tak terbendung ...padahal msh ada sisa wabah Virus Corona ...maka disitulah meledaknya penderita Covid seperti bom atom ..pasti..!!!</t>
  </si>
  <si>
    <t>@permenrasachoco Ldr, ppkm, love languages physical touch mampus gatu :')</t>
  </si>
  <si>
    <t>Ldr, ppkm, love languages physical touch mampus gatu :')</t>
  </si>
  <si>
    <t>@isalsaurus jaman sulit pak, ppkm ga ada solusi buat rakyat miskin, pedsgang kecil. Udh pasti banget kalo tingkat ekonomi nya kecik, pengangguran dimana2, cari makan susah = kejahatan meningkat</t>
  </si>
  <si>
    <t>jaman sulit pak, ppkm ga ada solusi buat rakyat miskin, pedsgang kecil. Udh pasti banget kalo tingkat ekonomi nya kecik, pengangguran dimana2, cari makan susah = kejahatan meningkat</t>
  </si>
  <si>
    <t>Berhubung ppkm jadi di kosan doang, jadi yaudah jajan baju gemes aja 🙂</t>
  </si>
  <si>
    <t>Berhubung ppkm jadi di kosan doang, jadi yaudah jajan baju gemes aja</t>
  </si>
  <si>
    <t>@reyhansagevtii after aja ppkm mening , mana cukup 20 menit yekan</t>
  </si>
  <si>
    <t>after aja ppkm mening , mana cukup menit yekan</t>
  </si>
  <si>
    <t>edisi ppkm...jual semua aset yg ada demi kelancaran hidup.... https://t.co/XOWAOZ4hJ5</t>
  </si>
  <si>
    <t>edisi ppkm...jual semua aset yg ada demi kelancaran hidup....</t>
  </si>
  <si>
    <t>Jangan sampai ppkm di perpanjang lg dong pliisss :(</t>
  </si>
  <si>
    <t>Jangan sampai ppkm di perpanjang lg dong pliisss</t>
  </si>
  <si>
    <t>PPKM nyicil seminggu seminggu,tiba tiba udah satu tahun aja</t>
  </si>
  <si>
    <t>@berdurihalus @Askrlfess Jdi males ngapa ngapain klo ppkm mulu, mau nugas dirumah aja pun jadi badmood:(</t>
  </si>
  <si>
    <t>Jdi males ngapa ngapain klo ppkm mulu, mau nugas dirumah aja pun jadi badmood</t>
  </si>
  <si>
    <t>@DPR_RI YTH.....
 Bapak/ibu DPRI.
  Rakyat sudah jenuh dengan ppkm selalu di perpanjang terus, Rakyat sudah menyerah dan pasrah dan perekonomian Rakyat hancur dan imun rakyat sdah pd lemah karna memikirkan biyaya bat maka, bayaran sekolah anak, pembayaran listrik dan pembayaran komtrakan</t>
  </si>
  <si>
    <t>YTH.....Bapak/ibu DPRI. Rakyat sudah jenuh dengan ppkm selalu di perpanjang terus, Rakyat sudah menyerah dan pasrah dan perekonomian Rakyat hancur dan imun rakyat sdah pd lemah karna memikirkan biyaya bat maka, bayaran sekolah anak, pembayaran listrik dan pembayaran komtrakan</t>
  </si>
  <si>
    <t>@detikcom Minggu lalu ke bekasi dari jakarta gak kliatan tuh PPKM nya... Biasa aja jalanan..</t>
  </si>
  <si>
    <t>Minggu lalu ke bekasi dari jakarta gak kliatan tuh PPKM nya... Biasa aja jalanan..</t>
  </si>
  <si>
    <t>@KhrnsaaRaa @Askrlfess Ga kelar2, apa2 jd kehalang ppkm mulu arghhhhhhhhhhhhhhhhhhhhh</t>
  </si>
  <si>
    <t>Ga kelar2, apa2 jd kehalang ppkm mulu arghhhhhhhhhhhhhhhhhhhhh</t>
  </si>
  <si>
    <t>Ada untungnya ppkm, kmren sore JJS ke Malioboro. Bersih banget, gak ada sampah.suasana jadi tenang</t>
  </si>
  <si>
    <t>@GreysPolii @BLACKPINK abis ppkm si kayanya 
 FIVE YEARS WITH BLACKPINK
 #BLACKPINK5thAnniversary
 #블랙핑크_오주년_블링크랑_오래오래</t>
  </si>
  <si>
    <t>abis ppkm si kayanya FIVE YEARS WITH BLACKPINK</t>
  </si>
  <si>
    <t>@chitaglorya Iya kak Chita
 Sangat terbantu sekali dengan adanya GA
 Apalagi di saat PPKM gini...
 Pokoknya semangat terus...
 Semua kulakukan demi kebahagiaan keluarga
 Demi mencukupi kebutuhan
 Niat yg baik insyaallah dipermudah.
 Semangat 💪
 Love kak Chita 💕</t>
  </si>
  <si>
    <t>Iya kak ChitaSangat terbantu sekali dengan adanya GAApalagi di saat PPKM gini...Pokoknya semangat terus...Semua kulakukan demi kebahagiaan keluargaDemi mencukupi kebutuhanNiat yg baik insyaallah dipermudah.Semangat Love kak Chita</t>
  </si>
  <si>
    <t>Sudah lama tidak self reward dengan keliling mall sendirian, kapan PPKM selesai? https://t.co/p15b9f4Bye</t>
  </si>
  <si>
    <t>Sudah lama tidak self reward dengan keliling mall sendirian, kapan PPKM selesai?</t>
  </si>
  <si>
    <t>Aktivitas di PPKM kasih makan peliharaan, mutar2 d rmh...kalo dulu mutar mutar di mall kasih makan peliharaan.</t>
  </si>
  <si>
    <t>udah bela2in bangun pagi trus dapet notif WA , "km libur y fer masih PPKM" 😌</t>
  </si>
  <si>
    <t>udah bela2in bangun pagi trus dapet notif WA , "km libur y fer masih PPKM"</t>
  </si>
  <si>
    <t>@detikcom Undangan undangan PPKM itu hanya berlaku bagi rakyat Indonesia kalau dari luar mau dari luar angkasa boleh masuk lah</t>
  </si>
  <si>
    <t>Undangan undangan PPKM itu hanya berlaku bagi rakyat Indonesia kalau dari luar mau dari luar angkasa boleh masuk lah</t>
  </si>
  <si>
    <t>Min @PRFMnews selama PPKM samsat outlet ITC Kebon Kalapa beroperasi normal?</t>
  </si>
  <si>
    <t>Min selama PPKM samsat outlet ITC Kebon Kalapa beroperasi normal?</t>
  </si>
  <si>
    <t>Di kritisi demo ppkm tapi tak beri solusi.
 Ini solusi kami.
 Potong gaji kalian wahai anggota mpr terhormat, 50% untuk bantu menalangi biaya yang dibutuhkan memghadapi pandemi.
 Mau?</t>
  </si>
  <si>
    <t>Di kritisi demo ppkm tapi tak beri solusi.Ini solusi kami.Potong gaji kalian wahai anggota mpr terhormat, % untuk bantu menalangi biaya yang dibutuhkan memghadapi pandemi.Mau?</t>
  </si>
  <si>
    <t>@nurvetiroshelly Cukup PPKM jalanan yang ditutup. Hati kamu jangan ditutup untukku. Gitu Ndut</t>
  </si>
  <si>
    <t>Cukup PPKM jalanan yang ditutup. Hati kamu jangan ditutup untukku. Gitu Ndut</t>
  </si>
  <si>
    <t>@Rahmatdarmawa der keun ka bandung bro beres ppkm 😁</t>
  </si>
  <si>
    <t>der keun ka bandung bro beres ppkm</t>
  </si>
  <si>
    <t>ppkm diperpanjang lg gasi? pengen cus ke hybe gua</t>
  </si>
  <si>
    <t>Ppkm level4 diperpanjang lagi ngga nih? Kok feeling gua bakal d perpanjang sampe tanggal 16 ya :( 
 Dilanjut lagi gitu kemiskinan dan kesusahan kita nya :(</t>
  </si>
  <si>
    <t>Ppkm level4 diperpanjang lagi ngga nih? Kok feeling gua bakal d perpanjang sampe tanggal ya Dilanjut lagi gitu kemiskinan dan kesusahan kita nya</t>
  </si>
  <si>
    <t>Kpn si ppkm ga di perpanjang stress tauu</t>
  </si>
  <si>
    <t>PPKM (Pagi Pagi Kamu Manis) @N_AraJKT48 @Celine_JKT48 
 @paragonpics_ 
 #MabarValkyrie48</t>
  </si>
  <si>
    <t>PPKM (Pagi Pagi Kamu Manis)</t>
  </si>
  <si>
    <t>Semoga ppkm tidak diperpanjang🙏</t>
  </si>
  <si>
    <t>Semoga ppkm tidak diperpanjang</t>
  </si>
  <si>
    <t>Sdh tanggal 9 nih, diperpanjang lagi kah.
 Sampai kpn "diborgol" PPKM?
 *pict nyomot gugel https://t.co/zDzeAf22Ya</t>
  </si>
  <si>
    <t>Sdh tanggal nih, diperpanjang lagi kah.Sampai kpn "diborgol" PPKM?*pict nyomot gugel</t>
  </si>
  <si>
    <t>Menangis di hari senin adalah ketika ppkm banyak penyekatan di stasiun multitrip gda saldo emoney ilang :") ah indah bgt senin ku</t>
  </si>
  <si>
    <t>@geloraco Apa fungsi di PPKM klo yg dari luar masih boleh masuk,,, dagelan..</t>
  </si>
  <si>
    <t>Apa fungsi di PPKM klo yg dari luar masih boleh masuk,,, dagelan..</t>
  </si>
  <si>
    <t>Selamat pagi, hari terakhir perpanjangan PPKM, feeling gw sih diperpanjang lagi krn angka kasus covid harian msh tinggi. PPKM basa-basi, krn di jalanan gw lihat mobil &amp;amp; sepeda motor ramai, titik penyekatan cuma ada tendanya doang, penghalang jalan jg digeser dikit spy bs lewat 😆</t>
  </si>
  <si>
    <t>Selamat pagi, hari terakhir perpanjangan PPKM, feeling gw sih diperpanjang lagi krn angka kasus covid harian msh tinggi. PPKM basa-basi, krn di jalanan gw lihat mobil &amp;amp; sepeda motor ramai, titik penyekatan cuma ada tendanya doang, penghalang jalan jg digeser dikit spy bs lewat</t>
  </si>
  <si>
    <t>ini ppkm beneran di perpanjang lagi? 😭</t>
  </si>
  <si>
    <t>ini ppkm beneran di perpanjang lagi?</t>
  </si>
  <si>
    <t>Udah Senin lagi aja, btw ppkm Apakabar ya? Apa masih lanjut?</t>
  </si>
  <si>
    <t>Apakah besok ada lagi pengumuman ppkm akan diperpanjang?</t>
  </si>
  <si>
    <t>Semakin parah ni rezim,pemanfaatan situasi yg selalu di manfaatkan dan di ada2kan, dan selalu di buat2,bener2 memang mau di sengsarakan rakyat jelata, dan tanpa solusi mengatasi efek PPKM yg di perpanjang,..
 Bngkitlah wahai rakyat, sdh saatnya lawan pembodohan dan pemiskinan ini https://t.co/FNJTYriUI7</t>
  </si>
  <si>
    <t>Semakin parah ni rezim,pemanfaatan situasi yg selalu di manfaatkan dan di ada2kan, dan selalu di buat2,bener2 memang mau di sengsarakan rakyat jelata, dan tanpa solusi mengatasi efek PPKM yg di perpanjang,..Bngkitlah wahai rakyat, sdh saatnya lawan pembodohan dan pemiskinan ini</t>
  </si>
  <si>
    <t>@kumparan Saya pengen jadi pro player divisi game Zuma pak. Tolong dibantu karena sudah muak PPKM!</t>
  </si>
  <si>
    <t>Saya pengen jadi pro player divisi game Zuma pak. Tolong dibantu karena sudah muak PPKM!</t>
  </si>
  <si>
    <t>Duh geli bgt sm covidiottt bisa gak usah jalan2 gak ppkm kaya gini!!!</t>
  </si>
  <si>
    <t>Di negara maju, salah satu standar utk menjaga KEAMANAN MAKANAN adlah koki atau pembuat makanannya menggunakan masker &amp;amp; cap untuk nutupin kepala.
 Ini basic standar. Andai semua penjual warteg, pedagang kaki lima, restoran di Indonesia menerapkan ini PPKM tidak perlu dilakukan.</t>
  </si>
  <si>
    <t>Di negara maju, salah satu standar utk menjaga KEAMANAN MAKANAN adlah koki atau pembuat makanannya menggunakan masker &amp;amp; cap untuk nutupin kepala.Ini basic standar. Andai semua penjual warteg, pedagang kaki lima, restoran di Indonesia menerapkan ini PPKM tidak perlu dilakukan.</t>
  </si>
  <si>
    <t>Cukup jalan aja yg ditutup saat ppkm hatimu jangan 
 @Celine_JKT48 
 @N_AraJKT48 
 @paragonpics_ 
 #MabarValkyrie48</t>
  </si>
  <si>
    <t>Cukup jalan aja yg ditutup saat ppkm hatimu jangan</t>
  </si>
  <si>
    <t>ppkm udahan yuuuu plis bangett udah cape di rumah udah mumet di rumah</t>
  </si>
  <si>
    <t>@zwegchinsched tahan masi ppkm</t>
  </si>
  <si>
    <t>tahan masi ppkm</t>
  </si>
  <si>
    <t>@awgeson @raegspatter Ooops hahha
 Ini ceritanya lagi PPKM yah jaga jarak wkwkwk</t>
  </si>
  <si>
    <t>Ooops hahhaIni ceritanya lagi PPKM yah jaga jarak wkwkwk</t>
  </si>
  <si>
    <t>@geloraco Rakyat harus patuhi PPKM !!</t>
  </si>
  <si>
    <t>Rakyat harus patuhi PPKM !!</t>
  </si>
  <si>
    <t>@EdiMahaMG @MiniGoldID PPKM diperpanjang. 
 Emang gak ada skala prioritas utk beri bantuan pada rakyat. 
 Kalaupun ada bantuan yg sudah turun, itu hanya sedikit yg menerimanya alias gak rata. Sekedar membungkam mulut warga yg protes krn bantuan yg gak turun².</t>
  </si>
  <si>
    <t>PPKM diperpanjang. Emang gak ada skala prioritas utk beri bantuan pada rakyat. Kalaupun ada bantuan yg sudah turun, itu hanya sedikit yg menerimanya alias gak rata. Sekedar membungkam mulut warga yg protes krn bantuan yg gak turun.</t>
  </si>
  <si>
    <t>PPKM
 Pas Punya Kamu Menghindar</t>
  </si>
  <si>
    <t>PPKMPas Punya Kamu Menghindar</t>
  </si>
  <si>
    <t>Seperti nya ppkm akan di perpanjang sampai 17 agustus ~</t>
  </si>
  <si>
    <t>Seperti nya ppkm akan di perpanjang sampai agustus ~</t>
  </si>
  <si>
    <t>Paris gaada PPKM</t>
  </si>
  <si>
    <t>TKA Cina boleh masuk berkeliaran disaat PPKM dgn alasan mereka punya Kitas, rakyat Indonesia sendiri ngga boleh bergerak padahal sbg pemilik bangsa dan negara.
 Ini pemerintah atau penjajah?</t>
  </si>
  <si>
    <t>TKA Cina boleh masuk berkeliaran disaat PPKM dgn alasan mereka punya Kitas, rakyat Indonesia sendiri ngga boleh bergerak padahal sbg pemilik bangsa dan negara.Ini pemerintah atau penjajah?</t>
  </si>
  <si>
    <t>Kalo ppkm diperpanjang, 17 Agustus jadi merdeka ga ni?</t>
  </si>
  <si>
    <t>Kalo ppkm diperpanjang, Agustus jadi merdeka ga ni?</t>
  </si>
  <si>
    <t>Kita lihat… apakah hari ini ppkm bakal di perpanjang lagi atau tidak</t>
  </si>
  <si>
    <t>Kita lihat apakah hari ini ppkm bakal di perpanjang lagi atau tidak</t>
  </si>
  <si>
    <t>Bank BNI Pandaan-JATIM, utk dpt playann hrus dtng dini hr, stngah 7 pgi antrian BankBNI sdh close utk dpt playann CS, ap sprti ni strtginy spy msyrkat tdk bisa ambil uang dbank, prputrn uang dbank BUMN sngja dbuat delay, PPKM ya PPKM tpi gak gini2 amat
 #bumnuntukindonesia 
 #bumn https://t.co/rXDYja8fjf</t>
  </si>
  <si>
    <t>Bank BNI Pandaan-JATIM, utk dpt playann hrus dtng dini hr, stngah pgi antrian BankBNI sdh close utk dpt playann CS, ap sprti ni strtginy spy msyrkat tdk bisa ambil uang dbank, prputrn uang dbank BUMN sngja dbuat delay, PPKM ya PPKM tpi gak gini2 amat</t>
  </si>
  <si>
    <t>Wishku hari ini, ppkm musnah klok bisa sampe koronanya ilang kntl</t>
  </si>
  <si>
    <t>Ppkm diperpanjang lagi ga ya?</t>
  </si>
  <si>
    <t>(PPKM) : Pentas Pemerintah Kategori Modus.. 
 Pak Jokowi &amp;amp; Luhut .. piye iki.. 
 https://t.co/abuyv3EPcV</t>
  </si>
  <si>
    <t>(PPKM) : Pentas Pemerintah Kategori Modus.. Pak Jokowi &amp;amp; Luhut .. piye iki..</t>
  </si>
  <si>
    <t>@mmkstgantimulu lg ppkm beb</t>
  </si>
  <si>
    <t>lg ppkm beb</t>
  </si>
  <si>
    <t>@ilchilttaeng @infobandung @infobdg Iya belum, kemarin beres PPKM juga masih tutup, cuma tukang dagang sekitaran saparua mah buka</t>
  </si>
  <si>
    <t>Iya belum, kemarin beres PPKM juga masih tutup, cuma tukang dagang sekitaran saparua mah buka</t>
  </si>
  <si>
    <t>9 Agustus, hari terakhir PPKM Level 4(klo ga diperpanjang)
 Final match :
 PCR+Vaksin vs Antigen</t>
  </si>
  <si>
    <t>Agustus, hari terakhir PPKM Level (klo ga diperpanjang)Final match CR+Vaksin vs Antigen</t>
  </si>
  <si>
    <t>Selamat pagi dari aku yang pusing dan sudah siap nerima kabar ppkm diperpanjang lagi. https://t.co/F98WjHtVj1</t>
  </si>
  <si>
    <t>Selamat pagi dari aku yang pusing dan sudah siap nerima kabar ppkm diperpanjang lagi.</t>
  </si>
  <si>
    <t>Assallamuallaikum
 Selamat pagi Guys !
 Hari ini senin 09 Agustus 2021
 merupakan hari terakhir pemberlakuan PPKM level 4
 Tebakan yuk !
 Diperpanjang lagi apa gak ?
 a. Diperpanjang 🔁rt
 b. T i d a k ❤️lk
 [ kasih komen guys ]</t>
  </si>
  <si>
    <t>AssallamuallaikumSelamat pagi Guys !Hari ini senin Agustus merupakan hari terakhir pemberlakuan PPKM level Tebakan yuk !Diperpanjang lagi apa gak ?a. Diperpanjang rtb. T i d a k lk[ kasih komen guys ]</t>
  </si>
  <si>
    <t>@BrownSugarrr555 PPKM NIH</t>
  </si>
  <si>
    <t>PPKM NIH</t>
  </si>
  <si>
    <t>Cara Tiongkok mengatasi pandemic dg penduduk 2 Milyar, setiap warga wajib swab test antigen seminggu sekali, jika positif langsung dikarantina pemerintah.
 Apakah ini lebih efektif Dok @dayatia @BNPB_Indonesia drpd membiayai pasien covid dan PPKM ekonomi melemah. https://t.co/0VL1cdXhCv</t>
  </si>
  <si>
    <t>Cara Tiongkok mengatasi pandemic dg penduduk Milyar, setiap warga wajib swab test antigen seminggu sekali, jika positif langsung dikarantina pemerintah.Apakah ini lebih efektif Dok drpd membiayai pasien covid dan PPKM ekonomi melemah.</t>
  </si>
  <si>
    <t>Ditungguin ttg ppkm diperpanjang atau kaga, ini malah main 😔 https://t.co/hJjTsmGVZA</t>
  </si>
  <si>
    <t>Ditungguin ttg ppkm diperpanjang atau kaga, ini malah main</t>
  </si>
  <si>
    <t>Donasi dan distribusi TAHU-TEMPE untuk masyarakat di kampung - kampung yang sulit &amp;amp; tidak ada penghasilan selama PPKM/Covid19 https://t.co/HmrrO7b1oO</t>
  </si>
  <si>
    <t>Donasi dan distribusi TAHU-TEMPE untuk masyarakat di kampung - kampung yang sulit &amp;amp; tidak ada penghasilan selama PPKM/Covid19</t>
  </si>
  <si>
    <t>@coklatmahal ok kalo dah ga ppkm ke mcd bareng y</t>
  </si>
  <si>
    <t>ok kalo dah ga ppkm ke mcd bareng y</t>
  </si>
  <si>
    <t>Jika pandemi covid 19 tidak kunjung usai, sampai kapan PPKM diberlalukan?
 Sementara sebagian besar pengusaha dan PKL serta rakyat sudah mulai menjerit.
 Apakah mencoba hidup berdampingan dg covid 19 atau menganggap covid 19 sama dg virus biasa (pilek dll) akan menjadi solusi?</t>
  </si>
  <si>
    <t>Jika pandemi covid tidak kunjung usai, sampai kapan PPKM diberlalukan?Sementara sebagian besar pengusaha dan PKL serta rakyat sudah mulai menjerit.Apakah mencoba hidup berdampingan dg covid atau menganggap covid sama dg virus biasa (pilek dll) akan menjadi solusi?</t>
  </si>
  <si>
    <t>ppkm di perpanjang lagi ga wa?</t>
  </si>
  <si>
    <t>@shiroyuk1_ @sintiaastarina Pengennn kalo udah ga ada PPKM :(</t>
  </si>
  <si>
    <t>Pengennn kalo udah ga ada PPKM</t>
  </si>
  <si>
    <t>@radenrauf Cuma mau bisa pulang secepatnya n kumpul lagi dgn ibuuu dan org² terkasih. Woy ayolah sampe kapan lagi ppkm niiiii</t>
  </si>
  <si>
    <t>Cuma mau bisa pulang secepatnya n kumpul lagi dgn ibuuu dan org terkasih. Woy ayolah sampe kapan lagi ppkm niiiii</t>
  </si>
  <si>
    <t>@Askrlfess KAPAN GUE JADI KESINI YA ALLAH PPKM MULU😭</t>
  </si>
  <si>
    <t>KAPAN GUE JADI KESINI YA ALLAH PPKM MULU</t>
  </si>
  <si>
    <t>@jawafess Sekarang kelas menengah banyak yg berubah menjadi "kelas bawah". Usaha tempat e bekerja sangat terimbas PPKM, bansos ra entuk. Musmeth</t>
  </si>
  <si>
    <t>Sekarang kelas menengah banyak yg berubah menjadi "kelas bawah". Usaha tempat e bekerja sangat terimbas PPKM, bansos ra entuk. Musmeth</t>
  </si>
  <si>
    <t>Emang bener2 ini PPKM pagi2 mau nyari susu aja susah bener</t>
  </si>
  <si>
    <t>Menunggu pemerintah memperpanjang ppkm</t>
  </si>
  <si>
    <t>Ga kerasa udah tgl 9, kira” ppkm bakal diperpanjang apa engga ya??? Berdoa semoga yg terbaik ae lah</t>
  </si>
  <si>
    <t>Ga kerasa udah tgl , kira ppkm bakal diperpanjang apa engga ya??? Berdoa semoga yg terbaik ae lah</t>
  </si>
  <si>
    <t>selamat pagi, semoga menyenangkan hari senin nya😉 
 harusnya ini PPKM terakhir tgl 9</t>
  </si>
  <si>
    <t>selamat pagi, semoga menyenangkan hari senin nya harusnya ini PPKM terakhir tgl</t>
  </si>
  <si>
    <t>Kangen bgt misa tanpa ppkm or social distancing. Udah sebulan ngelayanin misa livestreaming di gereja, ngerasa sepi banget gada umat. Tapi bersyukur msh bisa ngelayanin Tuhan di tengah pandemi. https://t.co/Atrjb0UZ32</t>
  </si>
  <si>
    <t>Kangen bgt misa tanpa ppkm or social distancing. Udah sebulan ngelayanin misa livestreaming di gereja, ngerasa sepi banget gada umat. Tapi bersyukur msh bisa ngelayanin Tuhan di tengah pandemi.</t>
  </si>
  <si>
    <t>@detikcom Hadeh, mau sampai kpn ppkm selesai 😓</t>
  </si>
  <si>
    <t>Hadeh, mau sampai kpn ppkm selesai</t>
  </si>
  <si>
    <t>@SriAni65044843 @MawarHi63620132 Via DM mbak Yu efek PPKM 😀</t>
  </si>
  <si>
    <t>Via DM mbak Yu efek PPKM</t>
  </si>
  <si>
    <t>@AyangCakep Enaknya jadi ketua MPR rezim Halu begitu di demo Rakyatnya minta solusi...ngapain yak sekolah tinggi tinggi.
 PPKM MO DILANJUT TIDAK?
 Tanya sang presiden?</t>
  </si>
  <si>
    <t>Enaknya jadi ketua MPR rezim Halu begitu di demo Rakyatnya minta solusi...ngapain yak sekolah tinggi tinggi.PPKM MO DILANJUT TIDAK?Tanya sang presiden?</t>
  </si>
  <si>
    <t>ppkm batam berakhir hari ini (?)</t>
  </si>
  <si>
    <t>@tokopedia Terserah deh lagu apa tpi plis ajakin mereka main game kayak di lomba 17an MINTO 😭 lagi ppkm dan kangen lomba 17an nih, liat bangtan main game gitu buat hilangin kekangenan ini 😭 ya Allah, gw rese banget sii, mian mintoo 😭</t>
  </si>
  <si>
    <t>Terserah deh lagu apa tpi plis ajakin mereka main game kayak di lomba an MINTO lagi ppkm dan kangen lomba an nih, liat bangtan main game gitu buat hilangin kekangenan ini ya Allah, gw rese banget sii, mian mintoo</t>
  </si>
  <si>
    <t>@abe_bdi haduuuu ppkm drivethru gase</t>
  </si>
  <si>
    <t>haduuuu ppkm drivethru gase</t>
  </si>
  <si>
    <t>@radenrauf Udah pagi. Masih boleh berharap ga :')
 Semoga keputusan ppkm tidak di perpanjang.
 Tolonglah dompet dan atm saya butuh makan</t>
  </si>
  <si>
    <t>Udah pagi. Masih boleh berharap ga :')Semoga keputusan ppkm tidak di perpanjang.Tolonglah dompet dan atm saya butuh makan</t>
  </si>
  <si>
    <t>@menfesssyg jujurly iya bgt, kek kesel bgt gasii kita udah nahan bosen di rumah kayak orng sinting trs tb" liat tmn up story/sw ke cafe/ngumpul dmn gt rame" DAN GA PROKES anying sumpah kesel bgt demi apapun lu gatau apa ini br ppkm anjir?! pny otak dipake</t>
  </si>
  <si>
    <t>jujurly iya bgt, kek kesel bgt gasii kita udah nahan bosen di rumah kayak orng sinting trs tb" liat tmn up story/sw ke cafe/ngumpul dmn gt rame" DAN GA PROKES anying sumpah kesel bgt demi apapun lu gatau apa ini br ppkm anjir?! pny otak dipake</t>
  </si>
  <si>
    <t>Ada lagi informasi masuknya wna ke Indonesia di masa ppkm dan larangan wna tidak boleh masuk ke Indonesia...
 Kenapa masyarakat awam dikasih polemik seperti ini lagi..tambah pusing Pak
  lebih bijaksana lah dan mendengar rakyat nya Pak Bapak pemilik kekuasaan..
 Tolong Pak</t>
  </si>
  <si>
    <t>Ada lagi informasi masuknya wna ke Indonesia di masa ppkm dan larangan wna tidak boleh masuk ke Indonesia...Kenapa masyarakat awam dikasih polemik seperti ini lagi..tambah pusing Pak lebih bijaksana lah dan mendengar rakyat nya Pak Bapak pemilik kekuasaan..Tolong Pak</t>
  </si>
  <si>
    <t>@Mila_Mumtaz23 Kita langgar aturan, berani gak? 
 Gak perlu nunggu PPKM bgst ini berlalu? 
 Berani gak Nona @Mila_Mumtaz23 ?</t>
  </si>
  <si>
    <t>Kita langgar aturan, berani gak? Gak perlu nunggu PPKM bgst ini berlalu? Berani gak Nona ?</t>
  </si>
  <si>
    <t>@ariefhutapea @Cobeh09 @VIVAcoid Solusi apa yg rejim punya blok? Itu 34 WN china masuk saat PPKM level 4 dimana suaramu tolol?</t>
  </si>
  <si>
    <t>Solusi apa yg rejim punya blok? Itu WN china masuk saat PPKM level dimana suaramu tolol?</t>
  </si>
  <si>
    <t>Geh! Nak unils nanya dong. Gue mau balikin buku ke perpus tapi kemarin2 gak bisa masuk krn portal ditutup pas ppkm, kalo kesana hari ini udah bisa kembalikan buku blm? Mau urus surat bebas perpus buat kompre:(</t>
  </si>
  <si>
    <t>Geh! Nak unils nanya dong. Gue mau balikin buku ke perpus tapi kemarin2 gak bisa masuk krn portal ditutup pas ppkm, kalo kesana hari ini udah bisa kembalikan buku blm? Mau urus surat bebas perpus buat kompre</t>
  </si>
  <si>
    <t>Hari ini terakhir PPKM 
 .
 .
 .
 .
 .
 .
 .
 .
 .
 .
 .
 .
 .
 .
 .
 .
 .
 .
 .
 .
 .
 .
 .
 .
 .
 .
 .
 .
 .
 .
 .
 .
 .
 .
 .
 .
 .
 .
 .
 .
 .
 .
 .
 Katanya</t>
  </si>
  <si>
    <t>Hari ini terakhir PPKM ...........................................Katanya</t>
  </si>
  <si>
    <t>@archongyun Hoo iya, masih ppkm sih yaa</t>
  </si>
  <si>
    <t>Hoo iya, masih ppkm sih yaa</t>
  </si>
  <si>
    <t>@rnsalsabila_ mengsedih maunya ppkm level 3</t>
  </si>
  <si>
    <t>mengsedih maunya ppkm level</t>
  </si>
  <si>
    <t>Masih PPKM gak ya?</t>
  </si>
  <si>
    <t>@CNNIndonesia Katanya ppkm, kok wna asing bisa masuk ?. Warga sendiri susah kemana2 adeh</t>
  </si>
  <si>
    <t>Katanya ppkm, kok wna asing bisa masuk ?. Warga sendiri susah kemana2 adeh</t>
  </si>
  <si>
    <t>@msaid_didu Ketua @mprgoid harus nya anda protes TKA china masuk indonesia saat PPKM dimana rakyat sendiri di hukum sedemikian rupa jika melanggar nya , dimana hati dan otak kalian di simpan?</t>
  </si>
  <si>
    <t>Ketua harus nya anda protes TKA china masuk indonesia saat PPKM dimana rakyat sendiri di hukum sedemikian rupa jika melanggar nya , dimana hati dan otak kalian di simpan?</t>
  </si>
  <si>
    <t>demiallah kalo ppkm diperpanjang lagi gue kaga bisa pulang</t>
  </si>
  <si>
    <t>@bertanyarl Yg bener tuh PPKM diperpanjang atau tidak? Diperpanjang atau tidak?</t>
  </si>
  <si>
    <t>Yg bener tuh PPKM diperpanjang atau tidak? Diperpanjang atau tidak?</t>
  </si>
  <si>
    <t>PPKM diperpanjang jadi PPKMMMMMMMMMMMMMMMMMMMMMMMMMMMMMMMMMM</t>
  </si>
  <si>
    <t>moga hari ini ppkm terakhir, aku udah pgn main bgt :(( , bosen satu setengah bulan di rumah doang 😿</t>
  </si>
  <si>
    <t>moga hari ini ppkm terakhir, aku udah pgn main bgt , bosen satu setengah bulan di rumah doang</t>
  </si>
  <si>
    <t>Hilal udah keliatan belum? 
 Ppkm diperpanjang lagi gak ?</t>
  </si>
  <si>
    <t>Hilal udah keliatan belum? Ppkm diperpanjang lagi gak ?</t>
  </si>
  <si>
    <t>@EdiMahaMG @Mdy_Asmara1701 @MiniGoldID PPKM gak ngasih makan krn menganggap rakyat itu jd BEBAN, tp utk gerombolannya bgm cuan masuk terus. Pengadaan laptop..??</t>
  </si>
  <si>
    <t>PPKM gak ngasih makan krn menganggap rakyat itu jd BEBAN, tp utk gerombolannya bgm cuan masuk terus. Pengadaan laptop..??</t>
  </si>
  <si>
    <t>Cakeeep.... kayak kukisss... eh.. mensyen kata ini...
 Aaah .. pake alesan PPKM ajah deh yak 🤭 https://t.co/KY7hZIsDfW</t>
  </si>
  <si>
    <t>Cakeeep.... kayak kukisss... eh.. mensyen kata ini...Aaah .. pake alesan PPKM ajah deh yak</t>
  </si>
  <si>
    <t>PPKM cuma Dirumah bikin bosan dan Bete ?
 Mari Join di Mangga2poker yuk Situs IDNPOKER yang pastinya gacor Link : https://t.co/4hdunh1jhj
 #sange #TenggelamkanPartaiDemokrat #AturanRuwet
 #FPKSPotongGajiLagi #mangga2poker #pokerdepositpulsa #judipulsa #idnpoker #idnplay https://t.co/75X0c8XSAS</t>
  </si>
  <si>
    <t>PPKM cuma Dirumah bikin bosan dan Bete ?Mari Join di Mangga2poker yuk Situs IDNPOKER yang pastinya gacor Link :</t>
  </si>
  <si>
    <t>Harusnya kita bersyukur mempunyai SDM seperti Pak Luhut yg amat multitalenta dalam segala lini sektoran, dimulai plt mentri, koordinator ppkm, pengarah penyelamatan danau prioritas nasional, sampai tka cina. Bismillah Komisaris warteg bahari!</t>
  </si>
  <si>
    <t>Sudah tanggal 9 Agustus
 Kira-kira pak Dhe @jokowi mau perpanjang PPKM lagi gak ya?
 STOP #AturanRuwet https://t.co/9qZiCIzHwq</t>
  </si>
  <si>
    <t>Sudah tanggal AgustusKira-kira pak Dhe mau perpanjang PPKM lagi gak ya?STOP</t>
  </si>
  <si>
    <t>Makin PPKM makin sadar klo hidup bukan tentang perkara teman aja,lambat laun juga klo lu g berguna bagi dia ,dia bakal ninggalin lu.
 #bawaenjoyajagaksi</t>
  </si>
  <si>
    <t>Makin PPKM makin sadar klo hidup bukan tentang perkara teman aja,lambat laun juga klo lu g berguna bagi dia ,dia bakal ninggalin lu.</t>
  </si>
  <si>
    <t>Info perpanjang ppkm gaes</t>
  </si>
  <si>
    <t>Ppkm bakalan diperpanjang lg gak ya🤔</t>
  </si>
  <si>
    <t>Ppkm bakalan diperpanjang lg gak ya</t>
  </si>
  <si>
    <t>apakah masih PPKM?</t>
  </si>
  <si>
    <t>Lebih baik dijajah bangsa asing jelas musuhnya, warna kulitnya beda bahasanya..ketimbang saat ini, selamat PPKM ya ges 🙏</t>
  </si>
  <si>
    <t>Lebih baik dijajah bangsa asing jelas musuhnya, warna kulitnya beda bahasanya..ketimbang saat ini, selamat PPKM ya ges</t>
  </si>
  <si>
    <t>@democrazymedia Trus apa tindakan nya, sementara rakyat indonesia suruh berdiam diri di rumah....apakah ini strategi khusus, bahwa ppkm itu menjadikan TKA China leluasa masuk di bumi tercinta ?!?!</t>
  </si>
  <si>
    <t>Trus apa tindakan nya, sementara rakyat indonesia suruh berdiam diri di rumah....apakah ini strategi khusus, bahwa ppkm itu menjadikan TKA China leluasa masuk di bumi tercinta ?!?!</t>
  </si>
  <si>
    <t>@chupacups00 time to see ppkm diperpanjang lagi atau tidak🙄</t>
  </si>
  <si>
    <t>time to see ppkm diperpanjang lagi atau tidak</t>
  </si>
  <si>
    <t>Ppkm d take over atw tidak ya? 
 🙄</t>
  </si>
  <si>
    <t>Ppkm d take over atw tidak ya?</t>
  </si>
  <si>
    <t>Setelah w liat2 anjir selebgram2 pd jalan2 dah ppkm gini yaampon</t>
  </si>
  <si>
    <t>Naik bus selepas shubuh. Magelang temanggung. Sepi. Penumpang cuman saya dan sopir. PPKm lanjut Monggo.. di cabut ya Monggo kata sopir... Seng penting obah, sambil Prokes... https://t.co/6b8RqBOsAC</t>
  </si>
  <si>
    <t>Naik bus selepas shubuh. Magelang temanggung. Sepi. Penumpang cuman saya dan sopir. PPKm lanjut Monggo.. di cabut ya Monggo kata sopir... Seng penting obah, sambil Prokes...</t>
  </si>
  <si>
    <t>Menunggu keputusan PPKM level 4 tahap 2 diumumkan pagi, siang atau Malam
 Sudah seperti menunggu bedug Magrib buka puasa
 #Aturan</t>
  </si>
  <si>
    <t>Menunggu keputusan PPKM level tahap diumumkan pagi, siang atau MalamSudah seperti menunggu bedug Magrib buka puasa</t>
  </si>
  <si>
    <t>Daerahnya PPKM, masyarakat di batasi beraktivitas, eh pakwali Bukittinggi asik ngumpul2 nga pake masker. 
 Nga papa lah, nanti kalau angka kasus tinggi kan bisa salahin rakyat sahaja 😂😂 https://t.co/xa0Em3o4sm</t>
  </si>
  <si>
    <t>Daerahnya PPKM, masyarakat di batasi beraktivitas, eh pakwali Bukittinggi asik ngumpul2 nga pake masker. Nga papa lah, nanti kalau angka kasus tinggi kan bisa salahin rakyat sahaja</t>
  </si>
  <si>
    <t>ppkm berlanjut, gue dirumahinnya kan berlanjut juga. mengcapek</t>
  </si>
  <si>
    <t>ppkm di perpanjang lg gasi?</t>
  </si>
  <si>
    <t>"PPKM, Penerapan Lockdown ala Kapitalisme"
 https://t.co/GM5DWIykag
 TintaSiyasi.com-- Satu tahun lebih virus Covid-19 telah melanda dunia, termasuk negeri berpenduduk Muslim terbesar dunia. Namun hingga saat ini, vir https://t.co/qs8zqf66a9</t>
  </si>
  <si>
    <t>"PPKM, Penerapan Lockdown ala Kapitalisme" Satu tahun lebih virus Covid-19 telah melanda dunia, termasuk negeri berpenduduk Muslim terbesar dunia. Namun hingga saat ini, vir</t>
  </si>
  <si>
    <t>@aglkeanu Lah tar kalau hamil, terus berkembang biak bagaimana? Gak kelar-kelar ini pandemi. PPKM Pelan Pelan Kita Mati</t>
  </si>
  <si>
    <t>Lah tar kalau hamil, terus berkembang biak bagaimana? Gak kelar-kelar ini pandemi. PPKM Pelan Pelan Kita Mati</t>
  </si>
  <si>
    <t>Selamat pagi, orang orang yg lg nunggu hasil PPKM 😉</t>
  </si>
  <si>
    <t>Selamat pagi, orang orang yg lg nunggu hasil PPKM</t>
  </si>
  <si>
    <t>Oo jd target PPKM adalah vaksinasi toh https://t.co/OPYb6Bk14d</t>
  </si>
  <si>
    <t>Oo jd target PPKM adalah vaksinasi toh</t>
  </si>
  <si>
    <t>@RyanFebry_ Ppkm tdk diperpanjang 💪🤣🤣</t>
  </si>
  <si>
    <t>Ppkm tdk diperpanjang</t>
  </si>
  <si>
    <t>@BabychknBy Buang sial ppkm? Wkwkwk</t>
  </si>
  <si>
    <t>Buang sial ppkm? Wkwkwk</t>
  </si>
  <si>
    <t>@MKLHLJ ga seru, ppkm</t>
  </si>
  <si>
    <t>ga seru, ppkm</t>
  </si>
  <si>
    <t>PPKM ... PERPANJANG APA ENGGA YA ???</t>
  </si>
  <si>
    <t>@PartnerWalid 🤭 Iya ya gegara PPKm ya ka</t>
  </si>
  <si>
    <t>Iya ya gegara PPKm ya ka</t>
  </si>
  <si>
    <t>kira-kira ppkm diperpanjang ga? w pengen keluar mau makan enak</t>
  </si>
  <si>
    <t>PPKM diperpanjang sampai minggu depan .sung aseli wkwk</t>
  </si>
  <si>
    <t>@mapaybandungcom @PRFMnews Kalau PPKM diperpanjang, @Ekomaung pake bikini.</t>
  </si>
  <si>
    <t>Kalau PPKM diperpanjang, pake bikini.</t>
  </si>
  <si>
    <t>Ndak boleh emosi pagi ini , mau Vaksin ke 2 😌. 
 Siap² PPKM : Pelan Pelan Kita Melar. Makan dan tidur hbs vaksin hari ini.</t>
  </si>
  <si>
    <t>Ndak boleh emosi pagi ini , mau Vaksin ke . Siap PPKM : Pelan Pelan Kita Melar. Makan dan tidur hbs vaksin hari ini.</t>
  </si>
  <si>
    <t>@Fahrihamzah Bukan tapi PPKN eh PPKM Level. Padahal harusnya PMP (Pendidikan Moral Pancasila)</t>
  </si>
  <si>
    <t>Bukan tapi PPKN eh PPKM Level. Padahal harusnya PMP (Pendidikan Moral Pancasila)</t>
  </si>
  <si>
    <t>@VIVAcoid Kami kasih solusi...silahkan lanjut PPKM tapi kasih rakyat makan perkepala perhari,bukan per KK, perbulan,gak merata juga,tutup Border, evaluasi program vaksinasi,kalian bisa jalan2 keluar negeri bisa pasang baliho,bisa bangun ini itu,masak ngaku gak punya duit buat rakyat malu!!</t>
  </si>
  <si>
    <t>Kami kasih solusi...silahkan lanjut PPKM tapi kasih rakyat makan perkepala perhari,bukan per KK, perbulan,gak merata juga,tutup Border, evaluasi program vaksinasi,kalian bisa jalan2 keluar negeri bisa pasang baliho,bisa bangun ini itu,masak ngaku gak punya duit buat rakyat malu!!</t>
  </si>
  <si>
    <t>Kaya nya aktifitas udah mulai normal. Udah bosen sama label ppkm.
 Cm ekonomi aja yg blm membaik https://t.co/vvoYrCaPCc</t>
  </si>
  <si>
    <t>Kaya nya aktifitas udah mulai normal. Udah bosen sama label ppkm.Cm ekonomi aja yg blm membaik</t>
  </si>
  <si>
    <t>@undipmenfess Virtual, kelar ppkm ketemu deh. 
 ak lagi ngarang 🙂</t>
  </si>
  <si>
    <t>Virtual, kelar ppkm ketemu deh. ak lagi ngarang</t>
  </si>
  <si>
    <t>HR Senin biasa nya PPKM (Pagi Pagi Kena Macet ) yah resiko tinggal dikota setiap hari PPKM ( Pergi Pulang Kena Macet )
 PPKM joecowe nya apa kabar hari ini ??</t>
  </si>
  <si>
    <t>HR Senin biasa nya PPKM (Pagi Pagi Kena Macet ) yah resiko tinggal dikota setiap hari PPKM ( Pergi Pulang Kena Macet )PPKM joecowe nya apa kabar hari ini ??</t>
  </si>
  <si>
    <t>Pagii ...Elfriend 🌞 hari terakhir PPKM (gatau diperpanjang atau nggak) gimana kabarnya? Stay strong yaa atau agak-agak cemas terutama kalau lihat WA. 
 Nah ngomongin WA, kamu nyalain tanda centang dua biru (pesan dibaca) atau nggak? 
 Share d #witm yuk bareng @ferryroelz &amp;amp; Firda</t>
  </si>
  <si>
    <t>Pagii ...Elfriend hari terakhir PPKM (gatau diperpanjang atau nggak) gimana kabarnya? Stay strong yaa atau agak-agak cemas terutama kalau lihat WA. Nah ngomongin WA, kamu nyalain tanda centang dua biru (pesan dibaca) atau nggak? Share d yuk bareng &amp;amp; Firda</t>
  </si>
  <si>
    <t>Maunya PPKM selesai tapi gamau ke kantor🙃</t>
  </si>
  <si>
    <t>Maunya PPKM selesai tapi gamau ke kantor</t>
  </si>
  <si>
    <t>@Dianaaseprianti Ga berubah lo ye wkwkwkkw yukkk kl dah kelar ppkm 😂</t>
  </si>
  <si>
    <t>Ga berubah lo ye wkwkwkkw yukkk kl dah kelar ppkm</t>
  </si>
  <si>
    <t>Woi pak @jokowi tolong ini diperiksa. Kata Laoli, WNA dilarang masuk selama PPKM. Kenapa masih masuk? Anda mau melindungi rakyat nggak? https://t.co/yzKIVBj01C</t>
  </si>
  <si>
    <t>Woi pak tolong ini diperiksa. Kata Laoli, WNA dilarang masuk selama PPKM. Kenapa masih masuk? Anda mau melindungi rakyat nggak?</t>
  </si>
  <si>
    <t>@ihpingin @bdngfess kalo pas sebelum ppkm yg buka cuma makanan aja sama guardian</t>
  </si>
  <si>
    <t>kalo pas sebelum ppkm yg buka cuma makanan aja sama guardian</t>
  </si>
  <si>
    <t>Bismillah PPKM hari terakhir.</t>
  </si>
  <si>
    <t>Aku berharap ppkm mungkin lngsng bisa longgar level 2 biar proker FKUB mengajar jalan offline tanggal 19 agustus. Eh tapi kok kayanya pupus
 Meski level 3 KBM yo sek 100 persen online😭</t>
  </si>
  <si>
    <t>Aku berharap ppkm mungkin lngsng bisa longgar level biar proker FKUB mengajar jalan offline tanggal agustus. Eh tapi kok kayanya pupusMeski level KBM yo sek persen online</t>
  </si>
  <si>
    <t>@kunciranhawe Gini noh yg stres krn ppkm😊</t>
  </si>
  <si>
    <t>Gini noh yg stres krn ppkm</t>
  </si>
  <si>
    <t>Aku pengen ketemu temen2 bisa ga ppkm nya udahan aja 😭😭.. akunya yg bisa kluar mereka nya ga bisa kluar</t>
  </si>
  <si>
    <t>Aku pengen ketemu temen2 bisa ga ppkm nya udahan aja .. akunya yg bisa kluar mereka nya ga bisa kluar</t>
  </si>
  <si>
    <t>@kepanjen_kita soal e PPKM pun yo gak efektif nder. geje, berubah². kebijakan e gajelas, gaonok solusi, mek disekat, diikat, dipaksa, digusur, dibubar²no, tapi gaonok solusi sing tepat. wong² yowes mulai sebel, kesel, jengkel.</t>
  </si>
  <si>
    <t>soal e PPKM pun yo gak efektif nder. geje, berubah. kebijakan e gajelas, gaonok solusi, mek disekat, diikat, dipaksa, digusur, dibubarno, tapi gaonok solusi sing tepat. wong yowes mulai sebel, kesel, jengkel.</t>
  </si>
  <si>
    <t>Menanti perpanjangan PPKM dan revisi peraturannya siapa tau ada yang menarik seperti makan di tempat 20 menit hehe</t>
  </si>
  <si>
    <t>Menanti perpanjangan PPKM dan revisi peraturannya siapa tau ada yang menarik seperti makan di tempat menit hehe</t>
  </si>
  <si>
    <t>@idtodayco Goblok.
 Rakyat dibatasi sedemikian rupa dgn PPKM dll,
 Smntra TKA china dikasih karpet merah, pdhl masa ppkm katanya.
 62 dlu tak seanying ini kawan... 
 https://t.co/vBdyMit6WW</t>
  </si>
  <si>
    <t>Goblok.Rakyat dibatasi sedemikian rupa dgn PPKM dll,Smntra TKA china dikasih karpet merah, pdhl masa ppkm katanya.62 dlu tak seanying ini kawan...</t>
  </si>
  <si>
    <t>@Fahrihamzah PPKM Level 4 Bang</t>
  </si>
  <si>
    <t>PPKM Level Bang</t>
  </si>
  <si>
    <t>ppkm bakal diperpanjang lagi apa engga ya</t>
  </si>
  <si>
    <t>@Mdy_Asmara1701 PPKM ini mau di perpanjang tidak 
 kalo mau diperpanjang sampai kapan https://t.co/nijpLTl9dl</t>
  </si>
  <si>
    <t>PPKM ini mau di perpanjang tidak kalo mau diperpanjang sampai kapan</t>
  </si>
  <si>
    <t>Mau pake istilah PPKM apalagi ni buat besok wkwkwk</t>
  </si>
  <si>
    <t>Ppkm perpanjang ga si</t>
  </si>
  <si>
    <t>Padahal tanggal 22/7 ngomong kalo 'TKA dilarang masuk selama PPKM'.
 Lah, Sabtu kemarin tanggal 7/8 masih PPKM. Kok TKA Cina boleh masuk? Alasannya udah ada izin, udah cek, udah protkes blablataiklublabla. Emang nggak bisa dipercaya banget rezim ini. https://t.co/GsDkvQf4UO</t>
  </si>
  <si>
    <t>Padahal tanggal /7 ngomong kalo 'TKA dilarang masuk selama PPKM'.Lah, Sabtu kemarin tanggal /8 masih PPKM. Kok TKA Cina boleh masuk? Alasannya udah ada izin, udah cek, udah protkes blablataiklublabla. Emang nggak bisa dipercaya banget rezim ini.</t>
  </si>
  <si>
    <t>@AditTaqwa tolong pak ppkm jngn di perpanjang terus nanti yak</t>
  </si>
  <si>
    <t>tolong pak ppkm jngn di perpanjang terus nanti yak</t>
  </si>
  <si>
    <t>Nasib PPKM sebaiknya menurut netizen...?
 Yang sudah vote bantu RT 🔂</t>
  </si>
  <si>
    <t>Nasib PPKM sebaiknya menurut netizen...?Yang sudah vote bantu RT</t>
  </si>
  <si>
    <t>Kita lihat hari ini ppkm terakhir atau diperpanjang kembali.</t>
  </si>
  <si>
    <t>Apakah ppkm berakhir ?</t>
  </si>
  <si>
    <t>jog probolinggo hajatan tetep rame, masker jarang sik nganggo, ppkm ra terpengaruh, sangar tenan kabupaten e https://t.co/uIpiKWZbLN</t>
  </si>
  <si>
    <t>jog probolinggo hajatan tetep rame, masker jarang sik nganggo, ppkm ra terpengaruh, sangar tenan kabupaten e</t>
  </si>
  <si>
    <t>@Fahrihamzah Lockdown semu Bang, yg ada PPKM Level 4 rasa jabe rawit pedas banget sampai guling-guling tiada akhir Bang..</t>
  </si>
  <si>
    <t>Lockdown semu Bang, yg ada PPKM Level rasa jabe rawit pedas banget sampai guling-guling tiada akhir Bang..</t>
  </si>
  <si>
    <t>@RickyBarmans Di mana korelasinya bknkah PPKM level 4 masih berjalan.</t>
  </si>
  <si>
    <t>Di mana korelasinya bknkah PPKM level masih berjalan.</t>
  </si>
  <si>
    <t>@Senjakopi11 Ppkm ga bisa bertemu</t>
  </si>
  <si>
    <t>Ppkm ga bisa bertemu</t>
  </si>
  <si>
    <t>Hari ini terakhir ppkm sih katanya, awas aja kalo di perpanjang lagi 😩</t>
  </si>
  <si>
    <t>Hari ini terakhir ppkm sih katanya, awas aja kalo di perpanjang lagi</t>
  </si>
  <si>
    <t>Mau ke Jogja ketunda mulu grgr ppkm. Lihat aja tar malem juga diperpanjang lagi🙃</t>
  </si>
  <si>
    <t>Mau ke Jogja ketunda mulu grgr ppkm. Lihat aja tar malem juga diperpanjang lagi</t>
  </si>
  <si>
    <t>Sebelum PPKM menyentuh angka 90 sampai 100 persen, sekarang turun menjadi 44 persen loh!</t>
  </si>
  <si>
    <t>Sebelum PPKM menyentuh angka sampai persen, sekarang turun menjadi persen loh!</t>
  </si>
  <si>
    <t>@Nunikvico Semenjak PPKM berkurang drastis mbak yu..aku hitung 3 orang .tp bukan Tim aku yg memakamkan</t>
  </si>
  <si>
    <t>Semenjak PPKM berkurang drastis mbak yu..aku hitung orang .tp bukan Tim aku yg memakamkan</t>
  </si>
  <si>
    <t>semoga ppkm ga di perpanjang lagi deh tlg</t>
  </si>
  <si>
    <t>Tp ga ngaruh juga ke aku mau PPKM apa engga, selama ada copid aku tetep di rumah aja 🙂</t>
  </si>
  <si>
    <t>Tp ga ngaruh juga ke aku mau PPKM apa engga, selama ada copid aku tetep di rumah aja</t>
  </si>
  <si>
    <t>@detikcom kebanyakan bikin tim ini itu,gonta ganti jenis nama ppkm tapi hasil tetep zonk</t>
  </si>
  <si>
    <t>kebanyakan bikin tim ini itu,gonta ganti jenis nama ppkm tapi hasil tetep zonk</t>
  </si>
  <si>
    <t>@Fayumi44192472 Msh PPKm ka, mkn bubur 20 menit gk ckup wkkkk
 Bisa melepuh klo mkn bubur panas panas 🤭</t>
  </si>
  <si>
    <t>Msh PPKm ka, mkn bubur menit gk ckup wkkkkBisa melepuh klo mkn bubur panas panas</t>
  </si>
  <si>
    <t>Ini terakhir ppkm ya? (Kalo jadi sih)</t>
  </si>
  <si>
    <t>Abis itu dia pergi. Dan dari jauh ada tunawisma udah tua tp bule, kayak nenek2 gitu. Dia keliatan kelaperan dan sama penjaga outletnya langsung dikasih semua makanan yang anak kecil tadi pesen. Ini aneh banget, mimpi gue udah go internasional gara2 kelamaan ppkm.</t>
  </si>
  <si>
    <t>Bentar lagi pasti bakal trending PPKM diperpanjang, hmm dah hapal.</t>
  </si>
  <si>
    <t>@FirstMediaCares dr kemarin gt mulu, sampe kapan ya? masak bayarnya tetep tapi kualitasnya berubah2 makin jelek? tolong poo, lagi ppkm juga, jadi semua serba onlen. kesel banget.</t>
  </si>
  <si>
    <t>dr kemarin gt mulu, sampe kapan ya? masak bayarnya tetep tapi kualitasnya berubah2 makin jelek? tolong poo, lagi ppkm juga, jadi semua serba onlen. kesel banget.</t>
  </si>
  <si>
    <t>@iwanfals Kek nya udahan....ntar di atas tgl 17...mungkin cari2 lg alasan lanjut ppkm..
 https://t.co/AKzZ29S9XS</t>
  </si>
  <si>
    <t>Kek nya udahan....ntar di atas tgl ...mungkin cari2 lg alasan lanjut ppkm..</t>
  </si>
  <si>
    <t>tmn2 gue 10an mau makan2 di rumah slh satu temen pas lg ppkm 😭😭😭😭😭😭 mn ada yg mau vaksin dan lgsg kesitu god damnnnn how could ppl be that stupid?!?!?</t>
  </si>
  <si>
    <t>tmn2 gue an mau makan2 di rumah slh satu temen pas lg ppkm mn ada yg mau vaksin dan lgsg kesitu god damnnnn how could ppl be that stupid?!?!?</t>
  </si>
  <si>
    <t>/kle semoga hari ini tidak ada pengumuman ppkm diperpanjang 🙏</t>
  </si>
  <si>
    <t>/kle semoga hari ini tidak ada pengumuman ppkm diperpanjang</t>
  </si>
  <si>
    <t>Org kok pd egois2 bgt ya maksa nikahan diresepsiin pdhl lg covid gini, malah msh ppkm pula. Bangga bgt upload foto nikahannya yg foto sm tamu2 ga pd pake masker.
 Hati2 nnti kaya org yg gue kenal, nikahan dirayain gede2an demi gengsi udahannya kena covid. Untung gw ga dateng.</t>
  </si>
  <si>
    <t>Org kok pd egois2 bgt ya maksa nikahan diresepsiin pdhl lg covid gini, malah msh ppkm pula. Bangga bgt upload foto nikahannya yg foto sm tamu2 ga pd pake masker.Hati2 nnti kaya org yg gue kenal, nikahan dirayain gede2an demi gengsi udahannya kena covid. Untung gw ga dateng.</t>
  </si>
  <si>
    <t>Dear warganet 
 Menurut warganet PPKM level 4 bakal diperpanjang apa tidak?
 Sila vote dan retweet</t>
  </si>
  <si>
    <t>Dear warganet Menurut warganet PPKM level bakal diperpanjang apa tidak?Sila vote dan retweet</t>
  </si>
  <si>
    <t>@Nauval_jangkung Wkwkwkwk 🤭 itu ppkm atau cewe? apa apa diperpanjang</t>
  </si>
  <si>
    <t>Wkwkwkwk itu ppkm atau cewe? apa apa diperpanjang</t>
  </si>
  <si>
    <t>yaallah ppkm gausah diperpanjang lagi plis</t>
  </si>
  <si>
    <t>dah ya semoga ppkm ga diperpanjang lagi, gue mau balik😭😭😭</t>
  </si>
  <si>
    <t>dah ya semoga ppkm ga diperpanjang lagi, gue mau balik</t>
  </si>
  <si>
    <t>Ini hari terakhir ppkm kan? 
 Please atulah ini yg terakhir, gue udah nahan dr awal ppkm udah gak kluyuran, main gajelas, atau sekedar nongkrong",. Tiap hari ketemunya rumah tempat kerja rumah tempat kerja terus,. 
 Pengen ke bengkel, pengen ngemall beli baju, pengen ini itu.</t>
  </si>
  <si>
    <t>Ini hari terakhir ppkm kan? Please atulah ini yg terakhir, gue udah nahan dr awal ppkm udah gak kluyuran, main gajelas, atau sekedar nongkrong",. Tiap hari ketemunya rumah tempat kerja rumah tempat kerja terus,. Pengen ke bengkel, pengen ngemall beli baju, pengen ini itu.</t>
  </si>
  <si>
    <t>Akibat manjang manjangin PPKM, jenazah tidak bisa dikuburkan , karena selalu memanjang mayatnya. 😌</t>
  </si>
  <si>
    <t>Akibat manjang manjangin PPKM, jenazah tidak bisa dikuburkan , karena selalu memanjang mayatnya.</t>
  </si>
  <si>
    <t>@_silentmary Itu PPKM atau pajak motor ? Hayoweh diperpanjang ajig</t>
  </si>
  <si>
    <t>Itu PPKM atau pajak motor ? Hayoweh diperpanjang ajig</t>
  </si>
  <si>
    <t>@bertanyarl YANG LAIN PATUH PROTOKOL AMPE SESEK NAPAS KENA DOUBLE MASK TIAP HARI. ORANG ORANG PADA VWAKSWIN BIAR PPKM CEPET SELESAI. LAH INI?APAAN PWOSWITWIP MASIH KELIARAN KESANA KEMARI. TWOLWOL SY EMOSI BGSTT 😾👊</t>
  </si>
  <si>
    <t>YANG LAIN PATUH PROTOKOL AMPE SESEK NAPAS KENA DOUBLE MASK TIAP HARI. ORANG ORANG PADA VWAKSWIN BIAR PPKM CEPET SELESAI. LAH INI?APAAN PWOSWITWIP MASIH KELIARAN KESANA KEMARI. TWOLWOL SY EMOSI BGSTT</t>
  </si>
  <si>
    <t>Awan pun menangis mendengar ppkm diperpanjang.</t>
  </si>
  <si>
    <t>jadinya ppkm diperpanjang atau tidak? diperpanjang atau tidak?</t>
  </si>
  <si>
    <t>@sukujawaa Tapi kan ppkm</t>
  </si>
  <si>
    <t>Tapi kan ppkm</t>
  </si>
  <si>
    <t>Senin minggu depan kayaknya mall buka tapi ppkm lanjut terus sampai tanggal 23 agustus pusing sampai yang keliatan cuman batu bukan bikini bottom
 #PPKM 
 #ppkmlevel4langkahbaik 
 #2getherparty 
 #pantangmenyerah https://t.co/8PVrTE7dfd</t>
  </si>
  <si>
    <t>Senin minggu depan kayaknya mall buka tapi ppkm lanjut terus sampai tanggal agustus pusing sampai yang keliatan cuman batu bukan bikini bottom</t>
  </si>
  <si>
    <t>Ada yang aneh dari aturan PPKM saat ini.
 Mal boleh buka asal pengunjung sudah vaksin. Kantor boleh beroperasi dengan pembatasan.
 Kenapa tidak ditetapkan hal yg sama terhadap olahraga. Apakah negara kita makin tidak berdikari? https://t.co/m9tySqow11</t>
  </si>
  <si>
    <t>Ada yang aneh dari aturan PPKM saat ini.Mal boleh buka asal pengunjung sudah vaksin. Kantor boleh beroperasi dengan pembatasan.Kenapa tidak ditetapkan hal yg sama terhadap olahraga. Apakah negara kita makin tidak berdikari?</t>
  </si>
  <si>
    <t>PPKM level 4 di perpanjang lagi,mau sampai kapan?
 “jalani aja dulu..“</t>
  </si>
  <si>
    <t>PPKM level di perpanjang lagi,mau sampai kapan?jalani aja dulu..</t>
  </si>
  <si>
    <t>Ppkm aja bisa diperpanjang, masa hubungan kita enggak ..</t>
  </si>
  <si>
    <t>@fitrikosasih @Southuldra @Kirie_kun @thgrthendowski @cuitangabut @yupaaaaaaaaaaa2 @maukokumi @tubirfess Batam juga soalnya kalau mau full ppkm ya kan pabrik tutup nggak bisa produksi, terus pedagang mau jualan juga susah</t>
  </si>
  <si>
    <t>Batam juga soalnya kalau mau full ppkm ya kan pabrik tutup nggak bisa produksi, terus pedagang mau jualan juga susah</t>
  </si>
  <si>
    <t>Kenapa PPKM tidak dipasin dengan tgl 17 Agustusan seperti halnya dengan tgl Idul Adha? Apakah agar tidak perlu terjadi pelarangan terhadap aktivitas perayaan yang sarat banget akan menimbulkan kerumunan,? Jangan salahkan umat jika adanya dugaan sentimen terhadap Islam!</t>
  </si>
  <si>
    <t>Kenapa PPKM tidak dipasin dengan tgl Agustusan seperti halnya dengan tgl Idul Adha? Apakah agar tidak perlu terjadi pelarangan terhadap aktivitas perayaan yang sarat banget akan menimbulkan kerumunan,? Jangan salahkan umat jika adanya dugaan sentimen terhadap Islam!</t>
  </si>
  <si>
    <t>@TetehCantikkk Ppkm neng</t>
  </si>
  <si>
    <t>Ppkm neng</t>
  </si>
  <si>
    <t>@___Mr_J03n4____ Ngomong sama embel , lu pikil Olang gak makan idup , elu usul PPKM setaon juga gak papa klo elu pikilin gimana calanye pelut lakyat bisa kenyang</t>
  </si>
  <si>
    <t>Ngomong sama embel , lu pikil Olang gak makan idup , elu usul PPKM setaon juga gak papa klo elu pikilin gimana calanye pelut lakyat bisa kenyang</t>
  </si>
  <si>
    <t>ppkm aja diperpanjang, masa kita stop sampe sini aja🤔</t>
  </si>
  <si>
    <t>ppkm aja diperpanjang, masa kita stop sampe sini aja</t>
  </si>
  <si>
    <t>pak presiden @jokowi sampe kapan di perpanjang ppkm ini pak? nafas kami mau habis.</t>
  </si>
  <si>
    <t>pak presiden sampe kapan di perpanjang ppkm ini pak? nafas kami mau habis.</t>
  </si>
  <si>
    <t>@CNNIndonesia Kasihan anak anaknya ya....ga bisa bebas bawa mobil kemana mana. Ga bisa main.. Ga bisa berlibur.. Ga bisa pesta. Hiks hiks.. Eh. Lupa ..inikan lagi PPKM Korona Delta cs lagi melanda. Ga jadi deh yg mulia.. Biar anak di rumah aja.. Disini aja 11 tahun..</t>
  </si>
  <si>
    <t>Kasihan anak anaknya ya....ga bisa bebas bawa mobil kemana mana. Ga bisa main.. Ga bisa berlibur.. Ga bisa pesta. Hiks hiks.. Eh. Lupa ..inikan lagi PPKM Korona Delta cs lagi melanda. Ga jadi deh yg mulia.. Biar anak di rumah aja.. Disini aja tahun..</t>
  </si>
  <si>
    <t>@CalicoKocheng Untung gajadi, tadinya mau balik pas ppkm kelar, eh diperpanjang 😂</t>
  </si>
  <si>
    <t>Untung gajadi, tadinya mau balik pas ppkm kelar, eh diperpanjang</t>
  </si>
  <si>
    <t>Ppkm di perpanjang sampe kiamat🤨</t>
  </si>
  <si>
    <t>Ppkm di perpanjang sampe kiamat</t>
  </si>
  <si>
    <t>PPKM perpanjang chat kita ora https://t.co/r5q5NRGvr7</t>
  </si>
  <si>
    <t>PPKM perpanjang chat kita ora</t>
  </si>
  <si>
    <t>Kyknya badut hyx udah kebal sama php ppkm 
 Soalnya kita badut hyx udah diphp hyx 5 bulan</t>
  </si>
  <si>
    <t>Kyknya badut hyx udah kebal sama php ppkm Soalnya kita badut hyx udah diphp hyx bulan</t>
  </si>
  <si>
    <t>@intanhsp PPKM Darurat &amp;gt;&amp;gt; PPKM Next Level &amp;gt;&amp;gt; PPKM 'till 16 Agustus</t>
  </si>
  <si>
    <t>PPKM Darurat &amp;gt;&amp;gt; PPKM Next Level &amp;gt;&amp;gt; PPKM 'till Agustus</t>
  </si>
  <si>
    <t>PPKM pake di cicil segala</t>
  </si>
  <si>
    <t>Di tempat kalian, PPKM diperpanjang ga? Di sini iya 😭😭</t>
  </si>
  <si>
    <t>Di tempat kalian, PPKM diperpanjang ga? Di sini iya</t>
  </si>
  <si>
    <t>Ppkm diperpanjang di cicil gaji orang pemerintah mau g dicicil</t>
  </si>
  <si>
    <t>ppkm diperpanjang sampai kau jadi milikku</t>
  </si>
  <si>
    <t>kasian bgt sodara gue gabisa balik ke bekasi karena ppkm terus di perpanjang🤧</t>
  </si>
  <si>
    <t>kasian bgt sodara gue gabisa balik ke bekasi karena ppkm terus di perpanjang</t>
  </si>
  <si>
    <t>Ppkm jancokkk dobollll</t>
  </si>
  <si>
    <t>PPKM kalo diibaratin rokok tuh sebungkusnya abis sampe September, tapi dibelinya ngeteng/ngecer</t>
  </si>
  <si>
    <t>...ppkm paling nikmat... https://t.co/f2lEVhUqg8 https://t.co/4wDFyrVxdT</t>
  </si>
  <si>
    <t>...ppkm paling nikmat...</t>
  </si>
  <si>
    <t>PPKM diperpanjang lagi.. Apa keluh kesah kalian?</t>
  </si>
  <si>
    <t>@salometamnos Ihh asli, faklahhhh ppkm... Bgsd!!!</t>
  </si>
  <si>
    <t>Ihh asli, faklahhhh ppkm... Bgsd!!!</t>
  </si>
  <si>
    <t>@KilljoyYadi Hujane ikut ppkm diperpanjang</t>
  </si>
  <si>
    <t>Hujane ikut ppkm diperpanjang</t>
  </si>
  <si>
    <t>ppkm diperpanjang sampai kau jadi milikku🤣</t>
  </si>
  <si>
    <t>Mau ppkm sampe level 100 juga ga peduli
 Udah bodo amat
 Tinggal stressnya aja ini 🙏🏻</t>
  </si>
  <si>
    <t>Mau ppkm sampe level juga ga peduliUdah bodo amatTinggal stressnya aja ini</t>
  </si>
  <si>
    <t>Dan PPKM diperpanjang lagi</t>
  </si>
  <si>
    <t>Pas kampanye pemilihan presiden 2024, "salah satu program prioritas saya adalah menghentikan ppkm setelah saya terpilih"</t>
  </si>
  <si>
    <t>Pas kampanye pemilihan presiden , "salah satu program prioritas saya adalah menghentikan ppkm setelah saya terpilih"</t>
  </si>
  <si>
    <t>sebenrnya sih gua juga ga kemna2 gitu kan, cuma kalo ada ‘ppkm’ gini jadi waswas kalo mau keluar tuh</t>
  </si>
  <si>
    <t>sebenrnya sih gua juga ga kemna2 gitu kan, cuma kalo ada ppkm gini jadi waswas kalo mau keluar tuh</t>
  </si>
  <si>
    <t>@myozwa92 @kangshare_link @SaveVidBot Mbak, koleksi video "PPKM diperpanjang" banyak juga...
 Izin save yaa.. 😄</t>
  </si>
  <si>
    <t>Mbak, koleksi video "PPKM diperpanjang" banyak juga...Izin save yaa..</t>
  </si>
  <si>
    <t>@imdepan Gabisa ditutup soalnya ppkm</t>
  </si>
  <si>
    <t>Gabisa ditutup soalnya ppkm</t>
  </si>
  <si>
    <t>Spesial as in, nyokap gue ngelarang deket2 sm hewan sakit jadi susah mau belajar padahal gue kuliah KEDOKTERAN HEWAN??????
 Tapi apa gue berhenti belajar? Enggak kok. Sama sekali enggak.
 Gue tau ga bisa magang karena ppkm diperpanjang mulu bangke (kliniknya ngizinin abis ppkm).</t>
  </si>
  <si>
    <t>Spesial as in, nyokap gue ngelarang deket2 sm hewan sakit jadi susah mau belajar padahal gue kuliah KEDOKTERAN HEWAN??????Tapi apa gue berhenti belajar? Enggak kok. Sama sekali enggak.Gue tau ga bisa magang karena ppkm diperpanjang mulu bangke (kliniknya ngizinin abis ppkm).</t>
  </si>
  <si>
    <t>@AREAJULID haha betul apalagi ada temen gue yg kesel ppkm diperpanjang tp gue tiap liat sg nya lagi di luar malah waktu itu nongkrong.... dih apa banget</t>
  </si>
  <si>
    <t>haha betul apalagi ada temen gue yg kesel ppkm diperpanjang tp gue tiap liat sg nya lagi di luar malah waktu itu nongkrong.... dih apa banget</t>
  </si>
  <si>
    <t>Kok jadi banjir dimana mana sih padahal cuma ujan dari sore ke malem doang, ya Allah sedih bgt mana masih ppkm</t>
  </si>
  <si>
    <t>Hujannya awet dari malem,
 Seperti perpanjangan PPKM.</t>
  </si>
  <si>
    <t>Hujannya awet dari malem,Seperti perpanjangan PPKM.</t>
  </si>
  <si>
    <t>@ridha_nasarudin PPKM jadi gerak jalan daring saja pak ketua dewan</t>
  </si>
  <si>
    <t>PPKM jadi gerak jalan daring saja pak ketua dewan</t>
  </si>
  <si>
    <t>Pagi ppkm</t>
  </si>
  <si>
    <t>PPKM diperpanjang mulu.
 nih lho banyak yang udah nggak pake masker. Ini tuh lebih penting nggak sih? Mending juga patroli masker kaya dulu karena kesadaran memakai masker masih kurang. Kayaknya orang2 lebih takut sama polisi patroli masker daripada corona. 😷</t>
  </si>
  <si>
    <t>PPKM diperpanjang mulu.nih lho banyak yang udah nggak pake masker. Ini tuh lebih penting nggak sih? Mending juga patroli masker kaya dulu karena kesadaran memakai masker masih kurang. Kayaknya orang2 lebih takut sama polisi patroli masker daripada corona.</t>
  </si>
  <si>
    <t>@pinkqswiz @luukman_hakim @leogusta_ @AREAJULID Enak sih kalau ppkm bansos nggak di korupsi hehe.. ini rakyat mau makan apa?</t>
  </si>
  <si>
    <t>Enak sih kalau ppkm bansos nggak di korupsi hehe.. ini rakyat mau makan apa?</t>
  </si>
  <si>
    <t>@Hyu_tub Disini 20rebu, kalo selama ppkm ga kerja uang 20rebu tuh dr mana 😝</t>
  </si>
  <si>
    <t>Disini rebu, kalo selama ppkm ga kerja uang rebu tuh dr mana</t>
  </si>
  <si>
    <t>Aku berharap aturan PPKM lebih longgar dibanding sebelumnya, mengingat banyak yang sudah menanti hari ini berakhir PPKM dan memulai aktivitasnya setelah jeda.
 Pemerintah juga tidak tinggal diam, tetap menyalurkan bantuan untuk masyarakat terdampak https://t.co/bRCYCxGgk1</t>
  </si>
  <si>
    <t>Aku berharap aturan PPKM lebih longgar dibanding sebelumnya, mengingat banyak yang sudah menanti hari ini berakhir PPKM dan memulai aktivitasnya setelah jeda.Pemerintah juga tidak tinggal diam, tetap menyalurkan bantuan untuk masyarakat terdampak</t>
  </si>
  <si>
    <t>Semangat pagi!
 Pagi pertama di tahun baru hijriyah 1443.
 Bersyukur ketika membuka mata, semua dalam kondisi sehat.
 Bedanya hanya pemerintah kembali memperpanjang PPKM.
 PPKM efektif menekan laju penyebaran covid-19, jadi kebijakannya diperpanjang.
 Gimana menurut pendapat kalian?</t>
  </si>
  <si>
    <t>Semangat pagi!Pagi pertama di tahun baru hijriyah .Bersyukur ketika membuka mata, semua dalam kondisi sehat.Bedanya hanya pemerintah kembali memperpanjang PPKM.PPKM efektif menekan laju penyebaran covid-19, jadi kebijakannya diperpanjang.Gimana menurut pendapat kalian?</t>
  </si>
  <si>
    <t>ppkm diperpanjang lagi?</t>
  </si>
  <si>
    <t>@panditfootball kayaknya bakalan mirip ppkm nih, tiap minggu bakalan ada pengumuman mundur juga..😂Football is coming soon..</t>
  </si>
  <si>
    <t>kayaknya bakalan mirip ppkm nih, tiap minggu bakalan ada pengumuman mundur juga..Football is coming soon..</t>
  </si>
  <si>
    <t>Dibandingin kasusnya kaya pas jaman flu burung, tapi jelas banget masih inget jaman dulu ngga ada tu lebay² pake masker N95 lah, APD overused lah, PPKM lah wkwkwk yg ada cuma pemusnahan unggas aja udah sama semprot disinfektan beres. Bodoamat ah wkwk https://t.co/2kI8XHIxpT</t>
  </si>
  <si>
    <t>Dibandingin kasusnya kaya pas jaman flu burung, tapi jelas banget masih inget jaman dulu ngga ada tu lebay pake masker N95 lah, APD overused lah, PPKM lah wkwkwk yg ada cuma pemusnahan unggas aja udah sama semprot disinfektan beres. Bodoamat ah wkwk</t>
  </si>
  <si>
    <t>Farming dulu, PPKM masih belum late game😂</t>
  </si>
  <si>
    <t>Farming dulu, PPKM masih belum late game</t>
  </si>
  <si>
    <t>Selain PPKM yang ga jelas hubungan gw jg ikutan ga jelas</t>
  </si>
  <si>
    <t>Kenapa ya perpanjangan ppkm di umumin pas ppkm terakhir, kenapa ga langsung aja dari awal gtu🙂</t>
  </si>
  <si>
    <t>Kenapa ya perpanjangan ppkm di umumin pas ppkm terakhir, kenapa ga langsung aja dari awal gtu</t>
  </si>
  <si>
    <t>PPKM diperpanjang tiap minggu dah kyk minjem buku di perpus waktu sekolah. hadeeehh..</t>
  </si>
  <si>
    <t>cape ga sih lo, ppkm di perpanjang?:)
 corona udahan yu, capek gue anjer</t>
  </si>
  <si>
    <t>cape ga sih lo, ppkm di perpanjang?corona udahan yu, capek gue anjer</t>
  </si>
  <si>
    <t>ktnya pgn ke dufan, tp sdng ppkm jd kapan" 👍🏻 https://t.co/3o6Jd43WLj</t>
  </si>
  <si>
    <t>ktnya pgn ke dufan, tp sdng ppkm jd kapan"</t>
  </si>
  <si>
    <t>Katanya mo cegah virus china dg vaksin china,,
 Tp TKA China wajib masuk saat RI saat PPKM ?</t>
  </si>
  <si>
    <t>Katanya mo cegah virus china dg vaksin china,,Tp TKA China wajib masuk saat RI saat PPKM ?</t>
  </si>
  <si>
    <t>@aki_pagitvone 
 Layang layang tarik benang
 Nyangkut dipohon dikit tapi melilit
 Ppkm terus diperpanjang 
  Jangan hidup semakin sempit dan jadi sulit</t>
  </si>
  <si>
    <t>Layang layang tarik benangNyangkut dipohon dikit tapi melilitPpkm terus diperpanjang Jangan hidup semakin sempit dan jadi sulit</t>
  </si>
  <si>
    <t>ppkm diperpanjang cie udah ngurus visa terancam tidak jadi WKAKWKA siape itu</t>
  </si>
  <si>
    <t>@ega_arlintang Oh iya liburnya digeser ya, PPKM diperpanjang sampe 16 Agustus juga😅</t>
  </si>
  <si>
    <t>Oh iya liburnya digeser ya, PPKM diperpanjang sampe Agustus juga</t>
  </si>
  <si>
    <t>Plis knp tiba tiba gua nangis gini kngn alm.wildan huaa😭, gua mau ke makam juga msh ppkm plis😭</t>
  </si>
  <si>
    <t>Plis knp tiba tiba gua nangis gini kngn alm.wildan huaa, gua mau ke makam juga msh ppkm plis</t>
  </si>
  <si>
    <t>@wnnryan ppkm ini selesai 😋😋</t>
  </si>
  <si>
    <t>ppkm ini selesai</t>
  </si>
  <si>
    <t>@AREAJULID Nyicil ppkm udah kaya nyicil utang ke rentenir, ngga lunas lunas yee</t>
  </si>
  <si>
    <t>Nyicil ppkm udah kaya nyicil utang ke rentenir, ngga lunas lunas yee</t>
  </si>
  <si>
    <t>@AREAJULID Intinya ini ppkm bakal terus diperpanjang sampe taun baru, cuma dikit2 biar kesannya pemerintah ngasih kelonggaran.</t>
  </si>
  <si>
    <t>Intinya ini ppkm bakal terus diperpanjang sampe taun baru, cuma dikit2 biar kesannya pemerintah ngasih kelonggaran.</t>
  </si>
  <si>
    <t>@geloraco Boleh PPKM diperpanjang tapi stop semua gaji dan fasilitas untuk semua pejabat termasuk anggota DPR/MPR. Biar ikut merasakan susahnya orang kecil cari nafkah.</t>
  </si>
  <si>
    <t>Boleh PPKM diperpanjang tapi stop semua gaji dan fasilitas untuk semua pejabat termasuk anggota DPR/MPR. Biar ikut merasakan susahnya orang kecil cari nafkah.</t>
  </si>
  <si>
    <t>@BBCIndonesia Meski gitu ppkm masih diperpanjang</t>
  </si>
  <si>
    <t>Meski gitu ppkm masih diperpanjang</t>
  </si>
  <si>
    <t>@GOY0UNJUNG ppkm selesai, kita dah jadian kok😋😋</t>
  </si>
  <si>
    <t>ppkm selesai, kita dah jadian kok</t>
  </si>
  <si>
    <t>@geloraco Iya.. kecuali TKA cina bebas masuk meski sedang PPKM level 4 https://t.co/A1NgbOBIg2</t>
  </si>
  <si>
    <t>Iya.. kecuali TKA cina bebas masuk meski sedang PPKM level</t>
  </si>
  <si>
    <t>udah kesel bgt sama ppkm asw</t>
  </si>
  <si>
    <t>Apa nggak pernah kepikiran lockdown 1 minggu sama ppkm 1 bulan lebih berdampak mana...</t>
  </si>
  <si>
    <t>Apa nggak pernah kepikiran lockdown minggu sama ppkm bulan lebih berdampak mana...</t>
  </si>
  <si>
    <t>produksi melambat, pengiriman melambat 1 bulan terakhir...sekrang disuruh lebih sabar lagi karna ppkm diperpanjang :)</t>
  </si>
  <si>
    <t>produksi melambat, pengiriman melambat bulan terakhir...sekrang disuruh lebih sabar lagi karna ppkm diperpanjang</t>
  </si>
  <si>
    <t>@kanimbandung Pagi Min, paspor saya habis masa berlakunya dan belum bisa perpanjangan karena PPKM, apa nanti masih bisa diperpanjang dan gak ada masalah?</t>
  </si>
  <si>
    <t>Pagi Min, paspor saya habis masa berlakunya dan belum bisa perpanjangan karena PPKM, apa nanti masih bisa diperpanjang dan gak ada masalah?</t>
  </si>
  <si>
    <t>PPKM diperpanjang soale km nakal</t>
  </si>
  <si>
    <t>Ini udah PPKM level pedes banget apa masih pedes huh hah?</t>
  </si>
  <si>
    <t>Pari island 
 jauh sebelum PPKM loh.. https://t.co/1S0YRBXRpU</t>
  </si>
  <si>
    <t>Pari island jauh sebelum PPKM loh..</t>
  </si>
  <si>
    <t>Ppkm Bajingan..</t>
  </si>
  <si>
    <t>Gw taat prokes, taat PSBB, taat PPKM Mikro, PPKM level levelan, memperkecil circle, vaksinasi lengkap, rajin cuci tangan, rajin berdoa, keluar rumah kalau keperluan logistik, pernah pergi sekali utk ke alam terbuka, tp masker selalu on..namun 💔</t>
  </si>
  <si>
    <t>Gw taat prokes, taat PSBB, taat PPKM Mikro, PPKM level levelan, memperkecil circle, vaksinasi lengkap, rajin cuci tangan, rajin berdoa, keluar rumah kalau keperluan logistik, pernah pergi sekali utk ke alam terbuka, tp masker selalu on..namun</t>
  </si>
  <si>
    <t>Jamet orang yg gk ngerti agama biasanya ketika ada cobaan pasti ngeluh depresi stress caci maki sbb kurangnya dlm diri sifat Tawakal berserah diri kurangnya Tawhid makanya khawatir
 "mau makan apa? kalau ppkm"
 padahal dia lupa yg ngatur rezki itu sang Pencipta "selama mau berusha"</t>
  </si>
  <si>
    <t>Jamet orang yg gk ngerti agama biasanya ketika ada cobaan pasti ngeluh depresi stress caci maki sbb kurangnya dlm diri sifat Tawakal berserah diri kurangnya Tawhid makanya khawatir"mau makan apa? kalau ppkm"padahal dia lupa yg ngatur rezki itu sang Pencipta "selama mau berusha"</t>
  </si>
  <si>
    <t>@Jayabay19479190 Masih PPKM coy...lbh afdhol dananya buat bantu masyarakat yg membutuhkan</t>
  </si>
  <si>
    <t>Masih PPKM coy...lbh afdhol dananya buat bantu masyarakat yg membutuhkan</t>
  </si>
  <si>
    <t>@Aniarhany Iya lah pemerentah mah, kalo hari ini merah senen banyak yang ambil cuti, terus wisata, terus beritanya kopid, terus ppkm di Panjangin lagi, terus susah lagi deh</t>
  </si>
  <si>
    <t>Iya lah pemerentah mah, kalo hari ini merah senen banyak yang ambil cuti, terus wisata, terus beritanya kopid, terus ppkm di Panjangin lagi, terus susah lagi deh</t>
  </si>
  <si>
    <t>@DinsosDKI1 Sejak pemberian kartu atm alhamdulillah sy kebagian jatah bansos yg 300 sebulan itu,tp skrg PPKM malah gak dapet.,Mana tetangga sy udah pada dapet lg..kan sedih,sy jd mikir salah saya apa sampai gak kebagian?
 Kita gak pernah ada masalah kan...ya kann?
 Tapi kenavaa..curhat😂</t>
  </si>
  <si>
    <t>Sejak pemberian kartu atm alhamdulillah sy kebagian jatah bansos yg sebulan itu,tp skrg PPKM malah gak dapet.,Mana tetangga sy udah pada dapet lg..kan sedih,sy jd mikir salah saya apa sampai gak kebagian?Kita gak pernah ada masalah kan...ya kann?Tapi kenavaa..curhat</t>
  </si>
  <si>
    <t>Terserah PPKM mau dilanjut sampai kapanpun, tpi please alfa sama indomart buka sampek jam 12 malem</t>
  </si>
  <si>
    <t>Terserah PPKM mau dilanjut sampai kapanpun, tpi please alfa sama indomart buka sampek jam malem</t>
  </si>
  <si>
    <t>PPKM BANGSATTTTT</t>
  </si>
  <si>
    <t>ppkm diperpanjang lg y</t>
  </si>
  <si>
    <t>@ayank_ollin148 sebelum berdamai dg ppkm cb berdamai dg masa lalu dulu 😬</t>
  </si>
  <si>
    <t>sebelum berdamai dg ppkm cb berdamai dg masa lalu dulu</t>
  </si>
  <si>
    <t>ppkm diperpanjang terus udah kaya masa aktif kartu perdana</t>
  </si>
  <si>
    <t>ppkm
 parah parah kerja mulu
 HAMDALAH 🙏</t>
  </si>
  <si>
    <t>ppkmparah parah kerja muluHAMDALAH</t>
  </si>
  <si>
    <t>@enjenieus kalo ga salah kan perkiraan selesai ppkm hari ini, jd ya besok udh ga ppkm. takutnya pas hari selasa ini kl libur pegawai pd liburan kan gabole lg ppkm. makanya jd besok, eh taunya diperpanjang</t>
  </si>
  <si>
    <t>kalo ga salah kan perkiraan selesai ppkm hari ini, jd ya besok udh ga ppkm. takutnya pas hari selasa ini kl libur pegawai pd liburan kan gabole lg ppkm. makanya jd besok, eh taunya diperpanjang</t>
  </si>
  <si>
    <t>PPKM gini yg terpenting malah transportasi umum
 Ribet bgt mau kmn" 😣</t>
  </si>
  <si>
    <t>PPKM gini yg terpenting malah transportasi umumRibet bgt mau kmn"</t>
  </si>
  <si>
    <t>Boleh minta doa nya, semoga sender segera dpt tempat magang. Magang tgl 10an September sampe sekrng blm dpt2, terhalang ppkm+c0v 1d. Udh mulai panik krn tmn2ku udah dapet [cm]</t>
  </si>
  <si>
    <t>Boleh minta doa nya, semoga sender segera dpt tempat magang. Magang tgl an September sampe sekrng blm dpt2, terhalang ppkm+c0v d. Udh mulai panik krn tmn2ku udah dapet [cm]</t>
  </si>
  <si>
    <t>[] anjay udh kgk ppkm lagi sayank.</t>
  </si>
  <si>
    <t>Selamat pagi Pak @jokowi Pak Luhut @kemenkomarves Pak @airlangga_hrt baiklah Pak aku tetap Kerja dari rumah krn PPKM diperpanjang sampai tgl 16 Agustus. Pukpuk @eka_07dian sampai tgl 23 ya kamuh.. 🙏💪💪💪💪 https://t.co/1KFucd5pNf</t>
  </si>
  <si>
    <t>Selamat pagi Pak Pak Luhut Pak baiklah Pak aku tetap Kerja dari rumah krn PPKM diperpanjang sampai tgl Agustus. Pukpuk sampai tgl ya kamuh..</t>
  </si>
  <si>
    <t>Ppkm diperpanjang smpe plesetan kepanjangan ppkm udh abis...</t>
  </si>
  <si>
    <t>Kaya, “bagi siapa yg nyuri tolong sadar diri!!” Anjiiiing 😭😭😭
 Tp di mimpi itu gue deg degan dan seru jg kaya wow…. Trs ketauan lah ini orgnya pencuri babi. Trs yaudah ketangkep… tau tau selebrasi ke kaya pasar malem tp siang siang… wkwkwk gada ppkm ppkm ya hahaha trs naik</t>
  </si>
  <si>
    <t>Kaya, bagi siapa yg nyuri tolong sadar diri!! Anjiiiing Tp di mimpi itu gue deg degan dan seru jg kaya wow. Trs ketauan lah ini orgnya pencuri babi. Trs yaudah ketangkep tau tau selebrasi ke kaya pasar malem tp siang siang wkwkwk gada ppkm ppkm ya hahaha trs naik</t>
  </si>
  <si>
    <t>@kozuumine katanya biar gak jdi hari terjepitttt, biar org gx curi kesempatan kn lgi ppkm</t>
  </si>
  <si>
    <t>katanya biar gak jdi hari terjepitttt, biar org gx curi kesempatan kn lgi ppkm</t>
  </si>
  <si>
    <t>Ppkm diperpanjang terus tuh kyk pemerintah ini kalah judi terus penasaran. Kebijakan Ppkmnya gagal terus diperpanjang lagi sampai berhasil.</t>
  </si>
  <si>
    <t>Tanpa google, w nga tau kepanjangan PPKM</t>
  </si>
  <si>
    <t>semogaa ini ppkm yang terkhirr. untuk sodara ku ikuti lah anjuran pemrentah demi kebaikan bersama.
 agaar pandemi ini bisa hilang dari bumi pertiwi..!!
 semangat megawee
 #PPKM</t>
  </si>
  <si>
    <t>semogaa ini ppkm yang terkhirr. untuk sodara ku ikuti lah anjuran pemrentah demi kebaikan bersama.agaar pandemi ini bisa hilang dari bumi pertiwi..!!semangat megawee</t>
  </si>
  <si>
    <t>@mydaisysix karna kalo kaya gitu berdasarkan uu karantina mereka harus tanggung jawab ngasih makan warga + hewan ternak yang terdampak lockdown nad. nah pemerintah gamau gt makanya pake strategi ppkm berjilid jilid</t>
  </si>
  <si>
    <t>karna kalo kaya gitu berdasarkan uu karantina mereka harus tanggung jawab ngasih makan warga + hewan ternak yang terdampak lockdown nad. nah pemerintah gamau gt makanya pake strategi ppkm berjilid jilid</t>
  </si>
  <si>
    <t>Ppkm diperpanjang, inget lagu yang diperpanjang atau tidak diperpanjang?
 Diperpanjang 🤧🤧🤧</t>
  </si>
  <si>
    <t>Ppkm diperpanjang, inget lagu yang diperpanjang atau tidak diperpanjang?Diperpanjang</t>
  </si>
  <si>
    <t>Uda ambil cuti mo pulang, eh ppkm lagi :(</t>
  </si>
  <si>
    <t>Uda ambil cuti mo pulang, eh ppkm lagi</t>
  </si>
  <si>
    <t>Sekalian aja bilang PPKM sampai akhir taun, atau akhir jabatan. 
 Ribet banget kayaknya birokrasi.
 Kalo gini jatuhnya kurang fokus nanganin pandemi malah fokus bikin pengumuman.</t>
  </si>
  <si>
    <t>Sekalian aja bilang PPKM sampai akhir taun, atau akhir jabatan. Ribet banget kayaknya birokrasi.Kalo gini jatuhnya kurang fokus nanganin pandemi malah fokus bikin pengumuman.</t>
  </si>
  <si>
    <t>Berarti kabar yang beredar bahwa sebenarnya PPKM direncanakan sampai sebelum 17 Agustus itu benar yah, cuma emang pakai strategi dicicil, kalau diumumkan durasi selama itu bisa bikin gejolak di masyarakat... Yuk bisa bertahan 1 Minggu lagi...</t>
  </si>
  <si>
    <t>Berarti kabar yang beredar bahwa sebenarnya PPKM direncanakan sampai sebelum Agustus itu benar yah, cuma emang pakai strategi dicicil, kalau diumumkan durasi selama itu bisa bikin gejolak di masyarakat... Yuk bisa bertahan Minggu lagi...</t>
  </si>
  <si>
    <t>Selamat pagi, ada yang bersinar tapi bukan matahari! ppkm diperpanjang atau tidak jangan lupa kita harus tetep kerja dan jaga kesehatan 💜
 i nike u https://t.co/ELE2HiRUv1</t>
  </si>
  <si>
    <t>Selamat pagi, ada yang bersinar tapi bukan matahari! ppkm diperpanjang atau tidak jangan lupa kita harus tetep kerja dan jaga kesehatan i nike u</t>
  </si>
  <si>
    <t>PPKM sampe september, bertahap.. Alias diecer per minggu.. Trust me.. 😁</t>
  </si>
  <si>
    <t>PPKM sampe september, bertahap.. Alias diecer per minggu.. Trust me..</t>
  </si>
  <si>
    <t>Semakin dewasa, semakin akrab dengan kalimat “PPKM diperpanjang”</t>
  </si>
  <si>
    <t>Semakin dewasa, semakin akrab dengan kalimat PPKM diperpanjang</t>
  </si>
  <si>
    <t>@asharshubuh @KAI121 @keretaapikita @mas_didiek @kemenhub151 @perkeretaapian @GarutRailfans @jurnalrailfans @GM_MarKA @jalur5_ @JavatrainID @Irps_BD @AnkerTwiter @semboyan35com nangis karena ppkm perpanjang kyknya</t>
  </si>
  <si>
    <t>nangis karena ppkm perpanjang kyknya</t>
  </si>
  <si>
    <t>PPKM Level 4, itu PPKM apa Boncabe? https://t.co/nZK7xXrQ4y</t>
  </si>
  <si>
    <t>PPKM Level , itu PPKM apa Boncabe?</t>
  </si>
  <si>
    <t>@marlina_idha Contoh pemimpin bodoh, lo nerapin PPKM ada solusinya ngga buat makan rakyat ? anjim bener.</t>
  </si>
  <si>
    <t>Contoh pemimpin bodoh, lo nerapin PPKM ada solusinya ngga buat makan rakyat ? anjim bener.</t>
  </si>
  <si>
    <t>@marlina_idha Ppkm ketengan</t>
  </si>
  <si>
    <t>Ppkm ketengan</t>
  </si>
  <si>
    <t>PPKM diperpanjang lagi, pinter nyicil emang si anjing.</t>
  </si>
  <si>
    <t>Ppkm ni kenapa ga langsung aja gitu sebulan</t>
  </si>
  <si>
    <t>PPKM diperpanjang. Asli gua udah lama gak ketemu bokap gua.</t>
  </si>
  <si>
    <t>@beystown Lho deket 😅
 Di ppkm yg bru kabarnya buka tp dibatasi kapasitas 25%</t>
  </si>
  <si>
    <t>Lho deket Di ppkm yg bru kabarnya buka tp dibatasi kapasitas %</t>
  </si>
  <si>
    <t>Perpanjangan PPKM demi memutus penyebaran COVID-19
 https://t.co/OkSsfMzE20
 Vaksin Aman Halal</t>
  </si>
  <si>
    <t>Perpanjangan PPKM demi memutus penyebaran COVID-19 Aman Halal</t>
  </si>
  <si>
    <t>@IvoneHall @MeliaAgustin_ Tangsel.
 Lagi merasakan over time PPKM yg entah sampai kapan berakhirnya. 
 Semoga diseduh tiap hari kopinya dan saat habis kopinya berakhir pula PPKM nya.</t>
  </si>
  <si>
    <t>Tangsel.Lagi merasakan over time PPKM yg entah sampai kapan berakhirnya. Semoga diseduh tiap hari kopinya dan saat habis kopinya berakhir pula PPKM nya.</t>
  </si>
  <si>
    <t>Dilema PPKM diperpanjang.. kesehatan—pandemik? ekonomi?</t>
  </si>
  <si>
    <t>Dilema PPKM diperpanjang.. kesehatanpandemik? ekonomi?</t>
  </si>
  <si>
    <t>Di masa perpanjangan PPKM ini..
 Semoga sodara"...teman" atau warga masyarakat yg msh jalani isoman bs makin sabar...tabah...taqwa...tawakal...ta'dzim...tawadzu' dan istiqomah dlm beribadah...Aamiin YRA💪💪💪 https://t.co/ejGl9iRWav</t>
  </si>
  <si>
    <t>Di masa perpanjangan PPKM ini..Semoga sodara"...teman" atau warga masyarakat yg msh jalani isoman bs makin sabar...tabah...taqwa...tawakal...ta'dzim...tawadzu' dan istiqomah dlm beribadah...Aamiin YRA</t>
  </si>
  <si>
    <t>gue sibuk tugas, ga boleh ngumpul apalagi masih ppkm, gue stres njinkkk bisa ga sih ga usah maksa ikut dlu, ini kls 12 woyyy gue butuh fokus, biar gue dikata ketua ga becus ya tpi scra logika aj njir</t>
  </si>
  <si>
    <t>gue sibuk tugas, ga boleh ngumpul apalagi masih ppkm, gue stres njinkkk bisa ga sih ga usah maksa ikut dlu, ini kls woyyy gue butuh fokus, biar gue dikata ketua ga becus ya tpi scra logika aj njir</t>
  </si>
  <si>
    <t>@SPONSOR_GA1 Ikutan ah lumayan buat beli nasi uduk di saat ppkm</t>
  </si>
  <si>
    <t>Ikutan ah lumayan buat beli nasi uduk di saat ppkm</t>
  </si>
  <si>
    <t>@rdvelvetcake_ PPKM tetep diperpanjang sampe orng yg LDR awalnya loveyou, endingnya leaveyou</t>
  </si>
  <si>
    <t>PPKM tetep diperpanjang sampe orng yg LDR awalnya loveyou, endingnya leaveyou</t>
  </si>
  <si>
    <t>PPKM pelan pelan ku merindu kan mu... 
 🤣🤣 https://t.co/qOP0I0YyK1 https://t.co/RYv2ePKR9H</t>
  </si>
  <si>
    <t>PPKM pelan pelan ku merindu kan mu...</t>
  </si>
  <si>
    <t>@ancahdragon yyyyyy sampe gue nikah jg kynya ppkm blm selesai🤐</t>
  </si>
  <si>
    <t>yyyyyy sampe gue nikah jg kynya ppkm blm selesai</t>
  </si>
  <si>
    <t>Kenapa gak lockdown total benerbener gak ada kehidupan di luar rumah toh cuma memakan waktu 2 minggu pasti redah deh covid dibanding ada ppkm tapi begini buang-buang waktu..</t>
  </si>
  <si>
    <t>Kenapa gak lockdown total benerbener gak ada kehidupan di luar rumah toh cuma memakan waktu minggu pasti redah deh covid dibanding ada ppkm tapi begini buang-buang waktu..</t>
  </si>
  <si>
    <t>di thn baru Hijriah ini, sdh sepatutnya kita saling bermuhasabah diri, terlebih selama pandemi
 tak seharusnya kita risau pd kelanjutan PPKM
 malah mustinya kita laik kaget kalau PPKM ga diperpanjang; bs micu geger geden kalo ndadak PPKM tiada; ciri khas govt. Kuvuqiland bs² sirna</t>
  </si>
  <si>
    <t>di thn baru Hijriah ini, sdh sepatutnya kita saling bermuhasabah diri, terlebih selama pandemitak seharusnya kita risau pd kelanjutan PPKMmalah mustinya kita laik kaget kalau PPKM ga diperpanjang; bs micu geger geden kalo ndadak PPKM tiada; ciri khas govt. Kuvuqiland bs sirna</t>
  </si>
  <si>
    <t>Gak suka ppkm karna kalo pulang dari klinik malem ga bs mampir Indomart buat refreshing 😭😭😭</t>
  </si>
  <si>
    <t>Gak suka ppkm karna kalo pulang dari klinik malem ga bs mampir Indomart buat refreshing</t>
  </si>
  <si>
    <t>@AdjieSanPutro PPKM diperpanjang lagi, tapi kisah kita tidak.</t>
  </si>
  <si>
    <t>PPKM diperpanjang lagi, tapi kisah kita tidak.</t>
  </si>
  <si>
    <t>diperpanjang terus ya ppkm</t>
  </si>
  <si>
    <t>Kasihan atuh pak PPKM jangan diperpanjang. Nanti mantan aku nikah ga ada jedag jedugnya ga asik.</t>
  </si>
  <si>
    <t>Pulang jogging. 
 Harus sehat di situasi negara yang serba sakit. 
 Skip berita” yg bikin mental tidak sehat, lalu berdampak pada lambung. 
 Aku sih lagi fokus pada messi yang mau gabung ke PSMS Medan. 
 Abis ppkm dia tiba di kuala namu🥳 https://t.co/YVrTPTqznK</t>
  </si>
  <si>
    <t>Pulang jogging. Harus sehat di situasi negara yang serba sakit. Skip berita yg bikin mental tidak sehat, lalu berdampak pada lambung. Aku sih lagi fokus pada messi yang mau gabung ke PSMS Medan. Abis ppkm dia tiba di kuala namu</t>
  </si>
  <si>
    <t>@pakaipeci Ppkm ini dilanjut apa tidak ???? Kalo dilanjut sampai kapan ????</t>
  </si>
  <si>
    <t>Ppkm ini dilanjut apa tidak ???? Kalo dilanjut sampai kapan ????</t>
  </si>
  <si>
    <t>PPKM di perpanjang, hubungan kita semakin di halangi jarak.</t>
  </si>
  <si>
    <t>Yg usul pake istilah "Level" di aturan PPKM pasti sekarang lagi kayak yang "anying keren banget si gua teh gening anying"</t>
  </si>
  <si>
    <t>Udah intinya dilogika aja sekarang PPKM bakal diperpanjang terus,soalnya apapun yang merugikan negara yah pasti dilarang dan dibatasi,negara lagi butuh uang 🤣 soalnya yang diuntungkan yang elit dan berharta yang punya kuasa.
 #MusnahkanBuzzer 
 #PPKM 
 #PPKMSengsarakanRakyat</t>
  </si>
  <si>
    <t>Udah intinya dilogika aja sekarang PPKM bakal diperpanjang terus,soalnya apapun yang merugikan negara yah pasti dilarang dan dibatasi,negara lagi butuh uang soalnya yang diuntungkan yang elit dan berharta yang punya kuasa.</t>
  </si>
  <si>
    <t>jgn lupa awali harimu dgn ngomong naspleeett, bismilah ppkm jd lebi ringan😇</t>
  </si>
  <si>
    <t>jgn lupa awali harimu dgn ngomong naspleeett, bismilah ppkm jd lebi ringan</t>
  </si>
  <si>
    <t>PPKM itu bukan krn urusan darurat
 Klo darurat maka gakan ada tka cayna trus datang selama PPKM, betul apa bener?</t>
  </si>
  <si>
    <t>PPKM itu bukan krn urusan daruratKlo darurat maka gakan ada tka cayna trus datang selama PPKM, betul apa bener?</t>
  </si>
  <si>
    <t>Ini tanggal yg sering2 di planingkan dengan kata " nanti ketemu selesai ppkm yah" dan selalu gagal karna makin d perpanjang :') https://t.co/60ABUku5wc</t>
  </si>
  <si>
    <t>Ini tanggal yg sering2 di planingkan dengan kata " nanti ketemu selesai ppkm yah" dan selalu gagal karna makin d perpanjang :')</t>
  </si>
  <si>
    <t>@ppalranghae tapi kalau ky hari ini kan selasa, bedanya sm dipindah ke rabu apaa? kan ga harpitnas juga ya? trs ppkm bukannya gabisa mudik?</t>
  </si>
  <si>
    <t>tapi kalau ky hari ini kan selasa, bedanya sm dipindah ke rabu apaa? kan ga harpitnas juga ya? trs ppkm bukannya gabisa mudik?</t>
  </si>
  <si>
    <t>Ya sbnrnya lumayan diringankan dgn adanya kebijakan boleh dine in. Tp agak eneg nya ppkm tuh bukan masalah nongkrongnya sih, tapi akses jalan yg ditutup</t>
  </si>
  <si>
    <t>Ppkm diperpanjang nanti pas hut indonesia ga ada ppkm, habis itu diperpanjang lagi sampai vaksinanisasi selesai.</t>
  </si>
  <si>
    <t>@Zahrah40291660 @nana040461 kenapa kita masih diam ya?!? PPKM terus berlanjut TAPI TKA China juga tak pernah berhenti! 
 ini harus ada gerakan nyata!</t>
  </si>
  <si>
    <t>kenapa kita masih diam ya?!? PPKM terus berlanjut TAPI TKA China juga tak pernah berhenti! ini harus ada gerakan nyata!</t>
  </si>
  <si>
    <t>Ade ade aje ppkm banyak bener levelnye macem seblak</t>
  </si>
  <si>
    <t>Jadi ppkm diperpanjang ya?</t>
  </si>
  <si>
    <t>Dikira ppkm selesai kemaren eh malah di perpanjang, dan akupun hanya bisa menghela nafas astaghfirullah bisa stress kayanya gini aja :))</t>
  </si>
  <si>
    <t>Dikira ppkm selesai kemaren eh malah di perpanjang, dan akupun hanya bisa menghela nafas astaghfirullah bisa stress kayanya gini aja</t>
  </si>
  <si>
    <t>@baetterfly_ @pieckmeupp @dinashfly224 @tubirfess PSBB, PPKM, PPKM Mikro, PPKM Darurat, PPKM level 4.
 Lama2 kesel dengernya, like for what?? gonta-ganti istilah tapi solusi dan bantuan sampai ke hilir pun hampir ga keliatan.</t>
  </si>
  <si>
    <t>PSBB, PPKM, PPKM Mikro, PPKM Darurat, PPKM level .Lama2 kesel dengernya, like for what?? gonta-ganti istilah tapi solusi dan bantuan sampai ke hilir pun hampir ga keliatan.</t>
  </si>
  <si>
    <t>PPKM Diperpanjang sampai .. (wrong answer only)</t>
  </si>
  <si>
    <t>Bisa nih buat jadwal arisan tiap perpanjangan ppkm, mingguan soalnya</t>
  </si>
  <si>
    <t>PPKM diperpanjang lagi, otw penggemukan badan</t>
  </si>
  <si>
    <t>ppkm diperpanjang sampe mas brian mencintaiku</t>
  </si>
  <si>
    <t>Hadiah terindah di HUT RI ke 76th🇮🇩
 *PPKM yg sukses menurunkan kasus terpapar &amp;amp; kasus kematian.
 *Blok Rokan yg balik ke pelukan ibu Pertiwi setlh 70th "di jajah" asing
 *Olimpiade 2020 di Jepang yg membawa pulang byk medali emas
 *Miningkatnya pertumbuhan ekonomi 7%
 Dll
 🇮🇩🇮🇩❤🇮🇩🇮🇩 https://t.co/gyGDZMXkEf</t>
  </si>
  <si>
    <t>Hadiah terindah di HUT RI ke th*PPKM yg sukses menurunkan kasus terpapar &amp;amp; kasus kematian.*Blok Rokan yg balik ke pelukan ibu Pertiwi setlh th "di jajah" asing*Olimpiade di Jepang yg membawa pulang byk medali emas*Miningkatnya pertumbuhan ekonomi %Dll</t>
  </si>
  <si>
    <t>Tdinya sih pusing mau mikirin caption apa tentang ppkm, ehh malahan kepikiran kmu teross😌🙈🤣 https://t.co/sOOmyiBHOf</t>
  </si>
  <si>
    <t>Tdinya sih pusing mau mikirin caption apa tentang ppkm, ehh malahan kepikiran kmu teross</t>
  </si>
  <si>
    <t>@detikcom lo mah enak ppkm ge gaji masih gede tidur masih nyaman kendaraan masih oke
 lha gue ppkm terus lembur aja di bayar separo doang
 kerjanya mah iya di berangkat di per pagi
 jancuk</t>
  </si>
  <si>
    <t>lo mah enak ppkm ge gaji masih gede tidur masih nyaman kendaraan masih okelha gue ppkm terus lembur aja di bayar separo doangkerjanya mah iya di berangkat di per pagijancuk</t>
  </si>
  <si>
    <t>Fix gagal try out ke Bali karna ppkm di perpanjang</t>
  </si>
  <si>
    <t>PPKM dicicil seminggu demi seminggu, dan diumumkan di last minute adalah contoh tidak bertanggung jawabnya negara, testing makin hari makin sedikit, ampash</t>
  </si>
  <si>
    <t>PPKM di perpanjang lagi,?????
 Kapan ya virus Corona hilang</t>
  </si>
  <si>
    <t>PPKM di perpanjang lagi,?????Kapan ya virus Corona hilang</t>
  </si>
  <si>
    <t>@69_everyone Ppkm diperpanjang terus</t>
  </si>
  <si>
    <t>Ppkm diperpanjang terus</t>
  </si>
  <si>
    <t>Kasian ya yang mau nikah tertunda PPKM terus😎👍🏿</t>
  </si>
  <si>
    <t>Kasian ya yang mau nikah tertunda PPKM terus</t>
  </si>
  <si>
    <t>PPKM sama Liga 1 ini panitianya sama kayaknya. Mundur2 terus 😂</t>
  </si>
  <si>
    <t>PPKM sama Liga ini panitianya sama kayaknya. Mundur2 terus</t>
  </si>
  <si>
    <t>@galamedianews Tepat yang mana?
 Tepat 2 tahun ?
 Atau tepat PPKM, tanpa Santuni rakyat? Dan krn itu bebas TKA CHINA na terus masuk kah ?</t>
  </si>
  <si>
    <t>Tepat yang mana?Tepat tahun ?Atau tepat PPKM, tanpa Santuni rakyat? Dan krn itu bebas TKA CHINA na terus masuk kah ?</t>
  </si>
  <si>
    <t>Ternyata enggak cuma hubungan asmara aja yang bilang jalanin aja dulu, tapi PPKM juga nyuruh jalanin aja dulu. Lahhhh</t>
  </si>
  <si>
    <t>@arcanedf_ @AREAJULID Pastinya iyalah, ppkm kan diperpanjang terus sampai mampus</t>
  </si>
  <si>
    <t>Pastinya iyalah, ppkm kan diperpanjang terus sampai mampus</t>
  </si>
  <si>
    <t>@rahasia_ihh @agra22418919 Iy bget pasti di perpanjang trs smper akhir taun knya !! Hnya mereka yg tau smpe kpn ppkm berakhir</t>
  </si>
  <si>
    <t>Iy bget pasti di perpanjang trs smper akhir taun knya !! Hnya mereka yg tau smpe kpn ppkm berakhir</t>
  </si>
  <si>
    <t>@convomf tahun baru islam, harusnya hari ini tapi menghindari libur kejepit biar ga ada yang cuti dan jalan-jalan keluar kota selama masa PPKM :D</t>
  </si>
  <si>
    <t>tahun baru islam, harusnya hari ini tapi menghindari libur kejepit biar ga ada yang cuti dan jalan-jalan keluar kota selama masa PPKM</t>
  </si>
  <si>
    <t>Libur digeser ppkm diperpanjang :) what a lifeu :)</t>
  </si>
  <si>
    <t>Libur digeser ppkm diperpanjang what a lifeu</t>
  </si>
  <si>
    <t>PPkM urusan pemerintah.klu urusan perut urusan masing masing</t>
  </si>
  <si>
    <t>@culit_69 Gimana ga emosi.??? Mau bobo dah emosi ppkm</t>
  </si>
  <si>
    <t>Gimana ga emosi.??? Mau bobo dah emosi ppkm</t>
  </si>
  <si>
    <t>Pegell bgt denger ppkm diperpanjang terussss</t>
  </si>
  <si>
    <t>PPKM DI CICIL SEMINGGU LAGI</t>
  </si>
  <si>
    <t>Lupa klo masih PPKM, lanjut tidur , ijin klo lagi isoman 😁</t>
  </si>
  <si>
    <t>Lupa klo masih PPKM, lanjut tidur , ijin klo lagi isoman</t>
  </si>
  <si>
    <t>@hello_fika Iya, dan PPKM diperpanjang lagi ini.
 Dan utk di Riau 14 hr</t>
  </si>
  <si>
    <t>Iya, dan PPKM diperpanjang lagi ini.Dan utk di Riau hr</t>
  </si>
  <si>
    <t>Kita d suruh makan buah trus uang buat beli buah dari mana pak presiden sementara bapak lanjutkan ppkm #DayaRusakJokowiLuarbiasa https://t.co/kqZ7voX6Cw</t>
  </si>
  <si>
    <t>Kita d suruh makan buah trus uang buat beli buah dari mana pak presiden sementara bapak lanjutkan ppkm</t>
  </si>
  <si>
    <t>Baru tau kalo perpanjang ppkm bisa di samsat.</t>
  </si>
  <si>
    <t>Libur kan ppkm diperpanjang lagi 🙄 https://t.co/HY1R3NbUs5</t>
  </si>
  <si>
    <t>Libur kan ppkm diperpanjang lagi</t>
  </si>
  <si>
    <t>Ppkm dari awal libur semester sampe masuk lagi. Untung udah kuliah, gaakan ada tugas bahasa indonesia "ceritakan liburanmu"</t>
  </si>
  <si>
    <t>Masterchef indonesia sing dimasak ppkm dan kepak sayap https://t.co/SCMZK6Y7Fj</t>
  </si>
  <si>
    <t>Masterchef indonesia sing dimasak ppkm dan kepak sayap</t>
  </si>
  <si>
    <t>Masa harga gas mahal banget Sampai 24 ribu.di bikin susah carinya,kasihan rakyat kecil lagi susah.tolong pemerintah segera atasi hal ini.ada oknum atau pedagang yang nakal segera tindak tegas #PPKM #ganjar https://t.co/Wdp64KmnWA</t>
  </si>
  <si>
    <t>Masa harga gas mahal banget Sampai ribu.di bikin susah carinya,kasihan rakyat kecil lagi susah.tolong pemerintah segera atasi hal ini.ada oknum atau pedagang yang nakal segera tindak tegas</t>
  </si>
  <si>
    <t>@ganjarpranowo @ganjarpranowo pak ppkm diperpanjang sedangkan kok bank tidak diliburkan gimana nasib kami 😭😭😭🥺 berdagang dibatasi</t>
  </si>
  <si>
    <t>pak ppkm diperpanjang sedangkan kok bank tidak diliburkan gimana nasib kami berdagang dibatasi</t>
  </si>
  <si>
    <t>Paling sebel kalo ppkm diperpanjang itu, yang kerjanya harus di lapangan, suka dititipin kerjaan sama yang bisa wfh.</t>
  </si>
  <si>
    <t>@hourlyakew Bumn tuh the real ppkm pelan pelan kita mati</t>
  </si>
  <si>
    <t>Bumn tuh the real ppkm pelan pelan kita mati</t>
  </si>
  <si>
    <t>Entah seribu purnama atau beratus-ratus level PPKM, menyerah bukan sebuah akhir keputusan kan? Kita pasti bisa bestie ✨</t>
  </si>
  <si>
    <t>Entah seribu purnama atau beratus-ratus level PPKM, menyerah bukan sebuah akhir keputusan kan? Kita pasti bisa bestie</t>
  </si>
  <si>
    <t>@12penguinsboy Semoga dah gada lagi ppkm😭</t>
  </si>
  <si>
    <t>Semoga dah gada lagi ppkm</t>
  </si>
  <si>
    <t>PPKM lama-lama bikin gua positif depresi anj</t>
  </si>
  <si>
    <t>Ini kan lagi PPKM, apa mungkin komodo-komodo disana selama PPKM sudah bisa belajar merokok atau belajar bakar membakar lahan.? Emeijing sekali.</t>
  </si>
  <si>
    <t>kayaknya karena ppkm juga sih, tp yg pake sicepat dan lebih lama dikirim udah nyampe</t>
  </si>
  <si>
    <t>@twtmeong @collegemenfess Untuk gor ini untuk latihan gratis yaa, kecuali mau di sewa buat aacra besar ,,tapi karena ppkm gabisa di pake dulu ;(</t>
  </si>
  <si>
    <t>Untuk gor ini untuk latihan gratis yaa, kecuali mau di sewa buat aacra besar ,,tapi karena ppkm gabisa di pake dulu</t>
  </si>
  <si>
    <t>Ada apa ini sebenarnya, warga negara lain ramai meninggalkan Indonesia, tapi yang ini malah datang berbondong tak kenal waktu PPKM.. https://t.co/ZWl9ET2CQ6</t>
  </si>
  <si>
    <t>Ada apa ini sebenarnya, warga negara lain ramai meninggalkan Indonesia, tapi yang ini malah datang berbondong tak kenal waktu PPKM..</t>
  </si>
  <si>
    <t>@moonareas panjaaaangiiiiinnnnn kek ppkm</t>
  </si>
  <si>
    <t>panjaaaangiiiiinnnnn kek ppkm</t>
  </si>
  <si>
    <t>taman safari buka pls jangan ampe ppkm sampe desember terus masa berlaku abis ya asli mengsedih</t>
  </si>
  <si>
    <t>@SINDOnews Makanya sekarang robah tuh aturan PPKM ,walaupun adaPPKM tetap ada lonjakan virus varian , ganti aturan tingkatkan imun dan iman rumah" ibadah jangan sampai ada penutupan supaya virus varian tidak berkelanjutan ,</t>
  </si>
  <si>
    <t>Makanya sekarang robah tuh aturan PPKM ,walaupun adaPPKM tetap ada lonjakan virus varian , ganti aturan tingkatkan imun dan iman rumah" ibadah jangan sampai ada penutupan supaya virus varian tidak berkelanjutan ,</t>
  </si>
  <si>
    <t>PPKM ( Panitia Pelaksana Kedatangan Messi ) dilanjutkan di Paris. https://t.co/d9LAj7DEEy</t>
  </si>
  <si>
    <t>PPKM ( Panitia Pelaksana Kedatangan Messi ) dilanjutkan di Paris.</t>
  </si>
  <si>
    <t>Perampok pun tak ingin menderita pak @jokowi, bgmn dgn rakyat?
 Ohhh rakyat hidup bahagia kok dgn PPKM ini. Sekarang rakyat bisa tiduran, gk kerja, gk perlu makan, gk perlu bayar sewa kontakan, bayar listrik, bayar angsuran kendaraan dll.
 Karena pemerintahan menjamin. Ya kan? https://t.co/dBQgyRY0MV</t>
  </si>
  <si>
    <t>Perampok pun tak ingin menderita pak , bgmn dgn rakyat?Ohhh rakyat hidup bahagia kok dgn PPKM ini. Sekarang rakyat bisa tiduran, gk kerja, gk perlu makan, gk perlu bayar sewa kontakan, bayar listrik, bayar angsuran kendaraan dll.Karena pemerintahan menjamin. Ya kan?</t>
  </si>
  <si>
    <t>Ternyata Benar Kata TL @tvOneNews Di Negeri Setengah Parpol Berkuasa, Rakyat Tak Berkutik, Pandemi Serang Rakyat 103.Ribu Lebih Korban Covid19 Meninggal Virus Berasal dr Wuhan Negeri
 Tiongkok, Rakyat Sendiri Digembok2in PPKM Darurat, TKA
 Aseng Welcome https://t.co/FasewmKaFx</t>
  </si>
  <si>
    <t>Ternyata Benar Kata TL Di Negeri Setengah Parpol Berkuasa, Rakyat Tak Berkutik, Pandemi Serang Rakyat .Ribu Lebih Korban Covid19 Meninggal Virus Berasal dr Wuhan NegeriTiongkok, Rakyat Sendiri Digembok2in PPKM Darurat, TKAAseng Welcome</t>
  </si>
  <si>
    <t>Nasibbb apa yang bisa aku lakukan untuk keluarga kecil ku bola GK jalan n kerja liburrrrr terus menerus ppkm https://t.co/Mn28zG6emV</t>
  </si>
  <si>
    <t>Nasibbb apa yang bisa aku lakukan untuk keluarga kecil ku bola GK jalan n kerja liburrrrr terus menerus ppkm</t>
  </si>
  <si>
    <t>untukmu wahai Anggota DPR yang sudah kehilangan hati nuraninya kepada rakyat yg semakin sengsara.
 TKA dibolehkan masuk , PPKM diperpanjang untuk rakyat sendiri tanpa diberi makan. https://t.co/gbAIHOzMMt</t>
  </si>
  <si>
    <t>untukmu wahai Anggota DPR yang sudah kehilangan hati nuraninya kepada rakyat yg semakin sengsara.TKA dibolehkan masuk , PPKM diperpanjang untuk rakyat sendiri tanpa diberi makan.</t>
  </si>
  <si>
    <t>Sebenarnya gue ogah divaksin, tapi karena sekarang aturannya mulai ribet seperti ke mall harus ada surat vaksin keluar kota juga sama, ada gak yang dokter nya bisa Dateng ke rumah suntik vaksin gitu? Mager banget musti ngantri. titidlah
 JULIARI KONTOL
 PPKM</t>
  </si>
  <si>
    <t>Sebenarnya gue ogah divaksin, tapi karena sekarang aturannya mulai ribet seperti ke mall harus ada surat vaksin keluar kota juga sama, ada gak yang dokter nya bisa Dateng ke rumah suntik vaksin gitu? Mager banget musti ngantri. titidlahJULIARI KONTOLPPKM</t>
  </si>
  <si>
    <t>PPKM diperpanjang, kalau hubungan diperpanjang juga gak ? Wkwkwk</t>
  </si>
  <si>
    <t>Ppkm diperpanjang. Aku harus bisa menjaga imut tubuhku ini.</t>
  </si>
  <si>
    <t>@Anompuroi1 Perpanjang PPKM</t>
  </si>
  <si>
    <t>Perpanjang PPKM</t>
  </si>
  <si>
    <t>@_ekokuntadhi Allah Maha Adil dan tahu semua yg terbaik bagi hambaNya. Rezeki tidak diatur oleh PPKM, Krn rezekimu tahu dimanapun kamu berada, Jika pintu rezekimu tertutup, Allah akan membuka jendelaNya utk hambaNya yg ikhlas dan tawakkal. Insya Allah.</t>
  </si>
  <si>
    <t>Allah Maha Adil dan tahu semua yg terbaik bagi hambaNya. Rezeki tidak diatur oleh PPKM, Krn rezekimu tahu dimanapun kamu berada, Jika pintu rezekimu tertutup, Allah akan membuka jendelaNya utk hambaNya yg ikhlas dan tawakkal. Insya Allah.</t>
  </si>
  <si>
    <t>ppkm gini masi ada yg positif. salah siapa hayo?? bandel sih 😭</t>
  </si>
  <si>
    <t>ppkm gini masi ada yg positif. salah siapa hayo?? bandel sih</t>
  </si>
  <si>
    <t>Coba tanyakan kemarin ad menteri yg berkoar TKA di larang masuk saat ppkm level 4, ... Mungkin masih sehat orangnya https://t.co/RQQZ9y4GLk</t>
  </si>
  <si>
    <t>Coba tanyakan kemarin ad menteri yg berkoar TKA di larang masuk saat ppkm level , ... Mungkin masih sehat orangnya</t>
  </si>
  <si>
    <t>Udh seneng mall buka,dari awal PPKM ngidam bgt ke mall. Tapi harus tunjukin sertifikat vaksin itu yg bikin emosi dari kemaren Ya Allah :( kenapaa kenapaaaaaa</t>
  </si>
  <si>
    <t>Udh seneng mall buka,dari awal PPKM ngidam bgt ke mall. Tapi harus tunjukin sertifikat vaksin itu yg bikin emosi dari kemaren Ya Allah kenapaa kenapaaaaaa</t>
  </si>
  <si>
    <t>Good morning universe🌹
 Selamat hari rabu🌹💋❤.
 Tetap stay safe ya, inget masih ppkm, jangan demo demo. https://t.co/xJlKpooOQp</t>
  </si>
  <si>
    <t>Good morning universeSelamat hari rabu.Tetap stay safe ya, inget masih ppkm, jangan demo demo.</t>
  </si>
  <si>
    <t>Selama ppkm orang orang pribumi banyak yg kehilangan pekerjaan, dilain sisi ribuan tka asing masuk ke indonesia. Nice👍</t>
  </si>
  <si>
    <t>Selama ppkm orang orang pribumi banyak yg kehilangan pekerjaan, dilain sisi ribuan tka asing masuk ke indonesia. Nice</t>
  </si>
  <si>
    <t>Kapan yaa mulai dagang lagi,ppkm terus diperpanjang 🥺 apa kerja lgi aja ya dulu di pabrik yaampun bingung bgttttt...</t>
  </si>
  <si>
    <t>Kapan yaa mulai dagang lagi,ppkm terus diperpanjang apa kerja lgi aja ya dulu di pabrik yaampun bingung bgttttt...</t>
  </si>
  <si>
    <t>PPKM makin diperpanjang, maka Otak pun makin hari makin terisi dengan Konten TikTok</t>
  </si>
  <si>
    <t>Ppkm diperpanjang; rambut memanjang...</t>
  </si>
  <si>
    <t>@TMCPoldaMetro Aturan yg di pakai seharusnya di timbang jga dr segi kemaslahatan org byk pak!!!
 Jangan sekonyong-konyong ats kepentingan lain...
 Kmrn sewaktu IDUL ADHA PPKm berlaku sampe ada pemblokiran jalan, padahal ini acara keagamaan yang sangat sakral/@gung bg umat Islam.</t>
  </si>
  <si>
    <t>Aturan yg di pakai seharusnya di timbang jga dr segi kemaslahatan org byk pak!!!Jangan sekonyong-konyong ats kepentingan lain...Kmrn sewaktu IDUL ADHA PPKm berlaku sampe ada pemblokiran jalan, padahal ini acara keagamaan yang sangat sakral/ bg umat Islam.</t>
  </si>
  <si>
    <t>@TofaTofa_id Gi pada mikirin buat pengganti istilah² ppkm pe 2024..biar gada kata lockdown</t>
  </si>
  <si>
    <t>Gi pada mikirin buat pengganti istilah ppkm pe ..biar gada kata lockdown</t>
  </si>
  <si>
    <t>@ronavioleta @jokowi PPKM di perpanjang pakai level lagi macem bon cabe aja.</t>
  </si>
  <si>
    <t>PPKM di perpanjang pakai level lagi macem bon cabe aja.</t>
  </si>
  <si>
    <t>@aniesbaswedan bapak ini gmn ya, udah jelas yg plg efektif itu cekal bossnya, penjarakan klo ada yg langgar peraturan PPKM, lah klo gini yg susah karyawan lg, rakyat kecil lg, gak bakal turun mobilitas, kasus naik lg krn org empet²an naek angkutan umum 😓
 https://t.co/Ne7px0IZoa</t>
  </si>
  <si>
    <t>bapak ini gmn ya, udah jelas yg plg efektif itu cekal bossnya, penjarakan klo ada yg langgar peraturan PPKM, lah klo gini yg susah karyawan lg, rakyat kecil lg, gak bakal turun mobilitas, kasus naik lg krn org empetan naek angkutan umum</t>
  </si>
  <si>
    <t>Nasib tambahan GK karuan ppkm terus menerus di panjang aku jd sulit untuk cari nafkah untuk keluarga kecil istri dan anak ku kerja liburrrrr terus susu popok jd kebutuhan dapur habis duit nipis galih lubang tutup lubang moga kelak anak ku GK alami https://t.co/Mk7F4ENYmn</t>
  </si>
  <si>
    <t>Nasib tambahan GK karuan ppkm terus menerus di panjang aku jd sulit untuk cari nafkah untuk keluarga kecil istri dan anak ku kerja liburrrrr terus susu popok jd kebutuhan dapur habis duit nipis galih lubang tutup lubang moga kelak anak ku GK alami</t>
  </si>
  <si>
    <t>PPKM
 Pelan - pelan kita mati.</t>
  </si>
  <si>
    <t>PPKMPelan - pelan kita mati.</t>
  </si>
  <si>
    <t>Agustus ini lombanya bertahan hidup dan ppkm ini aslinya bisa setahun kedepan, cuma dicicil seminggu.seminggu ......</t>
  </si>
  <si>
    <t>Menghapus angka kematian dari indikator penilaian PPKM level 4 dinilai berbahaya karena penanganan Covid-19 dilakukan tanpa panduan yang benar. Cara ini menyebabkan penanganan Covid-19 bagaikan mobil tanpa spion. #korantempodigital #KoranTempo https://t.co/F41Wn8CBNT</t>
  </si>
  <si>
    <t>Menghapus angka kematian dari indikator penilaian PPKM level dinilai berbahaya karena penanganan Covid-19 dilakukan tanpa panduan yang benar. Cara ini menyebabkan penanganan Covid-19 bagaikan mobil tanpa spion.</t>
  </si>
  <si>
    <t>@VianiRahma1 @Cobeh09 Yang parah itu yg buat kebijakan ppkm tapi ngga ada bantuan buat rakyat kecil yg berpenghasilan harian.</t>
  </si>
  <si>
    <t>Yang parah itu yg buat kebijakan ppkm tapi ngga ada bantuan buat rakyat kecil yg berpenghasilan harian.</t>
  </si>
  <si>
    <t>ppkm : pelan pelan kita menggila</t>
  </si>
  <si>
    <t>Orang ppkm malah jadi kurus aja aneh https://t.co/vuwFTlhorQ</t>
  </si>
  <si>
    <t>Orang ppkm malah jadi kurus aja aneh</t>
  </si>
  <si>
    <t>PPKM aja diperpanjang..
 Pny km kpn diperpanjang ? 😋</t>
  </si>
  <si>
    <t>PPKM aja diperpanjang..Pny km kpn diperpanjang ?</t>
  </si>
  <si>
    <t>Ahlinya Ahli.. BANGSA SAKIT!! PPKM JAWA - BALI LANJUT, TKA CINA LANJUT.. https://t.co/GrCRro3vkl</t>
  </si>
  <si>
    <t>Ahlinya Ahli.. BANGSA SAKIT!! PPKM JAWA - BALI LANJUT, TKA CINA LANJUT..</t>
  </si>
  <si>
    <t>warga di gembar gembor taat prokes.. ppkm diperpanjang.. orang cari nafkah dibubarin.. but another side.... yauda lahya namanya juga repvblik wakanda https://t.co/eLPXR1F89M</t>
  </si>
  <si>
    <t>warga di gembar gembor taat prokes.. ppkm diperpanjang.. orang cari nafkah dibubarin.. but another side.... yauda lahya namanya juga repvblik wakanda</t>
  </si>
  <si>
    <t>@Cobeh09 Hehehe Aamiin Ya Alloh...yg suka PPKM opung superhero.... hatinya sudah mati... tidak kasihan rakyat.</t>
  </si>
  <si>
    <t>Hehehe Aamiin Ya Alloh...yg suka PPKM opung superhero.... hatinya sudah mati... tidak kasihan rakyat.</t>
  </si>
  <si>
    <t>PPKM Jawa - Bali, yg lain juga ikut2tan.. taikkk.. https://t.co/kylBDbltDh</t>
  </si>
  <si>
    <t>PPKM Jawa - Bali, yg lain juga ikut2tan.. taikkk..</t>
  </si>
  <si>
    <t>@Kenzo_Hamtaro @Beritasatu Gila bin ga waras, ppkm membatasi rakyat....menyusahkan rakyat anehnya malah memuluskan aseng asing nyeplos lagi....nyeplos lagi....!!!</t>
  </si>
  <si>
    <t>Gila bin ga waras, ppkm membatasi rakyat....menyusahkan rakyat anehnya malah memuluskan aseng asing nyeplos lagi....nyeplos lagi....!!!</t>
  </si>
  <si>
    <t>@Cobeh09 Ppkm d perpanjang perminggu agar dana Rp 11.000.000.000.000 T Cukup sampai tahun 2024
 😁😀 https://t.co/crlTc414Rl</t>
  </si>
  <si>
    <t>Ppkm d perpanjang perminggu agar dana Rp T Cukup sampai tahun</t>
  </si>
  <si>
    <t>ppkm bikin gw miskin</t>
  </si>
  <si>
    <t>PPKM diperpanjang Sampai kaMu daN aKu jadi suami isTri .</t>
  </si>
  <si>
    <t>Gue setuju.
 At least kampus harus menerapkan kelonggaran ttg ini. Apalagi buat yg bikin skripsinya deskriptif dan eksperimen. Mereka butuh lab, mereka butuh lokus. Sedangkan semua itu tutup karena PPKM. https://t.co/xKgir73Nro</t>
  </si>
  <si>
    <t>Gue setuju.At least kampus harus menerapkan kelonggaran ttg ini. Apalagi buat yg bikin skripsinya deskriptif dan eksperimen. Mereka butuh lab, mereka butuh lokus. Sedangkan semua itu tutup karena PPKM.</t>
  </si>
  <si>
    <t>@DinaLuthfianaa Lagian mau kmn juga hahaha ppkm gini 😂😂😂</t>
  </si>
  <si>
    <t>Lagian mau kmn juga hahaha ppkm gini</t>
  </si>
  <si>
    <t>@Andrian09799753 Di saat negara2 lain udah mulai normal Indonesia masiih we riweuh PPKM berlevel2😄</t>
  </si>
  <si>
    <t>Di saat negara2 lain udah mulai normal Indonesia masiih we riweuh PPKM berlevel2</t>
  </si>
  <si>
    <t>PPKM aslinya setahun, cuma di cicil seminggu-seminggu</t>
  </si>
  <si>
    <t>Tempo jg menafsirkan penghapusan data kematian tidak spesifik utk pengambilan keputusan soal PPKM daerah dan tanggal tertentu saja. https://t.co/jWgt9zwVMi</t>
  </si>
  <si>
    <t>Tempo jg menafsirkan penghapusan data kematian tidak spesifik utk pengambilan keputusan soal PPKM daerah dan tanggal tertentu saja.</t>
  </si>
  <si>
    <t>Pandemi gini napa oknum pemerintah yang stress makin jadi tingkahnya, mentang-mentang gabisa dibakar masa ya kantor lu pas ppkm gini. Sadar woy.</t>
  </si>
  <si>
    <t>Intinya mah kalo mau nyamain penanganan covid di negara berkembang banyak penduduk kaya indonesia dgn negara lain (mis. amerika yg penduduknya jg banyak, atau singapura yg sesama asean), ya jelas beda lah :') vaksin dibuat ribet, pengumuman perpanjangan ppkm aja mepet deadline🙈</t>
  </si>
  <si>
    <t>Intinya mah kalo mau nyamain penanganan covid di negara berkembang banyak penduduk kaya indonesia dgn negara lain (mis. amerika yg penduduknya jg banyak, atau singapura yg sesama asean), ya jelas beda lah :') vaksin dibuat ribet, pengumuman perpanjangan ppkm aja mepet deadline</t>
  </si>
  <si>
    <t>@SahabatSaber @SantorinisSun Cuma maen2 mungkin..krn iseng gegara ppkm...minta maaf aja...ke pa mahfud. 😆</t>
  </si>
  <si>
    <t>Cuma maen2 mungkin..krn iseng gegara ppkm...minta maaf aja...ke pa mahfud.</t>
  </si>
  <si>
    <t>@pidiyaaapipihh @collegemenfess Lah gue penelitian di rs, rsnya stop karna ppkm? Taun lalu juga, mau apa lo, gue niat stay di jkt pdhl anak rantau, lu kata ga niat?</t>
  </si>
  <si>
    <t>Lah gue penelitian di rs, rsnya stop karna ppkm? Taun lalu juga, mau apa lo, gue niat stay di jkt pdhl anak rantau, lu kata ga niat?</t>
  </si>
  <si>
    <t>@bdngfess Waktu ppkm pertama, aku kesana masih buka da</t>
  </si>
  <si>
    <t>Waktu ppkm pertama, aku kesana masih buka da</t>
  </si>
  <si>
    <t>PPKM cuma buat WNI
 Orang2 disini susah cari kerja, malah datang lagi 2x https://t.co/9821IsKi0u</t>
  </si>
  <si>
    <t>PPKM cuma buat WNIOrang2 disini susah cari kerja, malah datang lagi x</t>
  </si>
  <si>
    <t>Jadi fans PSG semenjak ppkm.</t>
  </si>
  <si>
    <t>@ganjarpranowo Pak nasib kami yg terkena pengurangan bagaimana sedangkan ppkm masih terus berjalan mencari pekerjaan baru pun susah karena ppjm juga. Bahkan dampak dr ppkm adalah masyarakat terpaksa melakukan pinjaman online hanya untuk memenuhi kebutuhan mendesak. Bahkan tlh bnyaj yg dirugikan</t>
  </si>
  <si>
    <t>Pak nasib kami yg terkena pengurangan bagaimana sedangkan ppkm masih terus berjalan mencari pekerjaan baru pun susah karena ppjm juga. Bahkan dampak dr ppkm adalah masyarakat terpaksa melakukan pinjaman online hanya untuk memenuhi kebutuhan mendesak. Bahkan tlh bnyaj yg dirugikan</t>
  </si>
  <si>
    <t>Assalamualaikum wr wb
 Met pagi warga TL met beraktivitas tetap disiplin prokes, taati PPKM, segera Vaksin, tetap Semangat dg MERAH PUTIH 🇲🇨🇲🇨🇲🇨✊✊✊ https://t.co/HqomQF4KII</t>
  </si>
  <si>
    <t>Assalamualaikum wr wbMet pagi warga TL met beraktivitas tetap disiplin prokes, taati PPKM, segera Vaksin, tetap Semangat dg MERAH PUTIH</t>
  </si>
  <si>
    <t>yaAllah ini kpn ppkm selesai nya⁉️</t>
  </si>
  <si>
    <t>yaAllah ini kpn ppkm selesai nya</t>
  </si>
  <si>
    <t>Mau ppkm diperpanjang atau gak, sebenarnya nggak ngaruh apa-apa sih untukku. Gini-gini aja, berangkat pagi pulang sore, libur tiga hari terus pengen lagi.😀</t>
  </si>
  <si>
    <t>Mau ppkm diperpanjang atau gak, sebenarnya nggak ngaruh apa-apa sih untukku. Gini-gini aja, berangkat pagi pulang sore, libur tiga hari terus pengen lagi.</t>
  </si>
  <si>
    <t>@detikcom Asyik ayo ladies yg udah gx kerja lagi karena PPKM, aturan baru tuh kita manfaatkan kesempatan ini.</t>
  </si>
  <si>
    <t>Asyik ayo ladies yg udah gx kerja lagi karena PPKM, aturan baru tuh kita manfaatkan kesempatan ini.</t>
  </si>
  <si>
    <t>perpanjang aje teross ppkm kntl</t>
  </si>
  <si>
    <t>@detikcom @auriga28th Lah emang ppkm ya ga usah jalan jalan pak😀</t>
  </si>
  <si>
    <t>Lah emang ppkm ya ga usah jalan jalan pak</t>
  </si>
  <si>
    <t>ppkm atau tidak sama saja bagi kami kaum buruh</t>
  </si>
  <si>
    <t>Ppkm lv4 ini kayak aku pas tk nyoba main yu gi oh di PS1, MANA NYAMPEE!!!
 Berkali” nyobain gagal mulu gabisa tamat. karena edukasinya belum nyampe, gimana cara main dan misi apa aja yg harus dilakukan. Tapi main aja gatau tamatnya gimana, serunya apa. Yg penting bisa fusion aja.</t>
  </si>
  <si>
    <t>Ppkm lv4 ini kayak aku pas tk nyoba main yu gi oh di PS1, MANA NYAMPEE!!!Berkali nyobain gagal mulu gabisa tamat. karena edukasinya belum nyampe, gimana cara main dan misi apa aja yg harus dilakukan. Tapi main aja gatau tamatnya gimana, serunya apa. Yg penting bisa fusion aja.</t>
  </si>
  <si>
    <t>Sempat kepikiran buat PINDAH NEGARA yang ga ada PPKM nya.</t>
  </si>
  <si>
    <t>@Cobeh09 Azab jenasah memanjang karena semasa hidupnya suka memperpanjang ppkm https://t.co/70lKbO9b2o</t>
  </si>
  <si>
    <t>Azab jenasah memanjang karena semasa hidupnya suka memperpanjang ppkm</t>
  </si>
  <si>
    <t>@AREAJULID 2020 PSBB
 2021 PPKM
 Eehh bansos nya di korupsi</t>
  </si>
  <si>
    <t>PSBB2021 PPKMEehh bansos nya di korupsi</t>
  </si>
  <si>
    <t>@undipmenfess apakah Anda tahu PPKM diperpanjang?</t>
  </si>
  <si>
    <t>apakah Anda tahu PPKM diperpanjang?</t>
  </si>
  <si>
    <t>@AREAJULID Gimana lagi, ppkm aja masi aja ada orang yang ga make masker, nongkrong, jalan jalan gimana kalo ppkm diberhentikan? Corona makin ngelunjak yang ada💔</t>
  </si>
  <si>
    <t>Gimana lagi, ppkm aja masi aja ada orang yang ga make masker, nongkrong, jalan jalan gimana kalo ppkm diberhentikan? Corona makin ngelunjak yang ada</t>
  </si>
  <si>
    <t>@TMCPoldaMetro Mau nanya bapak/ibuk, kalau pembayaran pajak kendaraan gimana ya, selama PPKM darurat sampai PPKM level 4 ini? Terima kasih sebelumnya</t>
  </si>
  <si>
    <t>Mau nanya bapak/ibuk, kalau pembayaran pajak kendaraan gimana ya, selama PPKM darurat sampai PPKM level ini? Terima kasih sebelumnya</t>
  </si>
  <si>
    <t>@Gojekmilitan Makanya aku minta bpk @AzzamIzzulhaq untuk berpikir ulang membantu orang disaat kena musibah malah mencaci maki ulama dan orang lain. Padahal dikolom komentar beliau banyak orang baik minta bantuan beliau pekerjaan karena kena dampak ppkm dan c19.</t>
  </si>
  <si>
    <t>Makanya aku minta bpk untuk berpikir ulang membantu orang disaat kena musibah malah mencaci maki ulama dan orang lain. Padahal dikolom komentar beliau banyak orang baik minta bantuan beliau pekerjaan karena kena dampak ppkm dan c19.</t>
  </si>
  <si>
    <t>@jajalipet kyknya ini bebas, msh td tanya jg, krn selama ppkm ga ada larangan utk itu, byk org nongkrong berjam-jam jg di sana</t>
  </si>
  <si>
    <t>kyknya ini bebas, msh td tanya jg, krn selama ppkm ga ada larangan utk itu, byk org nongkrong berjam-jam jg di sana</t>
  </si>
  <si>
    <t>PPKM sampai tgl 16
 Jumlah tes diturunkan
 Angka kematian tidak dihiraukan... 
 Tgl 17 bisa menyatakan merdeka dari kopit. 
 Kado kemerdekaan yang luar biasa....</t>
  </si>
  <si>
    <t>PPKM sampai tgl Jumlah tes diturunkanAngka kematian tidak dihiraukan... Tgl bisa menyatakan merdeka dari kopit. Kado kemerdekaan yang luar biasa....</t>
  </si>
  <si>
    <t>@Cobeh09 Karuan karantina udaaaah pake ppkm perpanjangan mulu 😑
 Semua juga pro pembatasan demi keselamatan, tapi ya emang kudu pake akal juga. Modal 11rb triliun lho di kantong, susah amat ngasih makan rakyat nalangi makannya selama karantina.</t>
  </si>
  <si>
    <t>Karuan karantina udaaaah pake ppkm perpanjangan mulu Semua juga pro pembatasan demi keselamatan, tapi ya emang kudu pake akal juga. Modal rb triliun lho di kantong, susah amat ngasih makan rakyat nalangi makannya selama karantina.</t>
  </si>
  <si>
    <t>ppkm dicicil terus tiap minggu, utang puasa kamu kapan nyicilnya?</t>
  </si>
  <si>
    <t>@TofaTofa_id Ya ppkm DARURAT MICRO mungkin hanya libur 1 hari yakni 17 Agustus 2021 selanjutnya ppkm DARURAT di lanjut</t>
  </si>
  <si>
    <t>Ya ppkm DARURAT MICRO mungkin hanya libur hari yakni Agustus selanjutnya ppkm DARURAT di lanjut</t>
  </si>
  <si>
    <t>pungli bansos ppkm? kenapa terjadi?
 saksikan ...!!!
 https://t.co/Nbd3Bzrs7n</t>
  </si>
  <si>
    <t>pungli bansos ppkm? kenapa terjadi?saksikan ...!!!</t>
  </si>
  <si>
    <t>ppkm terus, hadeh</t>
  </si>
  <si>
    <t>@Widino Ini cara pemerintah bang buat ppkm 1 bulan tapi di cicil hehehe
 Kaya naikin harga bensin</t>
  </si>
  <si>
    <t>Ini cara pemerintah bang buat ppkm bulan tapi di cicil heheheKaya naikin harga bensin</t>
  </si>
  <si>
    <t>@Rismaliez85 @RaniKancana_ Liburnya diperpanjang aja, ppkm nya juga diperpanjang ,tetap semangat 💪</t>
  </si>
  <si>
    <t>Liburnya diperpanjang aja, ppkm nya juga diperpanjang ,tetap semangat</t>
  </si>
  <si>
    <t>Akhirnya ketrima kerja di #PSG setelah nganggur karena #PPKM dirumahkan. #Messi #PPKMSengsarakanRakyat #diperpanjang https://t.co/djUlpciT1J</t>
  </si>
  <si>
    <t>Akhirnya ketrima kerja di setelah nganggur karena dirumahkan.</t>
  </si>
  <si>
    <t>Udh tau ppkm, masih aja ada yg nongkrong, bodoh bgtt</t>
  </si>
  <si>
    <t>@PutraWadapi @tonichan157 Jalan berliku menuju 2024, dengan cara apapun akan di usahakan untuk mendongkrak citra seperti pasang BALIHO ditengah tengah PPKM darurat dan penderitaan Rakyat.</t>
  </si>
  <si>
    <t>Jalan berliku menuju , dengan cara apapun akan di usahakan untuk mendongkrak citra seperti pasang BALIHO ditengah tengah PPKM darurat dan penderitaan Rakyat.</t>
  </si>
  <si>
    <t>PPKM darurat diperpanjang sampai kamu sadar kalau kamu dan dirinya tak mungkin bersatu</t>
  </si>
  <si>
    <t>@mountnesia pagi bikin planning, malam overthinking
 hiking dan camping gagal karena ppkm diperpANJING</t>
  </si>
  <si>
    <t>pagi bikin planning, malam overthinkinghiking dan camping gagal karena ppkm diperpANJING</t>
  </si>
  <si>
    <t>@ArdianZA__ @PlateJohnny @kemkominfo Boro boro diminta imbalan,selama PPKM ini saja aku blum dapat BST.😝😝😝</t>
  </si>
  <si>
    <t>Boro boro diminta imbalan,selama PPKM ini saja aku blum dapat BST.</t>
  </si>
  <si>
    <t>@wilismaw abu2 ni gegara ppkm terus kak 😞</t>
  </si>
  <si>
    <t>abu2 ni gegara ppkm terus kak</t>
  </si>
  <si>
    <t>@detikcom mantabs...
 lanjutkan perjuanganmu
 ndak peduli rakyat mu ndak makan karena kebijakan ppkm ini
 bravo...</t>
  </si>
  <si>
    <t>mantabs...lanjutkan perjuanganmundak peduli rakyat mu ndak makan karena kebijakan ppkm inibravo...</t>
  </si>
  <si>
    <t>Cobaan lg ppkm emang gak pernah nanggung</t>
  </si>
  <si>
    <t>@infomalang temen² info dong kuliner pagi di malang yg recomend dan masih ttp ON di masa ppkm gini dmn aja ya ?
 thankks ...😊</t>
  </si>
  <si>
    <t>temen info dong kuliner pagi di malang yg recomend dan masih ttp ON di masa ppkm gini dmn aja ya ?thankks ...</t>
  </si>
  <si>
    <t>ppkm darurat yang udah gak darurat lagi...
 ... rasanya</t>
  </si>
  <si>
    <t>ppkm darurat yang udah gak darurat lagi...... rasanya</t>
  </si>
  <si>
    <t>Nagih utang ke mantan boss,
 Meski nihil 😭😭😭 karena dia lagi trdampak PPKM. https://t.co/Ld7QyQm1DZ</t>
  </si>
  <si>
    <t>Nagih utang ke mantan boss,Meski nihil karena dia lagi trdampak PPKM.</t>
  </si>
  <si>
    <t>Aku nanya kakakku : eh ppkm dilanjut sampe 16 agustus kah?
 Kakakku : sampe kiamat katanya
 😭😭😭 https://t.co/4ZfQr3IBuj</t>
  </si>
  <si>
    <t>Aku nanya kakakku : eh ppkm dilanjut sampe agustus kah?Kakakku : sampe kiamat katanya</t>
  </si>
  <si>
    <t>@VIVAcoid Tp tdk utk pelayanan imigrasi, selama PPKM WNA d larang masuk masih bisa lolos kok..🤭</t>
  </si>
  <si>
    <t>Tp tdk utk pelayanan imigrasi, selama PPKM WNA d larang masuk masih bisa lolos kok..</t>
  </si>
  <si>
    <t>Ppkm = pelan2 kita mabur(terbang)
 Gimana nga terbang, jalanan aja pada ditutupin</t>
  </si>
  <si>
    <t>Ppkm = pelan2 kita mabur(terbang)Gimana nga terbang, jalanan aja pada ditutupin</t>
  </si>
  <si>
    <t>Nunggu ppkm selesai, pengen banget kesini https://t.co/2U6viPAalz</t>
  </si>
  <si>
    <t>Nunggu ppkm selesai, pengen banget kesini</t>
  </si>
  <si>
    <t>@Askrlfess Lah kalo dia nikah karena cinta ya good for her, kalo lu ga mau nikah karena mikir udh punya segalanya ya udah ga usah ngeriweuhin org mau nikah 
 Kaya emaknya aja lu ikut riweuh, ni PPKM diperpanjang makin banyak muncul orang2 aneh dah, kek beginian napa dibawa ke base ga phm</t>
  </si>
  <si>
    <t>Lah kalo dia nikah karena cinta ya good for her, kalo lu ga mau nikah karena mikir udh punya segalanya ya udah ga usah ngeriweuhin org mau nikah Kaya emaknya aja lu ikut riweuh, ni PPKM diperpanjang makin banyak muncul orang2 aneh dah, kek beginian napa dibawa ke base ga phm</t>
  </si>
  <si>
    <t>@UGM_FESS Permisi mau tanya. Misal nih, hp memorinya dh penuh (dh gaada yg bisa dihpus), laptop ga dukung krn dh tua (suka ngelag), gabisa minjem hp ortu krn dh usang jg. Lagi ppkm, gabisa minjem device temen. Terus gimn? Tetep gaboleh minta tolong temen berarti?</t>
  </si>
  <si>
    <t>Permisi mau tanya. Misal nih, hp memorinya dh penuh (dh gaada yg bisa dihpus), laptop ga dukung krn dh tua (suka ngelag), gabisa minjem hp ortu krn dh usang jg. Lagi ppkm, gabisa minjem device temen. Terus gimn? Tetep gaboleh minta tolong temen berarti?</t>
  </si>
  <si>
    <t>Temenku pulang dari rantauan, trus ngechat ngasih tau. Aku dah tau itu kode dari dia buat ngajak ketemu. Tp aku males ketemu, gak punya duit iya, ppkm diperpanjang iya, plus sekarang kerjaanku banyak. Trus dia cuma bales "oh ya udah deh", jd ngerasa bersalah, salah gak sih? 😭</t>
  </si>
  <si>
    <t>Temenku pulang dari rantauan, trus ngechat ngasih tau. Aku dah tau itu kode dari dia buat ngajak ketemu. Tp aku males ketemu, gak punya duit iya, ppkm diperpanjang iya, plus sekarang kerjaanku banyak. Trus dia cuma bales "oh ya udah deh", jd ngerasa bersalah, salah gak sih?</t>
  </si>
  <si>
    <t>@Sylucas9 Gw tau ppkm nambah kita jadi goblok
 Tapi ya gak goblok banget kaya gini juga yaelah, di pikir bagus apa kaya gitu, saran gw sih temen lu di rukiah nder, goblok nya udah tanpa batas</t>
  </si>
  <si>
    <t>Gw tau ppkm nambah kita jadi goblokTapi ya gak goblok banget kaya gini juga yaelah, di pikir bagus apa kaya gitu, saran gw sih temen lu di rukiah nder, goblok nya udah tanpa batas</t>
  </si>
  <si>
    <t>Mau tanya deh, kalau stay cation ke hotel gitu bisa gak sih selama PPKM ini?</t>
  </si>
  <si>
    <t>@_ekokuntadhi Loe udah nyoba naik kendaraan Umum slama PPKM ? Supir angkot ngeluh sepi .Lagian kendaraan Umum bukan bus aja ,Kalo mau nyaman bisa naik taksi . Gak punya duit naik Ojol sekalian kasih rezeki. @jokowi cape Mikirin corona eh elo malah ngajarin gak bener.</t>
  </si>
  <si>
    <t>Loe udah nyoba naik kendaraan Umum slama PPKM ? Supir angkot ngeluh sepi .Lagian kendaraan Umum bukan bus aja ,Kalo mau nyaman bisa naik taksi . Gak punya duit naik Ojol sekalian kasih rezeki. cape Mikirin corona eh elo malah ngajarin gak bener.</t>
  </si>
  <si>
    <t>Sahabat semeton tidak bisa selalu menunggu waktu yang tepat. Terkadang harus berani melompat. -- tapi tunggu PPKM selesai dulu ya - Selamat pagi https://t.co/OwPclESLly</t>
  </si>
  <si>
    <t>Sahabat semeton tidak bisa selalu menunggu waktu yang tepat. Terkadang harus berani melompat. -- tapi tunggu PPKM selesai dulu ya - Selamat pagi</t>
  </si>
  <si>
    <t>Ppkm diperpanjang sampe nabi isa turun. Berarti Dajjal ga akan ke indo. Nyabarin fitnahnya daring, lewat zoom. Astaga.</t>
  </si>
  <si>
    <t>@cinema21 Kapan buka bioskop..??
 Sma aja kyk tanya
 Kapan PPKM selesai..??</t>
  </si>
  <si>
    <t>Kapan buka bioskop..??Sma aja kyk tanyaKapan PPKM selesai..??</t>
  </si>
  <si>
    <t>@FOODFESS2 PPKM level 4 aja aku kuat, apalagi kalo cuma richeese</t>
  </si>
  <si>
    <t>PPKM level aja aku kuat, apalagi kalo cuma richeese</t>
  </si>
  <si>
    <t>@AgusSet09141777 @AzzamIzzulhaq Ati2 kualat ya. Hidup susah malah semakin mlarat loh. Ati2. PPKM pelan pelan kalian melarat</t>
  </si>
  <si>
    <t>Ati2 kualat ya. Hidup susah malah semakin mlarat loh. Ati2. PPKM pelan pelan kalian melarat</t>
  </si>
  <si>
    <t>Off begawi ditengah ppkm nih raminya beapa?</t>
  </si>
  <si>
    <t>@lyfesobad abis ppkm, ppkm lagi pak</t>
  </si>
  <si>
    <t>abis ppkm, ppkm lagi pak</t>
  </si>
  <si>
    <t>Panjang 
 Keras 
 Tahan lama 
 Bikin susah 
 PPKM 💯</t>
  </si>
  <si>
    <t>Panjang Keras Tahan lama Bikin susah PPKM</t>
  </si>
  <si>
    <t>Kubilang juga apa, PPKM tuh sebenernya setahun cuma nyicil aja tuh pengumumannya</t>
  </si>
  <si>
    <t>PPKM diperpahanjahang sampahai Messihi pindahah ke Bournemouth....</t>
  </si>
  <si>
    <t>Ppkm kapan beresnya si, pengen liburan gw😤</t>
  </si>
  <si>
    <t>Ppkm kapan beresnya si, pengen liburan gw</t>
  </si>
  <si>
    <t>@dewiratnadotid Semoga bansos-bansosnya tersalurkan dengan baik. Aamiin. 
 Semangat lanjut PPKM 💪🏽💪🏽</t>
  </si>
  <si>
    <t>Semoga bansos-bansosnya tersalurkan dengan baik. Aamiin. Semangat lanjut PPKM</t>
  </si>
  <si>
    <t>@AREAJULID Ngadi” nih orang kek paling ngerasa beban lu lbih besar dri pedagang yg nekat jual dimasa pandemi dan ppkm ini, kau masih bisa enk enk dngn uang yg kau telat sedngkn kau ga mkirn rakyat yg menderita dan skrng mau dibebasin . Otak kau gadekan atau gimana?! Gedek gw liat ni orng</t>
  </si>
  <si>
    <t>Ngadi nih orang kek paling ngerasa beban lu lbih besar dri pedagang yg nekat jual dimasa pandemi dan ppkm ini, kau masih bisa enk enk dngn uang yg kau telat sedngkn kau ga mkirn rakyat yg menderita dan skrng mau dibebasin . Otak kau gadekan atau gimana?! Gedek gw liat ni orng</t>
  </si>
  <si>
    <t>@sparklestarrr yuk dimna yg msh buka ppkm gini bray</t>
  </si>
  <si>
    <t>yuk dimna yg msh buka ppkm gini bray</t>
  </si>
  <si>
    <t>@bertanyarl gw malah kebiasaan diem rumah nder, keluar ya cuma kerja doang, skrg kalo keluar main kek males gitu bawaanya hahah kayanya udah terbiasa sama ppkm deh🤣</t>
  </si>
  <si>
    <t>gw malah kebiasaan diem rumah nder, keluar ya cuma kerja doang, skrg kalo keluar main kek males gitu bawaanya hahah kayanya udah terbiasa sama ppkm deh</t>
  </si>
  <si>
    <t>3 September yaa gaes.. Kalo PPKM nya gak diperpanjang terooos.. https://t.co/VD2H8hZyBm</t>
  </si>
  <si>
    <t>September yaa gaes.. Kalo PPKM nya gak diperpanjang terooos..</t>
  </si>
  <si>
    <t>@_ekokuntadhi Ppkm : Pegawai pemerintah kenyang makan,</t>
  </si>
  <si>
    <t>Ppkm : Pegawai pemerintah kenyang makan,</t>
  </si>
  <si>
    <t>@deditirf PPKM, Boy</t>
  </si>
  <si>
    <t>PPKM, Boy</t>
  </si>
  <si>
    <t>- PPKM diperpanjang ❎
 - PPKM dicicil ✅</t>
  </si>
  <si>
    <t>- PPKM diperpanjang - PPKM dicicil</t>
  </si>
  <si>
    <t>@redhasheila pedesnya dikamu biar kaya ppkm</t>
  </si>
  <si>
    <t>pedesnya dikamu biar kaya ppkm</t>
  </si>
  <si>
    <t>@ronavioleta @jokowi PPKM KOK nyicil,sekalian aja sekalian sebulan gitu.kl PPKM nyicil kayak gini berarti sama dong dengan lockdown versi negara miskin karena pemerintahnya tdk mampu membiayai makan rakyatnya.</t>
  </si>
  <si>
    <t>PPKM KOK nyicil,sekalian aja sekalian sebulan gitu.kl PPKM nyicil kayak gini berarti sama dong dengan lockdown versi negara miskin karena pemerintahnya tdk mampu membiayai makan rakyatnya.</t>
  </si>
  <si>
    <t>[cm] yg lagi pendidikan profesi fkg, kalian libur gak selama ppkm? 🙃</t>
  </si>
  <si>
    <t>[cm] yg lagi pendidikan profesi fkg, kalian libur gak selama ppkm?</t>
  </si>
  <si>
    <t>PERPANJANGAN PPKM APAPUNLAH JUDULNYA HANYALAH USAHA PEMERINTAH MELARIKAN DIRI DARI TANGGUNGJAWAB UU NO 6 THN 2018 TTG KARANTINA. PEMERINTAH SPT INI SDH TIDAK PANTAS UTK DIPERTAHANKAN. HARUS SEGERA DITURUNKAN DAN BERTANGGUNGJAWAB ATAS KORBAN 108RB LEBIH YG WAFAT</t>
  </si>
  <si>
    <t>PERPANJANGAN PPKM APAPUNLAH JUDULNYA HANYALAH USAHA PEMERINTAH MELARIKAN DIRI DARI TANGGUNGJAWAB UU NO THN TTG KARANTINA. PEMERINTAH SPT INI SDH TIDAK PANTAS UTK DIPERTAHANKAN. HARUS SEGERA DITURUNKAN DAN BERTANGGUNGJAWAB ATAS KORBAN RB LEBIH YG WAFAT</t>
  </si>
  <si>
    <t>Ppkm level 4 kek benteng yajuj dan majuz 😭 https://t.co/jiqq2XO8KH</t>
  </si>
  <si>
    <t>Ppkm level kek benteng yajuj dan majuz</t>
  </si>
  <si>
    <t>bukannya ppkm ya besok ak disuruh uji coba tatap muka 🤨</t>
  </si>
  <si>
    <t>bukannya ppkm ya besok ak disuruh uji coba tatap muka</t>
  </si>
  <si>
    <t>Ppkm nambah terus, hukuman koruptor terus dikurangi.... hasyuu</t>
  </si>
  <si>
    <t>@ntsana_ Taichan Taichan, Ppkm diperpanjang mulu. Semoga usahaku bisa berjuang melawan ini🤣🤣🤣 https://t.co/mhQ8J02qBU</t>
  </si>
  <si>
    <t>Taichan Taichan, Ppkm diperpanjang mulu. Semoga usahaku bisa berjuang melawan ini</t>
  </si>
  <si>
    <t>Kayaknya sih iya, PPKM dilanjutkan sampai 2024 👍 https://t.co/xnC2Fi44Bk</t>
  </si>
  <si>
    <t>Kayaknya sih iya, PPKM dilanjutkan sampai</t>
  </si>
  <si>
    <t>Krn PPKM diperpanjang, tetep hrs mengurangi mobilitas di luar rumah walopun skrg adlh hari libur. Nah biar nggak bosen di rumah aja, @deaaderiaa punya ide ttg perawatan wajah+tubuh yg bisa dilakuin di rumah, dan di #APELPAGI juga ada lagu kesukaanmu yg bisa direquest dr sekarang~ https://t.co/40QajZpvug</t>
  </si>
  <si>
    <t>Krn PPKM diperpanjang, tetep hrs mengurangi mobilitas di luar rumah walopun skrg adlh hari libur. Nah biar nggak bosen di rumah aja, punya ide ttg perawatan wajah+tubuh yg bisa dilakuin di rumah, dan di juga ada lagu kesukaanmu yg bisa direquest dr sekarang~</t>
  </si>
  <si>
    <t>Masa katanya ppkm ampe bulan desember</t>
  </si>
  <si>
    <t>@Beendro2 @Cobeh09 Ppkm gue nurut, vaksin gue nurut.. tapi kalo diperpanjang terus kapan pedagang kembali usaha goblok...lu pikir gampang ubah offline jadi online?</t>
  </si>
  <si>
    <t>Ppkm gue nurut, vaksin gue nurut.. tapi kalo diperpanjang terus kapan pedagang kembali usaha goblok...lu pikir gampang ubah offline jadi online?</t>
  </si>
  <si>
    <t>@rahmaniarbaftim Sangat bermanfaat krna PPKM konsepnya JALANI AJA DULU🙈🤭</t>
  </si>
  <si>
    <t>Sangat bermanfaat krna PPKM konsepnya JALANI AJA DULU</t>
  </si>
  <si>
    <t>Pak Gub @ganjarpranowo mau urus administrasi di Kecamatan ditolak dengan alasan PPKM.</t>
  </si>
  <si>
    <t>Pak Gub mau urus administrasi di Kecamatan ditolak dengan alasan PPKM.</t>
  </si>
  <si>
    <t>"PPKM diperpanjang, hubungan kita gimana yank? Diperpanjang gak?"</t>
  </si>
  <si>
    <t>kebijakan ppkm skrg ini tergaje selama pandemi, buat apa coba jalanan dalam kota disekat lagian banyak tempat ditutup juga kecuali sektor tertentu, mempersulit siapapun yg kerjanya ga bisa wfh. buat apa juga tanggal merah digeser, ga bisa juga rangorang liburan 🧐</t>
  </si>
  <si>
    <t>kebijakan ppkm skrg ini tergaje selama pandemi, buat apa coba jalanan dalam kota disekat lagian banyak tempat ditutup juga kecuali sektor tertentu, mempersulit siapapun yg kerjanya ga bisa wfh. buat apa juga tanggal merah digeser, ga bisa juga rangorang liburan</t>
  </si>
  <si>
    <t>@hanidany Berlanjut kayak ppkm</t>
  </si>
  <si>
    <t>Berlanjut kayak ppkm</t>
  </si>
  <si>
    <t>@TofaTofa_id Habis masa istilah PPKM tgl 30 desember atau 25 januari...ending.</t>
  </si>
  <si>
    <t>Habis masa istilah PPKM tgl desember atau januari...ending.</t>
  </si>
  <si>
    <t>Ppkm kok terus</t>
  </si>
  <si>
    <t>Tren kasus nya naik lo. Ppkm di perpanjang berarti tidak ngefek blas</t>
  </si>
  <si>
    <t>PPKM
 Pelan
 Pelan 
 Kita 
 Menang, 
 Langkah pasti Nastiti lan ngati-ati, pasti keMENANGan kita dapatkan
 Insyaallah. Aamiin</t>
  </si>
  <si>
    <t>PPKMPelanPelan Kita Menang, Langkah pasti Nastiti lan ngati-ati, pasti keMENANGan kita dapatkanInsyaallah. Aamiin</t>
  </si>
  <si>
    <t>@daraprayoga_ Betul banget ppkm di cicil selama setahun</t>
  </si>
  <si>
    <t>Betul banget ppkm di cicil selama setahun</t>
  </si>
  <si>
    <t>Sdh tau PPKM, sengaja biar tdk jadi ini mah.
 Dibuat seolah2 balapan nya ada, pdhal tau ga bakal terlaksana https://t.co/9MyicrgWCN</t>
  </si>
  <si>
    <t>Sdh tau PPKM, sengaja biar tdk jadi ini mah.Dibuat seolah2 balapan nya ada, pdhal tau ga bakal terlaksana</t>
  </si>
  <si>
    <t>@detikcom Selama ada uu atau peraturan ppkm, apakah ada klausul walikota bisa membebaskan pelanggar ???</t>
  </si>
  <si>
    <t>Selama ada uu atau peraturan ppkm, apakah ada klausul walikota bisa membebaskan pelanggar ???</t>
  </si>
  <si>
    <t>@hyunsukadbis Ppkm pada subur² ya yang udah berumah tangga</t>
  </si>
  <si>
    <t>Ppkm pada subur ya yang udah berumah tangga</t>
  </si>
  <si>
    <t>@AzzamIzzulhaq Alhamduliah, setelah psbb nganggur lama ga ada penghasilan tetap, di program PPKM ini malah saya sempet dapat duit banyak walau ga ada kerjaan
 Terima kasih yg udah take over kredit rumah saya, walau punya bekal menyambung hidup, rumah harus melayang
 Ditunggu ppkm level 10 nya</t>
  </si>
  <si>
    <t>Alhamduliah, setelah psbb nganggur lama ga ada penghasilan tetap, di program PPKM ini malah saya sempet dapat duit banyak walau ga ada kerjaanTerima kasih yg udah take over kredit rumah saya, walau punya bekal menyambung hidup, rumah harus melayangDitunggu ppkm level nya</t>
  </si>
  <si>
    <t>@TofaTofa_id Nggak apa-apa PPKM diterapkan aja terus. Selamanya pun boleh. Rakyat kita kan penurut. Yang penting TKA boleh masuk. Kalau perlu kasih karpet merah!</t>
  </si>
  <si>
    <t>Nggak apa-apa PPKM diterapkan aja terus. Selamanya pun boleh. Rakyat kita kan penurut. Yang penting TKA boleh masuk. Kalau perlu kasih karpet merah!</t>
  </si>
  <si>
    <t>@ltsmeyo sejak ppkm diperpanjang</t>
  </si>
  <si>
    <t>sejak ppkm diperpanjang</t>
  </si>
  <si>
    <t>@Castelady ENAK BANGET stay safe adek NGGA DEH gak ikut, kakak nantj aja perginya nunggu habis ppkm</t>
  </si>
  <si>
    <t>ENAK BANGET stay safe adek NGGA DEH gak ikut, kakak nantj aja perginya nunggu habis ppkm</t>
  </si>
  <si>
    <t>PPKM level 4 entah hari keberapa
 Matahari kecut bersinar
 Melihat banyak baliho menutupi Pertiwi
 Mungkin kalau Matahari punya tangan, niscaya baliho itu disobek²nya. 
 Politisi budiman, adakah manfaat dirimu utk rakyat Indonesia? https://t.co/emVnxvy6gU</t>
  </si>
  <si>
    <t>PPKM level entah hari keberapaMatahari kecut bersinarMelihat banyak baliho menutupi PertiwiMungkin kalau Matahari punya tangan, niscaya baliho itu disobeknya. Politisi budiman, adakah manfaat dirimu utk rakyat Indonesia?</t>
  </si>
  <si>
    <t>@PoPoeet @ChrisJ_2211 @SPONSOR_GA1 Kaya ppkm yah level 4 pedesnya</t>
  </si>
  <si>
    <t>Kaya ppkm yah level pedesnya</t>
  </si>
  <si>
    <t>Penasaran dengan PPKM daerah kita ne, rasa biasa ae</t>
  </si>
  <si>
    <t>Ada untungnya juga nih ppkm, kalo ngga bisa jebol nih ak sehari bisa datang ke 3 nikahan</t>
  </si>
  <si>
    <t>Ada untungnya juga nih ppkm, kalo ngga bisa jebol nih ak sehari bisa datang ke nikahan</t>
  </si>
  <si>
    <t>@ronavioleta @jokowi Sekalian saja PPKM sampe 2024 biar ga ada istilah yang aneh aneh lagi</t>
  </si>
  <si>
    <t>Sekalian saja PPKM sampe biar ga ada istilah yang aneh aneh lagi</t>
  </si>
  <si>
    <t>@EnggalPMT Akhirnyaaaaaa.. Tujuan akhir hampir trcapai,,,
 Dan apkh mgk ini misi d perpanjangnya trus menerus ppkm?</t>
  </si>
  <si>
    <t>Akhirnyaaaaaa.. Tujuan akhir hampir trcapai,,,Dan apkh mgk ini misi d perpanjangnya trus menerus ppkm?</t>
  </si>
  <si>
    <t>@tubirfess Lu se nolep apa sih bisa sampe gak peka di luar ada apa? Gw yg nolep ajh tw ppkm diperpanjang seminggu sekali..</t>
  </si>
  <si>
    <t>Lu se nolep apa sih bisa sampe gak peka di luar ada apa? Gw yg nolep ajh tw ppkm diperpanjang seminggu sekali..</t>
  </si>
  <si>
    <t>@achadkadoel Beres PPKM gitu aja. amin</t>
  </si>
  <si>
    <t>Beres PPKM gitu aja. amin</t>
  </si>
  <si>
    <t>@kakdidik13 Udah tahu soal PPKM yang lanjut dan Alhamdulillah udah kelar vaksinnya</t>
  </si>
  <si>
    <t>Udah tahu soal PPKM yang lanjut dan Alhamdulillah udah kelar vaksinnya</t>
  </si>
  <si>
    <t>@Rafirochim pada ppkm ah tutup jam 8 gaseru</t>
  </si>
  <si>
    <t>pada ppkm ah tutup jam gaseru</t>
  </si>
  <si>
    <t>Mulai hari ini, diet!!makan cm 2 kali aja. Kayanya semenjak PPKM gue gendutan deh😫😫😫.</t>
  </si>
  <si>
    <t>Mulai hari ini, diet!!makan cm kali aja. Kayanya semenjak PPKM gue gendutan deh.</t>
  </si>
  <si>
    <t>@OposisiCerdas Ayo Bang FZ agendakan hak angket DPR Kenapa TKA dibiarkan masuk negeri kita saat rakyat sdg PPKM.</t>
  </si>
  <si>
    <t>Ayo Bang FZ agendakan hak angket DPR Kenapa TKA dibiarkan masuk negeri kita saat rakyat sdg PPKM.</t>
  </si>
  <si>
    <t>Dugaan saya, PPKM akan dimulai lagi setelah perayaan 17 Agustus. Hanya dugaan saja ya. Bisa meleset.</t>
  </si>
  <si>
    <t>Dugaan saya, PPKM akan dimulai lagi setelah perayaan Agustus. Hanya dugaan saja ya. Bisa meleset.</t>
  </si>
  <si>
    <t>Pas ppkm gabut ga si https://t.co/fC3B98CZdK</t>
  </si>
  <si>
    <t>Pas ppkm gabut ga si</t>
  </si>
  <si>
    <t>@detikcom Pandemi Cok masih PPKM</t>
  </si>
  <si>
    <t>Pandemi Cok masih PPKM</t>
  </si>
  <si>
    <t>@dwikimic Gimana mau gerak ppkm mulu</t>
  </si>
  <si>
    <t>Gimana mau gerak ppkm mulu</t>
  </si>
  <si>
    <t>@bertanyarl doa doa aja smoga gapapa, lagii juga kalo ga dibolehin ortu nurut aja nder. restu orang tua keselametan anak, ni lagii ppkm juga lo np kluar kota 😩</t>
  </si>
  <si>
    <t>doa doa aja smoga gapapa, lagii juga kalo ga dibolehin ortu nurut aja nder. restu orang tua keselametan anak, ni lagii ppkm juga lo np kluar kota</t>
  </si>
  <si>
    <t>@__Sridiana_3va Apkh ini misi Ppkm yg perpanjan trus?</t>
  </si>
  <si>
    <t>Apkh ini misi Ppkm yg perpanjan trus?</t>
  </si>
  <si>
    <t>@yunsitroh2014 Skrg incarannya udh MALL 😌. 
 Coba liat PPKM kmaren , gak adalagi penyekatan². Cuma rame sesaat di awal . Jakarta udh balik macet lagi . https://t.co/oHYmRFGvB0</t>
  </si>
  <si>
    <t>Skrg incarannya udh MALL . Coba liat PPKM kmaren , gak adalagi penyekatan. Cuma rame sesaat di awal . Jakarta udh balik macet lagi .</t>
  </si>
  <si>
    <t>PPKM yang memang bertujuan untuk menggeber proyek VaksinasiWAJIB sebelum 17Agustus2021 lewat berbagai paksaan &amp;amp; ancaman. Apa hasil/buah nya?
 Mendapat juara/rekor kematian tertinggi di dunia selama periode PPKM.
 MasihPercayaKEBETULAN?
 #QuoteOfTheDAY
 #KutipanHariINI
 #CatatanSiDOEL</t>
  </si>
  <si>
    <t>PPKM yang memang bertujuan untuk menggeber proyek VaksinasiWAJIB sebelum Agustus2021 lewat berbagai paksaan &amp;amp; ancaman. Apa hasil/buah nya?Mendapat juara/rekor kematian tertinggi di dunia selama periode PPKM.MasihPercayaKEBETULAN?</t>
  </si>
  <si>
    <t>@ronavioleta @jokowi Sy se77 bngt klo PPKM diperpanjang sampai tggl 17 .Agustus ..bhkan sampai akhir Agustus pun itu lbh baik ..dan itu hak pemeruntah ..krn penerintah tentunya sdh memperhitungkan dgn baik</t>
  </si>
  <si>
    <t>Sy se77 bngt klo PPKM diperpanjang sampai tggl .Agustus ..bhkan sampai akhir Agustus pun itu lbh baik ..dan itu hak pemeruntah ..krn penerintah tentunya sdh memperhitungkan dgn baik</t>
  </si>
  <si>
    <t>@dosolllswag Efek ppkm sugan :(</t>
  </si>
  <si>
    <t>Efek ppkm sugan</t>
  </si>
  <si>
    <t>curiga ini berita koruptor bansos yg minta bebas buat nutupin ppkm yg diperpanjang spy amarah masy. larinya ke koruptor ini doang🙄</t>
  </si>
  <si>
    <t>curiga ini berita koruptor bansos yg minta bebas buat nutupin ppkm yg diperpanjang spy amarah masy. larinya ke koruptor ini doang</t>
  </si>
  <si>
    <t>Lomba agustusan karena PPKM beginilah #DayaRusakJokowiLuarbiasa</t>
  </si>
  <si>
    <t>Lomba agustusan karena PPKM beginilah</t>
  </si>
  <si>
    <t>@erinajulia Be dibilang berhasil dong ya PPKM ini. Ya meski kita kudu sabar banget</t>
  </si>
  <si>
    <t>Be dibilang berhasil dong ya PPKM ini. Ya meski kita kudu sabar banget</t>
  </si>
  <si>
    <t>@NunaJaeh @orionskai @noexonolif19 kuy kak semoga ppkm selesai kita meet up</t>
  </si>
  <si>
    <t>kuy kak semoga ppkm selesai kita meet up</t>
  </si>
  <si>
    <t>@aariieefiiaanii @2_penguinn @catchmeupid tp nanti klo ngurusin ini katanya pemerintah indo bukannya ngurusin rakyat yg lg menderita krn PPKM, malah ngurusin ini</t>
  </si>
  <si>
    <t>tp nanti klo ngurusin ini katanya pemerintah indo bukannya ngurusin rakyat yg lg menderita krn PPKM, malah ngurusin ini</t>
  </si>
  <si>
    <t>@si_Balad @Cobeh09 Cerdas banget ente komentarnye, sayang kajian ente tidak sedalam rencana pemerintah jangka panjang..
 Ente pernah berpikir jika PPKM diperpanjang sampai 2024, bagaimane nasib pilpres?
 Bisa jadi keadaan darurat diberlakukan, pemerintah perpanjang masa jabatan..
 Smoga faham semua..</t>
  </si>
  <si>
    <t>Cerdas banget ente komentarnye, sayang kajian ente tidak sedalam rencana pemerintah jangka panjang..Ente pernah berpikir jika PPKM diperpanjang sampai , bagaimane nasib pilpres?Bisa jadi keadaan darurat diberlakukan, pemerintah perpanjang masa jabatan..Smoga faham semua..</t>
  </si>
  <si>
    <t>@jizz62 Alhamdulillah ya. PPKM lanjut, tapi tetap ada bansos juga. Minimal buat kebutuhan dasar kita</t>
  </si>
  <si>
    <t>Alhamdulillah ya. PPKM lanjut, tapi tetap ada bansos juga. Minimal buat kebutuhan dasar kita</t>
  </si>
  <si>
    <t>@qalsrama Stok ppkm masih banyak..smp 2024</t>
  </si>
  <si>
    <t>Stok ppkm masih banyak..smp</t>
  </si>
  <si>
    <t>@lrlxn @jack hbd terus bo sampe beres ppkm</t>
  </si>
  <si>
    <t>hbd terus bo sampe beres ppkm</t>
  </si>
  <si>
    <t>ini kalo sampe september masih ppkm, aku akan melewati fase di mana intl fans lagi rame pada ngehype shang-chi tapi di sini gak bisa, bahkan black widow aja belum sampe d+ indo :)) pain</t>
  </si>
  <si>
    <t>ini kalo sampe september masih ppkm, aku akan melewati fase di mana intl fans lagi rame pada ngehype shang-chi tapi di sini gak bisa, bahkan black widow aja belum sampe d+ indo pain</t>
  </si>
  <si>
    <t>Ppkm diperpanjang lagi kita tidur aja lagi</t>
  </si>
  <si>
    <t>Kayanya ppkm mau selsai dah soalnya pos penyekatan ada yg udh dibongkar</t>
  </si>
  <si>
    <t>polusi udara Jakarta kok masih tinggi ya padahal PPKM di perpanjang terus ..</t>
  </si>
  <si>
    <t>@makLambeTurah PcR jd syarat utk kmn2, tp hrga selangit. (India cm 97 rb). Rakyat disuruh jga prokes, tp R-1 bikin kerumunan. Rakyat dimnta berhemat, tp para pjbt foya2. Rkyt dikurung ppkm, tp TKA lggng kangkung. Rkyat dmnta jga kerukunan, tp BuzzeRp dipiara mncing2 prmusuhn. 🤦🤦</t>
  </si>
  <si>
    <t>PcR jd syarat utk kmn2, tp hrga selangit. (India cm rb). Rakyat disuruh jga prokes, tp R-1 bikin kerumunan. Rakyat dimnta berhemat, tp para pjbt foya2. Rkyt dikurung ppkm, tp TKA lggng kangkung. Rkyat dmnta jga kerukunan, tp BuzzeRp dipiara mncing2 prmusuhn.</t>
  </si>
  <si>
    <t>@kostanalter PPKM nder</t>
  </si>
  <si>
    <t>PPKM nder</t>
  </si>
  <si>
    <t>Meski banyak yg mengeluh dan menggerutu tentang ppkm, alhamdulillah Di daerahku Suasana tetap Adem ayem Dan optimis menyongsong Hari esok yg lebih baik. Merdeka.....!!!!! https://t.co/mzkb6bGWk9</t>
  </si>
  <si>
    <t>Meski banyak yg mengeluh dan menggerutu tentang ppkm, alhamdulillah Di daerahku Suasana tetap Adem ayem Dan optimis menyongsong Hari esok yg lebih baik. Merdeka.....!!!!!</t>
  </si>
  <si>
    <t>Idup gini" mulu. Kerja kagak digaji kagak. Ngabis"in tanbungan ANJEEENGG!!!! kapan PPKM selesai bangsT !!!!! Aaaaarrrrggfhhh</t>
  </si>
  <si>
    <t>@terrorizzle2nd @tubirfess Brarti orang lain juga berhak liburan ya. Trus apa guna ppkm sih?</t>
  </si>
  <si>
    <t>Brarti orang lain juga berhak liburan ya. Trus apa guna ppkm sih?</t>
  </si>
  <si>
    <t>Ppkm ditambah buat apa? Klu yg buat melanggar..... Adeh..😔 https://t.co/IFrjLl6vZA</t>
  </si>
  <si>
    <t>Ppkm ditambah buat apa? Klu yg buat melanggar..... Adeh..</t>
  </si>
  <si>
    <t>@xjeongwoo Efek ppkm emang ngeri ya</t>
  </si>
  <si>
    <t>Efek ppkm emang ngeri ya</t>
  </si>
  <si>
    <t>ppkm sampe kapan sih🥸</t>
  </si>
  <si>
    <t>ppkm sampe kapan sih</t>
  </si>
  <si>
    <t>@sundastruggles Nyeri hatena diperpanjang jiga ppkm anyeng :(</t>
  </si>
  <si>
    <t>Nyeri hatena diperpanjang jiga ppkm anyeng</t>
  </si>
  <si>
    <t>nikah pas ppkm enak nie (hemat budget)</t>
  </si>
  <si>
    <t>Ingat dulu wuhan kena virus penerbangan buka.
 Tambah rame.. India varian delta juga di buka penerbangan.,, sekarang china varian delta aktif.. Pekerja china tetap berdatangan lagi.., sementara ada program ppkm.. Trus buat apa????
 Kematian tinggi sedunia..
 Ekonomi jeblok</t>
  </si>
  <si>
    <t>Ingat dulu wuhan kena virus penerbangan buka.Tambah rame.. India varian delta juga di buka penerbangan.,, sekarang china varian delta aktif.. Pekerja china tetap berdatangan lagi.., sementara ada program ppkm.. Trus buat apa????Kematian tinggi sedunia..Ekonomi jeblok</t>
  </si>
  <si>
    <t>ppkm.. pengen pacarin kageyama miwa..</t>
  </si>
  <si>
    <t>@zarazettirazr Intinya Ngak berani urus Rakyatnya,,PPKM ada Levelnya mirip makanan seblak tingkat pedes nya,,tapi ngak mikir pedesnya hidup Rakyat.</t>
  </si>
  <si>
    <t>Intinya Ngak berani urus Rakyatnya,,PPKM ada Levelnya mirip makanan seblak tingkat pedes nya,,tapi ngak mikir pedesnya hidup Rakyat.</t>
  </si>
  <si>
    <t>@linasbeneran ppkm ga bisa usaha</t>
  </si>
  <si>
    <t>ppkm ga bisa usaha</t>
  </si>
  <si>
    <t>@liputan6dotcom Pak @jokowi anda berani benar melanggar aturan ppkm pak Luhut?</t>
  </si>
  <si>
    <t>Pak anda berani benar melanggar aturan ppkm pak Luhut?</t>
  </si>
  <si>
    <t>@subschfess aku, semenjak ppkm sih</t>
  </si>
  <si>
    <t>aku, semenjak ppkm sih</t>
  </si>
  <si>
    <t>Sebenernya paling cocok nikah tuh ya pas ppkm, hemat duit😂</t>
  </si>
  <si>
    <t>Sebenernya paling cocok nikah tuh ya pas ppkm, hemat duit</t>
  </si>
  <si>
    <t>@AREAJULID Yg lain minta ppkm jgn diperpanjang karna gk bisa kerja dan gk bisa makan. Ni orang cuma perkara kawinan sepi aja pake aksi segala</t>
  </si>
  <si>
    <t>Yg lain minta ppkm jgn diperpanjang karna gk bisa kerja dan gk bisa makan. Ni orang cuma perkara kawinan sepi aja pake aksi segala</t>
  </si>
  <si>
    <t>@bertanyarl kontra lah. ppkm gini kok nekat menikah, trus setelah ppkm, mau menggelar pernikahan yang bisa dihadiri 30 orang lebih? mau kena covid?. where's the logic tho?</t>
  </si>
  <si>
    <t>kontra lah. ppkm gini kok nekat menikah, trus setelah ppkm, mau menggelar pernikahan yang bisa dihadiri orang lebih? mau kena covid?. where's the logic tho?</t>
  </si>
  <si>
    <t>@AdamAraIraa3 @IvoneHall Panjangin dikit mb jgn amp kalah m ppkm 🤣🤣🤣,</t>
  </si>
  <si>
    <t>Panjangin dikit mb jgn amp kalah m ppkm ,</t>
  </si>
  <si>
    <t>@CantikaCahyhani selamat pagi juga bunda,semangat terus biarpun ada PPKM jangan kasikendor</t>
  </si>
  <si>
    <t>selamat pagi juga bunda,semangat terus biarpun ada PPKM jangan kasikendor</t>
  </si>
  <si>
    <t>Beneran nih Sob, kita harus menjunjung persatuan dan kesatuan bangsa. Apalagi PPKM begini yah, semangat Sobat @smartfrenworld #UnlimitedBisaSemua https://t.co/1fjaFZA2ye</t>
  </si>
  <si>
    <t>Beneran nih Sob, kita harus menjunjung persatuan dan kesatuan bangsa. Apalagi PPKM begini yah, semangat Sobat</t>
  </si>
  <si>
    <t>@melaniesubono PPKM jalan terus tagihan juga jalan terus nih di sini 🤣🤣🤣🤣</t>
  </si>
  <si>
    <t>PPKM jalan terus tagihan juga jalan terus nih di sini</t>
  </si>
  <si>
    <t>Pengen pulang, kapan ppkm usai</t>
  </si>
  <si>
    <t>Curiga PPKM tuh bertaun bertaun sebenernya kebijakannya tapi dicicil perminggu perpanjangan kaya bank keliling.</t>
  </si>
  <si>
    <t>@PutraWadapi PPKM 
 PLANGA PLONGO
 KACUNG MADAM</t>
  </si>
  <si>
    <t>PPKM PLANGA PLONGOKACUNG MADAM</t>
  </si>
  <si>
    <t>@Arya38263584 Jauh aahh mending yg daerah Bogor aja...PPKM tauu ga punya kartu vaksin, jauh² ntar disuruh balik lg🙈🙈</t>
  </si>
  <si>
    <t>Jauh aahh mending yg daerah Bogor aja...PPKM tauu ga punya kartu vaksin, jauh ntar disuruh balik lg</t>
  </si>
  <si>
    <t>@fachrozi @budimandjatmiko Ahhh pengen disuapian aja loenya kan? Loe kira gampang lockdown? Wong PPKM aja dana bantuan banyak dipotong oknum, gimana lock down wah jadi bancakan orang orang yg selama ini, suka teriak teriak lockdown donk. Hal itu dah dipertimbang coiiiiii</t>
  </si>
  <si>
    <t>Ahhh pengen disuapian aja loenya kan? Loe kira gampang lockdown? Wong PPKM aja dana bantuan banyak dipotong oknum, gimana lock down wah jadi bancakan orang orang yg selama ini, suka teriak teriak lockdown donk. Hal itu dah dipertimbang coiiiiii</t>
  </si>
  <si>
    <t>@AREAJULID ntahlah gue selalu ngrasa lebay aja org org yg triak triak g trima ppkm cm perkara pgn nikah dengan ngundang banyan orang. Kek urusan lo ga seurgent orang2 yg dibatasin pekerjaannya grgr PPKM.</t>
  </si>
  <si>
    <t>ntahlah gue selalu ngrasa lebay aja org org yg triak triak g trima ppkm cm perkara pgn nikah dengan ngundang banyan orang. Kek urusan lo ga seurgent orang2 yg dibatasin pekerjaannya grgr PPKM.</t>
  </si>
  <si>
    <t>@MamaVira7 Ada ppkm dan jauh</t>
  </si>
  <si>
    <t>Ada ppkm dan jauh</t>
  </si>
  <si>
    <t>Lahir krisis, un paket2an, kurikulum uji coba, cbt, sidang wisuda online, kerja ppkm. Mentalnya yo bisa yo</t>
  </si>
  <si>
    <t>@yayayayayuhuy masih lebih kuat pedagang yang kena imbas PPKM sedangkan artis dan selebgram seenaknya ngadain party atau bahkan traveling kemana-mana!</t>
  </si>
  <si>
    <t>masih lebih kuat pedagang yang kena imbas PPKM sedangkan artis dan selebgram seenaknya ngadain party atau bahkan traveling kemana-mana!</t>
  </si>
  <si>
    <t>@imaqueennz Uang 11 ribu T dikantong @jokowi</t>
  </si>
  <si>
    <t>Uang ribu T dikantong</t>
  </si>
  <si>
    <t>ditengah kebijakan ppkm yg makin melonggar pelan2, msh nyata jg loh berita dr sodara2 kita yg kehilangan. super sedih bgt emg kl baca2in kisahnya, tp gpp malah jd reminder tersendiri sih. drpd percaya sm sikon yg 'keliatannya' baik2 aja, ko berasa kyk nipu diri sendiri 🙂</t>
  </si>
  <si>
    <t>ditengah kebijakan ppkm yg makin melonggar pelan2, msh nyata jg loh berita dr sodara2 kita yg kehilangan. super sedih bgt emg kl baca2in kisahnya, tp gpp malah jd reminder tersendiri sih. drpd percaya sm sikon yg 'keliatannya' baik2 aja, ko berasa kyk nipu diri sendiri</t>
  </si>
  <si>
    <t>@omnivorss @Guru_CPNS Gas donk abis ppkm</t>
  </si>
  <si>
    <t>Gas donk abis ppkm</t>
  </si>
  <si>
    <t>Semoga ini PPKM terakhir, saatnya beralih ke perbaikan ekonomi</t>
  </si>
  <si>
    <t>Gak perlu ditanggapi serius.
 Sesuka para partai saja.
 Bukti pemenang juga kurang peduli kali sama rakyat kecil mah.
 Bansos selalu lambat, diukur ukur jumlah banyak sedikitnya, diukur waktu dan kesinambungannya. Sementara PPKM diperpanjang entah sampe kapan ?
 Gak jelas targetnya https://t.co/h7VjVyqmWX</t>
  </si>
  <si>
    <t>Gak perlu ditanggapi serius.Sesuka para partai saja.Bukti pemenang juga kurang peduli kali sama rakyat kecil mah.Bansos selalu lambat, diukur ukur jumlah banyak sedikitnya, diukur waktu dan kesinambungannya. Sementara PPKM diperpanjang entah sampe kapan ?Gak jelas targetnya</t>
  </si>
  <si>
    <t>@detikcom Emang orang gak bener.sampek turunan tetep jadi korupsi.dia TDK pernah kasihan sama rakyat kecil.apalagi ppkm trs diperpanjang.ujurrrr</t>
  </si>
  <si>
    <t>Emang orang gak bener.sampek turunan tetep jadi korupsi.dia TDK pernah kasihan sama rakyat kecil.apalagi ppkm trs diperpanjang.ujurrrr</t>
  </si>
  <si>
    <t>Epek ppkm euy jadi aga melendung. 
 Sc : ig farxd_20 https://t.co/8qnX6s5er3</t>
  </si>
  <si>
    <t>Epek ppkm euy jadi aga melendung. Sc : ig farxd_20</t>
  </si>
  <si>
    <t>@geloraco Mksudnya PPKM DARURAT HANYA UNTUK RAKYAT ?</t>
  </si>
  <si>
    <t>Mksudnya PPKM DARURAT HANYA UNTUK RAKYAT ?</t>
  </si>
  <si>
    <t>mon maap bgt bgt, mau liburan buat self reward perjuangan smt lalu, eh malah ppkm. dan 2 minggu lagi dah mulaii smt gasal [cm]</t>
  </si>
  <si>
    <t>mon maap bgt bgt, mau liburan buat self reward perjuangan smt lalu, eh malah ppkm. dan minggu lagi dah mulaii smt gasal [cm]</t>
  </si>
  <si>
    <t>@PutraWadapi Katanya PPKM kok dilanggar sendiri?</t>
  </si>
  <si>
    <t>Katanya PPKM kok dilanggar sendiri?</t>
  </si>
  <si>
    <t>@detikcom Setuju aja PPKM dilanjut biar COVID bisa di rem .....</t>
  </si>
  <si>
    <t>Setuju aja PPKM dilanjut biar COVID bisa di rem .....</t>
  </si>
  <si>
    <t>@AREAJULID Egois ga sih orang-orang kaya gini? Sama aja kaya acil kintul yg ngadain birthday party pas ppkm kemaren</t>
  </si>
  <si>
    <t>Egois ga sih orang-orang kaya gini? Sama aja kaya acil kintul yg ngadain birthday party pas ppkm kemaren</t>
  </si>
  <si>
    <t>@enakpakebanget capek ppkm kak:(</t>
  </si>
  <si>
    <t>capek ppkm kak</t>
  </si>
  <si>
    <t>@zarazettirazr Slama pandemi juga dah pada beralih ke olshop kok. Emang akal2an aja bikin ppkm, cuma buat membungkam rakyat biar gak demo. Siapa yg demo bisa di jerat pasal.</t>
  </si>
  <si>
    <t>Slama pandemi juga dah pada beralih ke olshop kok. Emang akal2an aja bikin ppkm, cuma buat membungkam rakyat biar gak demo. Siapa yg demo bisa di jerat pasal.</t>
  </si>
  <si>
    <t>PPKM aja di perpanjang, masa hubungan kita di akhiri</t>
  </si>
  <si>
    <t>libur 2 Minggu aja jadi 2 tahun
 dan kalian masih percaya ppkm akan segera selesai?</t>
  </si>
  <si>
    <t>libur Minggu aja jadi tahundan kalian masih percaya ppkm akan segera selesai?</t>
  </si>
  <si>
    <t>@liputan6dotcom @yonrobwell Ni saya kasi solusi, anda yg slalu memprpanjng PPKM. Untk membagikn bntuan dri yg nmnya pmrinth hrs dg cerdas, buatkan rek smua rkyt ini dg data NIK dukcapil sja, dg catatan data dukcapil benar dlu..
 Cara mebgikan yg kuno dlm msa ppkm hrsny dhindari</t>
  </si>
  <si>
    <t>Ni saya kasi solusi, anda yg slalu memprpanjng PPKM. Untk membagikn bntuan dri yg nmnya pmrinth hrs dg cerdas, buatkan rek smua rkyt ini dg data NIK dukcapil sja, dg catatan data dukcapil benar dlu..Cara mebgikan yg kuno dlm msa ppkm hrsny dhindari</t>
  </si>
  <si>
    <t>Gara gara PPKM wajib PCR
 Mau flight aja susah
 Anjing
 Gue udah reschedule sampe 2 kali bangsat
 Nyusahin banget jancok
 Gue cuma mau pulang jancokkkkkkk</t>
  </si>
  <si>
    <t>Gara gara PPKM wajib PCRMau flight aja susahAnjingGue udah reschedule sampe kali bangsatNyusahin banget jancokGue cuma mau pulang jancokkkkkkk</t>
  </si>
  <si>
    <t>@faris_sina Penumpanganya yg ga tau aturan, duduk udah dikasih denah tetep aja duduk suka2 dia. Dan paling sedih itu ppkm gini ga ada kereta lokal jd sulit kesana kemari :)</t>
  </si>
  <si>
    <t>Penumpanganya yg ga tau aturan, duduk udah dikasih denah tetep aja duduk suka2 dia. Dan paling sedih itu ppkm gini ga ada kereta lokal jd sulit kesana kemari</t>
  </si>
  <si>
    <t>@jokowi Matamu wi..wi..prokas prokes ..kamu kasih contoh gak benar.. rakyat disalahin..
 https://t.co/hrSyV7hLeJ</t>
  </si>
  <si>
    <t>Matamu wi..wi..prokas prokes ..kamu kasih contoh gak benar.. rakyat disalahin..</t>
  </si>
  <si>
    <t>Pengen banget nikah waktu pandemi selesai, tapi dengan konsep ppkm alias gamau buang2 duit buat nikahan doang:)</t>
  </si>
  <si>
    <t>Pengen banget nikah waktu pandemi selesai, tapi dengan konsep ppkm alias gamau buang2 duit buat nikahan doang</t>
  </si>
  <si>
    <t>@bertanyarl Well, aku memang ga mau PPKM diperpanjang. Tapi kalau masalah nikahan, nikahan itu ga harus meriah loh. Inti dari menikah ya pas di waktu kalian sah suami istri. BUKAN PAS JOGET JOGET SAMA BIDUAN SEKSI YA NJING.</t>
  </si>
  <si>
    <t>Well, aku memang ga mau PPKM diperpanjang. Tapi kalau masalah nikahan, nikahan itu ga harus meriah loh. Inti dari menikah ya pas di waktu kalian sah suami istri. BUKAN PAS JOGET JOGET SAMA BIDUAN SEKSI YA NJING.</t>
  </si>
  <si>
    <t>@AdilokaTri Ppkm sangat ampuh dan efektif #PPKMdaruratBerhasil jgn lupa tetap prokes dan vaksinasi</t>
  </si>
  <si>
    <t>Ppkm sangat ampuh dan efektif jgn lupa tetap prokes dan vaksinasi</t>
  </si>
  <si>
    <t>@jokowi Matamu wwi..prokas prokes..wedus kon
 https://t.co/8ViDGEwvCj</t>
  </si>
  <si>
    <t>Matamu wwi..prokas prokes..wedus kon</t>
  </si>
  <si>
    <t>@RagilSemar Wii...@jokowi...inikah PPKM..?.matanu kuwi wii...aasssuuuuu</t>
  </si>
  <si>
    <t>Wii......inikah PPKM..?.matanu kuwi wii...aasssuuuuu</t>
  </si>
  <si>
    <t>@wukir2011 Ppkm ampuh dan efektif #PPKMdaruratBerhasil jgn lupa tetap prokes dan vaksinasi</t>
  </si>
  <si>
    <t>Ppkm ampuh dan efektif jgn lupa tetap prokes dan vaksinasi</t>
  </si>
  <si>
    <t>PPKM diperpanjang terus, mungkin agar pelan pelan kita mengikhlaskan</t>
  </si>
  <si>
    <t>@antaranews Lagi PPKM bikin aturan sendiri dilanggar sendiri.</t>
  </si>
  <si>
    <t>Lagi PPKM bikin aturan sendiri dilanggar sendiri.</t>
  </si>
  <si>
    <t>@SINDOnews Ya kalau rakyat patuh menjalankan PPKM insyaallah covit semakin menurun</t>
  </si>
  <si>
    <t>Ya kalau rakyat patuh menjalankan PPKM insyaallah covit semakin menurun</t>
  </si>
  <si>
    <t>@zarazettirazr Yang mulianya sibuk bagi2 sembako sambil bikin kerumanan pas ppkm..</t>
  </si>
  <si>
    <t>Yang mulianya sibuk bagi2 sembako sambil bikin kerumanan pas ppkm..</t>
  </si>
  <si>
    <t>@plumbinq @lrlxn Ultah terus karena ppkm diperpanjang yh bapak2?</t>
  </si>
  <si>
    <t>Ultah terus karena ppkm diperpanjang yh bapak2?</t>
  </si>
  <si>
    <t>klo misalnya ku kasih tau ke pihak sekolah kira-kira bakalan di bayarin ga yah jasa pijitnya🥲
 tpi skrg kan ppkm dlu mau manggil jasa pijit jdi takut :((
 sekolah be like: "yes duit ku aman terjaga hahahahha" 🥲🥲🥲🥲</t>
  </si>
  <si>
    <t>klo misalnya ku kasih tau ke pihak sekolah kira-kira bakalan di bayarin ga yah jasa pijitnyatpi skrg kan ppkm dlu mau manggil jasa pijit jdi takut ekolah be like: "yes duit ku aman terjaga hahahahha"</t>
  </si>
  <si>
    <t>ppkm aja diperpanjang, masa hubungan kita ngga</t>
  </si>
  <si>
    <t>@casingaster @BLINKmf canda sheyeng, cuman nde wakanda doang ppkm seblak mix level ~ wkwk</t>
  </si>
  <si>
    <t>canda sheyeng, cuman nde wakanda doang ppkm seblak mix level ~ wkwk</t>
  </si>
  <si>
    <t>@RlOSEANNE OHIYE HARUSNYA 24/7/12/365 makasih kak revisinya sangat membantu usaha mikro di tengah PPKM</t>
  </si>
  <si>
    <t>OHIYE HARUSNYA /7/12/365 makasih kak revisinya sangat membantu usaha mikro di tengah PPKM</t>
  </si>
  <si>
    <t>padahal enak nikah pas ppkm, ga usah undang banyak orang. https://t.co/JKAKsQXRCZ</t>
  </si>
  <si>
    <t>padahal enak nikah pas ppkm, ga usah undang banyak orang.</t>
  </si>
  <si>
    <t>Ppkm udahan napa ajg. Gua mau ketemu doi cokkkk</t>
  </si>
  <si>
    <t>Ppkm diperpanjang tp ngga ada win win solution buat penerbangan pake pcr</t>
  </si>
  <si>
    <t>@yeunoiaw mntchch tidak menjaga jarak pdhal lgi ppkm wkwkwk</t>
  </si>
  <si>
    <t>mntchch tidak menjaga jarak pdhal lgi ppkm wkwkwk</t>
  </si>
  <si>
    <t>halah temen² gw ppkm, ppkm tetep aja hajatan gede²an. gw yag diundang ngakalin dateng nyampe sana jam 12 lewat, biar dateng langsung makan, abis makan balik. jadi ga lama-lama berkerumun. mana kursi gadikasih jarak. https://t.co/xCu1JYnFmy</t>
  </si>
  <si>
    <t>halah temen gw ppkm, ppkm tetep aja hajatan gedean. gw yag diundang ngakalin dateng nyampe sana jam lewat, biar dateng langsung makan, abis makan balik. jadi ga lama-lama berkerumun. mana kursi gadikasih jarak.</t>
  </si>
  <si>
    <t>@HWIY0UNGG NANTII YAAHH tunggu ppkm ga diperpanjang nnt kita bisa hepi hepi jalan lagii</t>
  </si>
  <si>
    <t>NANTII YAAHH tunggu ppkm ga diperpanjang nnt kita bisa hepi hepi jalan lagii</t>
  </si>
  <si>
    <t>Jajan ah udah lama gakjajan gara2 ppkm</t>
  </si>
  <si>
    <t>penyelenggara mesti ditindak min @DKIJakarta didenda kemudian di Bui,yg kerumunan tertib aja kalian Bui @KejaksaanRI, ngapain Jakarta cape-cape PPKM jika membiarkan kecolongan kek gini !
 BISUL https://t.co/lCXP6aKZKG</t>
  </si>
  <si>
    <t>penyelenggara mesti ditindak min didenda kemudian di Bui,yg kerumunan tertib aja kalian Bui , ngapain Jakarta cape-cape PPKM jika membiarkan kecolongan kek gini !BISUL</t>
  </si>
  <si>
    <t>sedih bgt pngen dftar magang di mojok co tp salah satu syaratny hrus bisa di jogja huaaa. Coba aja ga ppkm :((</t>
  </si>
  <si>
    <t>sedih bgt pngen dftar magang di mojok co tp salah satu syaratny hrus bisa di jogja huaaa. Coba aja ga ppkm</t>
  </si>
  <si>
    <t>kenapa kartu vaksin dijadikan syarat administrasi ? mau ini itu pake kartu vaksin sedangkan vaksin aja belum merata. mau nyebrang pelabuhan pake kartu vaksin, mau masuk zona ppkm pake kartu vaksin, mau masuk mall pake kartu vaksin. lebih baik aturan tersebut dikaji kembali.</t>
  </si>
  <si>
    <t>@seokjjnamite @AREAJULID bulan² lalu jg w pernah ngomong gitu ke mm, berkali² diblg aneh ktnya inikan hajatan dia smpe mm sewot pdhl yg nikah w, yg jadi pemeran utama ya pengantin😭 tp klo lg kek gini harusnya alesan pandemi+ppkm udh cukupsi gangadain gede²an. emgnya ga dijulidin warga tu klo ttp ramein?</t>
  </si>
  <si>
    <t>bulan lalu jg w pernah ngomong gitu ke mm, berkali diblg aneh ktnya inikan hajatan dia smpe mm sewot pdhl yg nikah w, yg jadi pemeran utama ya pengantin tp klo lg kek gini harusnya alesan pandemi+ppkm udh cukupsi gangadain gedean. emgnya ga dijulidin warga tu klo ttp ramein?</t>
  </si>
  <si>
    <t>Uda ditahap pengen banget tahu tek, tahu campur, tahu telur lamongan. Ini kali kalai ga ppkm uda melesat ke jakarta cuma mau beli itu tok. Ohiya lupa belum vaksin. Ohiya harus pcr. Dahlah.</t>
  </si>
  <si>
    <t>@Askrlfess ga pernah. kasian. ppkm juga.</t>
  </si>
  <si>
    <t>ga pernah. kasian. ppkm juga.</t>
  </si>
  <si>
    <t>PPKM darurat di perpanjang, sampai kamu sadar kalau kamu dan diri nya tak mungkin bersatu</t>
  </si>
  <si>
    <t>akibat ppkm halunya makin kronis</t>
  </si>
  <si>
    <t>Kepengen jogging, tp ppkm tetap berlanjut:")</t>
  </si>
  <si>
    <t>@accaa111 Ca, bodymu makin semok aja aku liat, padahal lagi PPKM</t>
  </si>
  <si>
    <t>Ca, bodymu makin semok aja aku liat, padahal lagi PPKM</t>
  </si>
  <si>
    <t>Ppkm..?
 Pernah..perduli... kemudian .. menghilang..</t>
  </si>
  <si>
    <t>Ppkm..?Pernah..perduli... kemudian .. menghilang..</t>
  </si>
  <si>
    <t>Adakah keadilan di negeri ini?
 Lihat, apakah ada polisi yg menangkap yg menyebabkan adanya kerumunan ini?
 Adakah pengadilan yg mengadili ini?
 Sptnya aman2 sj, terlepas dari jerat hukum.
 Bagaimana menurut @DivHumas_Polri ?
 Kakau spt ini PPKM #cabe2an
  #PPKM 
 #PPKMLevel4 https://t.co/jnRgBGX1N0</t>
  </si>
  <si>
    <t>Adakah keadilan di negeri ini?Lihat, apakah ada polisi yg menangkap yg menyebabkan adanya kerumunan ini?Adakah pengadilan yg mengadili ini?Sptnya aman2 sj, terlepas dari jerat hukum.Bagaimana menurut ?Kakau spt ini PPKM</t>
  </si>
  <si>
    <t>gws buat aku yang makin gila gara” kopit, pandemi &amp;amp; ppkm :DD ayo pls dong patuhin pemerintah im done with covid serius setaun ga ngapa”in asjxksik</t>
  </si>
  <si>
    <t>gws buat aku yang makin gila gara kopit, pandemi &amp;amp; ppkm ayo pls dong patuhin pemerintah im done with covid serius setaun ga ngapain asjxksik</t>
  </si>
  <si>
    <t>Kepanjangan PPKM?</t>
  </si>
  <si>
    <t>@Ranyaaw YUUUUU PPKM NIH AHHHH</t>
  </si>
  <si>
    <t>YUUUUU PPKM NIH AHHHH</t>
  </si>
  <si>
    <t>Jam kerja gajelas gara gara ppkm nyebelin bgt,kemarin brgkt pagi skrg siang maunya apa dah -_-</t>
  </si>
  <si>
    <t>@AREAJULID Kalimat "Pak, saya mau nikah." dan "Aku HANYA mau HALALIN dia" gak masuk aja si di paham gua kalo konteks yang dibahas soal PPKM wkwkwk</t>
  </si>
  <si>
    <t>Kalimat "Pak, saya mau nikah." dan "Aku HANYA mau HALALIN dia" gak masuk aja si di paham gua kalo konteks yang dibahas soal PPKM wkwkwk</t>
  </si>
  <si>
    <t>@AREAJULID Apaan di daerahku meskipun ppkm, hajatan tetep jalan tuh. Rame rame pulak. Gini nih kalo kebijakannya tuh ga bijak. Cm sekedar peraturan doang. Nyusahin kalangan kecil tok.</t>
  </si>
  <si>
    <t>Apaan di daerahku meskipun ppkm, hajatan tetep jalan tuh. Rame rame pulak. Gini nih kalo kebijakannya tuh ga bijak. Cm sekedar peraturan doang. Nyusahin kalangan kecil tok.</t>
  </si>
  <si>
    <t>@liputan6dotcom Sorry! Kita udah nggak ngelirik AH lagi semenjak anak dia jalan2 ke luar negeri pas kita “dikerangkeng” ketika PPKM.</t>
  </si>
  <si>
    <t>Sorry! Kita udah nggak ngelirik AH lagi semenjak anak dia jalan2 ke luar negeri pas kita dikerangkeng ketika PPKM.</t>
  </si>
  <si>
    <t>@AREAJULID Aku kok malah pengen menjadikan ppkm sebagai alasan gak usah undang orang banyak pas nikahan. 😅
 Pemberitahuan sudah menikah dan minta doa restu juga bisa memanfaatkan sosial media.
 Gak perlu undang sodaranya sodara atau apalah. Kalo gitu, catering jadi hemat.</t>
  </si>
  <si>
    <t>Aku kok malah pengen menjadikan ppkm sebagai alasan gak usah undang orang banyak pas nikahan. Pemberitahuan sudah menikah dan minta doa restu juga bisa memanfaatkan sosial media.Gak perlu undang sodaranya sodara atau apalah. Kalo gitu, catering jadi hemat.</t>
  </si>
  <si>
    <t>@MafiaWasit Katanya PPKM lockdown tapi hampir setiap kota gw liat ada atribut KEPAKAN SAYAP KEBHINEKAAN? Prtanyaan nya gw gini,siapa yang masang? Ppkm kok nyuruh orang pasanv atribut itu di stiap jalan kota</t>
  </si>
  <si>
    <t>Katanya PPKM lockdown tapi hampir setiap kota gw liat ada atribut KEPAKAN SAYAP KEBHINEKAAN? Prtanyaan nya gw gini,siapa yang masang? Ppkm kok nyuruh orang pasanv atribut itu di stiap jalan kota</t>
  </si>
  <si>
    <t>@panggilajayes @bertanyarl benerr malah bagus ih ngundangnya dikitan aja yg bener² temen ajalahh, alesannya jg kan dah jelas lagi pandemi ada aturan ppkm sayy wkwk duitnya buat jalan² deh (klo pandemi dah selesai -aamiin)</t>
  </si>
  <si>
    <t>benerr malah bagus ih ngundangnya dikitan aja yg bener temen ajalahh, alesannya jg kan dah jelas lagi pandemi ada aturan ppkm sayy wkwk duitnya buat jalan deh (klo pandemi dah selesai -aamiin)</t>
  </si>
  <si>
    <t>@msaid_didu angota DPRD baru uang jln aja mogok terus gimana rakyat mu yg uang utuk hidup nya di setop tanpa penghasilan gara gara ppkm dsb</t>
  </si>
  <si>
    <t>angota DPRD baru uang jln aja mogok terus gimana rakyat mu yg uang utuk hidup nya di setop tanpa penghasilan gara gara ppkm dsb</t>
  </si>
  <si>
    <t>@dottteee @keishadeline_ @AREAJULID terdengar ppkm sekalii😅</t>
  </si>
  <si>
    <t>terdengar ppkm sekalii</t>
  </si>
  <si>
    <t>@AREAJULID IMO, lbh baik jangan salahin ppkm lagi. Ini emang bukan waktunya untuk egois, semuanya harus ngerti kalo ini situasi lg darurat. Lagian jg udh ad kelonggaran sampe 30 orang, manfaatin aja itu baik baik. Kalo soal impian akan pernikahan, ya berarti emg belum wktunya d wujudin</t>
  </si>
  <si>
    <t>IMO, lbh baik jangan salahin ppkm lagi. Ini emang bukan waktunya untuk egois, semuanya harus ngerti kalo ini situasi lg darurat. Lagian jg udh ad kelonggaran sampe orang, manfaatin aja itu baik baik. Kalo soal impian akan pernikahan, ya berarti emg belum wktunya d wujudin</t>
  </si>
  <si>
    <t>PPKM diperpanjang, tanpa kejelasan kapan berakhirnya. 
 Kapan mau jelas ni kalo ga ada yang jelas:v</t>
  </si>
  <si>
    <t>PPKM diperpanjang, tanpa kejelasan kapan berakhirnya. Kapan mau jelas ni kalo ga ada yang jelas:v</t>
  </si>
  <si>
    <t>PPKM 
 Pelan-Pelan Kita Me(nyadari,nghindari,njauhi)</t>
  </si>
  <si>
    <t>PPKM Pelan-Pelan Kita Me(nyadari,nghindari,njauhi)</t>
  </si>
  <si>
    <t>Sejak kapan banteng punya sayap ya, harusnya tanduk kebinekaan, suka tanduk rakyat, rakyat dibuat lari tunggang langgang dengan ppkm https://t.co/5FxzD7xoBv</t>
  </si>
  <si>
    <t>Sejak kapan banteng punya sayap ya, harusnya tanduk kebinekaan, suka tanduk rakyat, rakyat dibuat lari tunggang langgang dengan ppkm</t>
  </si>
  <si>
    <t>@urtaurus ppkm sampe kapan kan ga jelas juga</t>
  </si>
  <si>
    <t>ppkm sampe kapan kan ga jelas juga</t>
  </si>
  <si>
    <t>💭 ppkm = pengen pacarin kamu masa :(</t>
  </si>
  <si>
    <t>ppkm = pengen pacarin kamu masa</t>
  </si>
  <si>
    <t>@_silentmary Tahan mang masih ppkm :(</t>
  </si>
  <si>
    <t>Tahan mang masih ppkm</t>
  </si>
  <si>
    <t>Wagilasih nyari atm @BANKBCA_ID malem² di margahayu raya selama masa PPKM itu rasanya menyebalkan.. udah waktunya ada atm diluar alfa/indo/griya/superindo/borma deh...</t>
  </si>
  <si>
    <t>Wagilasih nyari atm malem di margahayu raya selama masa PPKM itu rasanya menyebalkan.. udah waktunya ada atm diluar alfa/indo/griya/superindo/borma deh...</t>
  </si>
  <si>
    <t>Indonesia sdh tidak merdeka lagi, buktinya TKA Tiongkok bebas masuk, rakyat ga bebas bekerja lagi dengan dalih ppkm https://t.co/Ook5MNWTjP</t>
  </si>
  <si>
    <t>Indonesia sdh tidak merdeka lagi, buktinya TKA Tiongkok bebas masuk, rakyat ga bebas bekerja lagi dengan dalih ppkm</t>
  </si>
  <si>
    <t>Apa yg paling malesi selain naik pesawat pas masa PPKM gini?
 Naik pesawat pas masa PPKM gini dan kena reschedule.</t>
  </si>
  <si>
    <t>Apa yg paling malesi selain naik pesawat pas masa PPKM gini?Naik pesawat pas masa PPKM gini dan kena reschedule.</t>
  </si>
  <si>
    <t>@leo_edw Semangat Lee, semoga lancar, selamat, sehat! btw le, belajar dari kasus" Selebgram pada saat ppkm gini ya, aku takut kamu dihujat Krn keluar disaat ppkm gini sedangkan kita dirumah aja🙂 baik baik lee https://t.co/PFSpmjyD23</t>
  </si>
  <si>
    <t>Semangat Lee, semoga lancar, selamat, sehat! btw le, belajar dari kasus" Selebgram pada saat ppkm gini ya, aku takut kamu dihujat Krn keluar disaat ppkm gini sedangkan kita dirumah aja baik baik lee</t>
  </si>
  <si>
    <t>@namakoen3y Bani nasi bungkus!!!
 Polisi juga lembek!!!
 Lihat,mereka tidak bermasker kok didiamkan di masa PPKM Level 4!!!!
 Hadeeeeh.....</t>
  </si>
  <si>
    <t>Bani nasi bungkus!!!Polisi juga lembek!!!Lihat,mereka tidak bermasker kok didiamkan di masa PPKM Level !!!!Hadeeeeh.....</t>
  </si>
  <si>
    <t>Bulan depan kalo PPKM ganti nama, usul nama PPHP. Entah singkatan dari apa. Cuma ngusulin nama aja..</t>
  </si>
  <si>
    <t>@Umar_Chelsea_75 @msaid_didu Aturan tinggal aturan... Pelanggaran PPKM woy... 😂😂</t>
  </si>
  <si>
    <t>Aturan tinggal aturan... Pelanggaran PPKM woy...</t>
  </si>
  <si>
    <t>@menfesssyg lagi ppkm, gabisa</t>
  </si>
  <si>
    <t>lagi ppkm, gabisa</t>
  </si>
  <si>
    <t>@Boediantar4 @Anonymous_2024 Kerja disaat ppkm doi mah bikin kerumunan tu kmrn di grogol tar klu jd cluster covid tinggal salahin gubernurnya</t>
  </si>
  <si>
    <t>Kerja disaat ppkm doi mah bikin kerumunan tu kmrn di grogol tar klu jd cluster covid tinggal salahin gubernurnya</t>
  </si>
  <si>
    <t>@FiersaBesari Korban ppkm</t>
  </si>
  <si>
    <t>Korban ppkm</t>
  </si>
  <si>
    <t>@AREAJULID huhuhu agak sedih sih ppkm diperpanjang, jd jarang juga org nikahan:(( mamaku yg kerjaannya ngerias bener bener ngerasain banget dampaknya. tapi ya mau gmn lagi, keadaannya jg gini. semoga kita tetap waras selalu</t>
  </si>
  <si>
    <t>huhuhu agak sedih sih ppkm diperpanjang, jd jarang juga org nikahan mamaku yg kerjaannya ngerias bener bener ngerasain banget dampaknya. tapi ya mau gmn lagi, keadaannya jg gini. semoga kita tetap waras selalu</t>
  </si>
  <si>
    <t>@AREAJULID Gatau ah pusing, pokonya dampak ppkm itu banyakkkkkkk. Sehat sehat everyone!!</t>
  </si>
  <si>
    <t>Gatau ah pusing, pokonya dampak ppkm itu banyakkkkkkk. Sehat sehat everyone!!</t>
  </si>
  <si>
    <t>@raksasakecils sela-ma PPKM berlangsung</t>
  </si>
  <si>
    <t>sela-ma PPKM berlangsung</t>
  </si>
  <si>
    <t>hmm ternyata ukai diundur grgr ppkm
 ya sudahlah ayok kita berjualan sajaa~~</t>
  </si>
  <si>
    <t>hmm ternyata ukai diundur grgr ppkmya sudahlah ayok kita berjualan sajaa~~</t>
  </si>
  <si>
    <t>Kmren pertama kali keluar rumah selama ppkm rasanya ky keluar dr goa🙂</t>
  </si>
  <si>
    <t>Kmren pertama kali keluar rumah selama ppkm rasanya ky keluar dr goa</t>
  </si>
  <si>
    <t>@Cobeh09 Pokoknya hari2 besar islam dipersempit, dulu idul fitri PSBBkini PPKM, ditambah sholat berjamaah kudu harus sudah divaksin.... beuuh!!!! Kepriben?</t>
  </si>
  <si>
    <t>Pokoknya hari2 besar islam dipersempit, dulu idul fitri PSBBkini PPKM, ditambah sholat berjamaah kudu harus sudah divaksin.... beuuh!!!! Kepriben?</t>
  </si>
  <si>
    <t>@Mayangprsprnt Padahal kalo memang niat, ppkm bukan halangan untuk ngedate🙃</t>
  </si>
  <si>
    <t>Padahal kalo memang niat, ppkm bukan halangan untuk ngedate</t>
  </si>
  <si>
    <t>@geloraco @PutraWadapi Hore... Angka kematian covid sudah Nol... Indonesia sudah bebas covid.... Tapi kok PPKM.. di perpanjang terus.. kayak nyicil kredit..</t>
  </si>
  <si>
    <t>Hore... Angka kematian covid sudah Nol... Indonesia sudah bebas covid.... Tapi kok PPKM.. di perpanjang terus.. kayak nyicil kredit..</t>
  </si>
  <si>
    <t>@delup_ @AREAJULID Trus gimana itu? 😅 niatnya mau ibadah nikah apa mau totalan di kasir? Wkwk
 Toh kalau pun dah gk ppkm sumbangannya relatif dikit, selama pandemi ini pendapatan rakyat akhir2 ini kan jg menurun hehe</t>
  </si>
  <si>
    <t>Trus gimana itu? niatnya mau ibadah nikah apa mau totalan di kasir? WkwkToh kalau pun dah gk ppkm sumbangannya relatif dikit, selama pandemi ini pendapatan rakyat akhir2 ini kan jg menurun hehe</t>
  </si>
  <si>
    <t>@collegemenfess Aku ga ikutan, tapi klo kaya gini tuh ga realistis aja. Emg sih programnya lebih bagus klo offline karna ada program yg bikin kenal sm budaya kmpus yg dituju, tapi coba pikirin skrg aja PPKM diperpanjang apalagi klo ada kegiatan offline. Ga selese2 dong pandeminya :(</t>
  </si>
  <si>
    <t>Aku ga ikutan, tapi klo kaya gini tuh ga realistis aja. Emg sih programnya lebih bagus klo offline karna ada program yg bikin kenal sm budaya kmpus yg dituju, tapi coba pikirin skrg aja PPKM diperpanjang apalagi klo ada kegiatan offline. Ga selese2 dong pandeminya</t>
  </si>
  <si>
    <t>@panca66 Tetap yang salah mah Habib Riziq pokoknya, Corona akan hilang bukan karena PPKM tapi karena Ganti pemimpin.</t>
  </si>
  <si>
    <t>Tetap yang salah mah Habib Riziq pokoknya, Corona akan hilang bukan karena PPKM tapi karena Ganti pemimpin.</t>
  </si>
  <si>
    <t>@TofaTofa_id Dugaan saya PPKM dilakukan untuk nyicil pinjaman seminggu seminggu sampai lunas, hanya dugaan bisa meleset</t>
  </si>
  <si>
    <t>Dugaan saya PPKM dilakukan untuk nyicil pinjaman seminggu seminggu sampai lunas, hanya dugaan bisa meleset</t>
  </si>
  <si>
    <t>@susipudjiastuti Bu, apa bedanya mereka mogok dengan tidak? Soalnya sekarang wakil rakyat gak mogok aja mirip seperti mogok. Rakyat diterapkan PPKM warga asing dengan mudahnya keluar masuk. Mayoritas mereka diam. Hanya segelintir yang merasa terusik nuraninya.</t>
  </si>
  <si>
    <t>Bu, apa bedanya mereka mogok dengan tidak? Soalnya sekarang wakil rakyat gak mogok aja mirip seperti mogok. Rakyat diterapkan PPKM warga asing dengan mudahnya keluar masuk. Mayoritas mereka diam. Hanya segelintir yang merasa terusik nuraninya.</t>
  </si>
  <si>
    <t>@AREAJULID Loh ya kalo mau 10000 orang yg dateng jgn nikah pas pandemi atuh, ga ppkm aja ga boleh berkerumun banyak2 kok. Malah bagus ga sie max 30 orang, seenggaknya cuma keluarga inti dan itu meminimalisir km kena covid. Mbok ya jd warga yg cerdas dan suportif jg haduh</t>
  </si>
  <si>
    <t>Loh ya kalo mau orang yg dateng jgn nikah pas pandemi atuh, ga ppkm aja ga boleh berkerumun banyak2 kok. Malah bagus ga sie max orang, seenggaknya cuma keluarga inti dan itu meminimalisir km kena covid. Mbok ya jd warga yg cerdas dan suportif jg haduh</t>
  </si>
  <si>
    <t>@yaaelahhjek_ Masi PPKM :(</t>
  </si>
  <si>
    <t>Masi PPKM</t>
  </si>
  <si>
    <t>Sebagai org yg nikah di masa ppkm sebenarnya paham sih krn pernah di posisinya. Walau kita maunya simpel, acara nikah itu yg punya gawe 2 keluarga. Belum tentu persepsinya sama.
 Udah mau ngomong gitu aja https://t.co/e9iP4bTuIo</t>
  </si>
  <si>
    <t>Sebagai org yg nikah di masa ppkm sebenarnya paham sih krn pernah di posisinya. Walau kita maunya simpel, acara nikah itu yg punya gawe keluarga. Belum tentu persepsinya sama.Udah mau ngomong gitu aja</t>
  </si>
  <si>
    <t>@msaid_didu Setuju bubarin aja,mereka itu nga kerja,ppkm di cicil seperti abang2 kredit panci mereka diem2 bae,</t>
  </si>
  <si>
    <t>Setuju bubarin aja,mereka itu nga kerja,ppkm di cicil seperti abang2 kredit panci mereka diem2 bae,</t>
  </si>
  <si>
    <t>Udahan napa ppkm nyaa. Gue pengen hidup tanpa maskerr. Soalnya sayang makeup hahaha</t>
  </si>
  <si>
    <t>@delvianggita gakenal ppkm nih pasti</t>
  </si>
  <si>
    <t>gakenal ppkm nih pasti</t>
  </si>
  <si>
    <t>@bertanyarl Temenku mau nikah tbtb ppkm awal bgt itu dimulai, dia sm psangannya mutusin nikah di KUA aja dan resepsi diundur, mnrtku org lain jg tau kondisi saat ini gmn, bisa dibicarain baik2 sm keluarga bsr, bikin undangan lewat zoom &amp;amp; online</t>
  </si>
  <si>
    <t>Temenku mau nikah tbtb ppkm awal bgt itu dimulai, dia sm psangannya mutusin nikah di KUA aja dan resepsi diundur, mnrtku org lain jg tau kondisi saat ini gmn, bisa dibicarain baik2 sm keluarga bsr, bikin undangan lewat zoom &amp;amp; online</t>
  </si>
  <si>
    <t>@AdhieMassardi Sekarang lagi lagi terbukti ya, PPKM level 4 tapi bagi2 sembako ditempat terbuka yg bikin kerumunan..😮😆🤣</t>
  </si>
  <si>
    <t>Sekarang lagi lagi terbukti ya, PPKM level tapi bagi2 sembako ditempat terbuka yg bikin kerumunan..</t>
  </si>
  <si>
    <t>SEHUBUNGAN DENGAN PELONGGARAN PPKM DI MALL...
 SAYA MENGUSULKAN UNTUK DI BUKA SENTRA VAKSINASI MASSAL WARGA NKRI ( TIDAK BERLAKU DOMISILI ) DAN TANPA TEST PCR ATAU ANTIGEN TEST...
 STRATEGI UNTUK MEMPERLEBAR NKRI HERD COMMUNITY VAKSINASINYA @satgascovid19id @jokowi @KemenkesRI dkk</t>
  </si>
  <si>
    <t>SEHUBUNGAN DENGAN PELONGGARAN PPKM DI MALL...SAYA MENGUSULKAN UNTUK DI BUKA SENTRA VAKSINASI MASSAL WARGA NKRI ( TIDAK BERLAKU DOMISILI ) DAN TANPA TEST PCR ATAU ANTIGEN TEST...STRATEGI UNTUK MEMPERLEBAR NKRI HERD COMMUNITY VAKSINASINYA dkk</t>
  </si>
  <si>
    <t>Plis ppkm terakhir tgl 16 beneran. Pengen balik kantor T.T</t>
  </si>
  <si>
    <t>Plis ppkm terakhir tgl beneran. Pengen balik kantor T.T</t>
  </si>
  <si>
    <t>Ngapain coba dia ngeluyur nga jelas ke Grogol kayak begini? Menimbulkan kerumunan aja. Terus buat apa PPKM berjilid-jilid? https://t.co/es3gPgZAuH</t>
  </si>
  <si>
    <t>Ngapain coba dia ngeluyur nga jelas ke Grogol kayak begini? Menimbulkan kerumunan aja. Terus buat apa PPKM berjilid-jilid?</t>
  </si>
  <si>
    <t>Sp yg mau nikah sama q mumpung ppkm gini? xixixi https://t.co/4AbvJp9sjU</t>
  </si>
  <si>
    <t>Sp yg mau nikah sama q mumpung ppkm gini? xixixi</t>
  </si>
  <si>
    <t>@tidaksemampai Gede gengsi kali, atoga takut amplopnya dulu gabalik.
 Jujur malah enak nikah pas ppkm, ga habis biaya banyak 🤭</t>
  </si>
  <si>
    <t>Gede gengsi kali, atoga takut amplopnya dulu gabalik.Jujur malah enak nikah pas ppkm, ga habis biaya banyak</t>
  </si>
  <si>
    <t>Disisa waktu liburan gue plis, Ppkm ini terakhir di perpanjang ini waktu terakhir gue buat bisa liburan sebelum masuk semester 3😔</t>
  </si>
  <si>
    <t>Disisa waktu liburan gue plis, Ppkm ini terakhir di perpanjang ini waktu terakhir gue buat bisa liburan sebelum masuk semester</t>
  </si>
  <si>
    <t>@liputan6dotcom @PutraWadapi Lop servis.lah katanya berusaha minimalisir penularan cororna dengan prokes ketat.lah ini bikin kerumunan.sia sia dong ppkm.kasian pak anies yg berusaha untuk menurunkan angka corono di jakarta hadeeh</t>
  </si>
  <si>
    <t>Lop servis.lah katanya berusaha minimalisir penularan cororna dengan prokes ketat.lah ini bikin kerumunan.sia sia dong ppkm.kasian pak anies yg berusaha untuk menurunkan angka corono di jakarta hadeeh</t>
  </si>
  <si>
    <t>Ini PPKM lvl 4 berenang di kolam berenang masih gak boleh ya?</t>
  </si>
  <si>
    <t>Ini PPKM lvl berenang di kolam berenang masih gak boleh ya?</t>
  </si>
  <si>
    <t>@bertanyarl Gw kontra sih. Ppkm emng sehrusnya gk diperpnjang. Tp kerumunan hrus ttep dilarang dan prokes ttep dijaga ketat. Masyrkt jg hrus bisa buktikn ke-taatanya saling mnjaga supya pmerintah bisa sedikit melonggarkn buat ekonomi klangan bawah bisa bertahan.</t>
  </si>
  <si>
    <t>Gw kontra sih. Ppkm emng sehrusnya gk diperpnjang. Tp kerumunan hrus ttep dilarang dan prokes ttep dijaga ketat. Masyrkt jg hrus bisa buktikn ke-taatanya saling mnjaga supya pmerintah bisa sedikit melonggarkn buat ekonomi klangan bawah bisa bertahan.</t>
  </si>
  <si>
    <t>kerumunan di ulangi lagi, kerumunan di ulangi lagi oleh presiden jokowi dlm rangka pembagian sembako, seharusnya mengaca dari kejadian yg sudah2, yg akhirnya selalu kacau dan berdesakan.
 sungguh tak punya keteladanan seorang pemimpin dlm situasi PPKM sprt ini. https://t.co/rEut72uS0I</t>
  </si>
  <si>
    <t>kerumunan di ulangi lagi, kerumunan di ulangi lagi oleh presiden jokowi dlm rangka pembagian sembako, seharusnya mengaca dari kejadian yg sudah2, yg akhirnya selalu kacau dan berdesakan.sungguh tak punya keteladanan seorang pemimpin dlm situasi PPKM sprt ini.</t>
  </si>
  <si>
    <t>baru banget dapet kabar, ibu temen meninggal dunia. nyesel banget, waktu beliau masih sakit belum sempet jenguk. mana skrg masih PPKM gabisa pulang rumah. turut berduka cita yg mendalam, hanya doa yg bsa dikirimkan, semoga khusnul khatimah, tenang disisi Allah. Amiiin</t>
  </si>
  <si>
    <t>@yourbae Bang.. apa menurut lo ttg ppkm?</t>
  </si>
  <si>
    <t>Bang.. apa menurut lo ttg ppkm?</t>
  </si>
  <si>
    <t>Udh tau ppkm kan ya, tp bisa-bisanya main anying ga pake masker lg, tmpt nya rame bat lg
 Lbh paham ttg Corona ini pdhl, tp bodoh</t>
  </si>
  <si>
    <t>Udh tau ppkm kan ya, tp bisa-bisanya main anying ga pake masker lg, tmpt nya rame bat lgLbh paham ttg Corona ini pdhl, tp bodoh</t>
  </si>
  <si>
    <t>Nikah mah nikah aja, tinggal dateng ke KUA beres. Elu yg ribet pake segala harus ngundang orang banyak, yg disalahin ppkm.👎🏻 https://t.co/qZ01oQVLRh</t>
  </si>
  <si>
    <t>Nikah mah nikah aja, tinggal dateng ke KUA beres. Elu yg ribet pake segala harus ngundang orang banyak, yg disalahin ppkm.</t>
  </si>
  <si>
    <t>@detikcom Yailah, tanda2 ppkm trs ini mah😒</t>
  </si>
  <si>
    <t>Yailah, tanda2 ppkm trs ini mah</t>
  </si>
  <si>
    <t>Selamat pagi Indonesia, dimasa era PPKM mobilitas kita sgt terbatas, maka dari itu mari atur aktifitas kita seefektif mungkin, sehingga kita dapat memaksimalkan segala pekerjaan² kita.
 Kemudian tetap jaga kesehatan dengan berolah raga serta asupan gizi yg baik.</t>
  </si>
  <si>
    <t>Selamat pagi Indonesia, dimasa era PPKM mobilitas kita sgt terbatas, maka dari itu mari atur aktifitas kita seefektif mungkin, sehingga kita dapat memaksimalkan segala pekerjaan kita.Kemudian tetap jaga kesehatan dengan berolah raga serta asupan gizi yg baik.</t>
  </si>
  <si>
    <t>Jangan Cuman Pelonggaran PPKM, Pengusaha Minta Harga PCR Diturunkan!
  #Sindonews #BukanBeritaBiasa .https://t.co/0H7lPB7KYy</t>
  </si>
  <si>
    <t>Jangan Cuman Pelonggaran PPKM, Pengusaha Minta Harga PCR Diturunkan! .</t>
  </si>
  <si>
    <t>Mencapekk PPKM Diperpanjang lagiii🤷🙂</t>
  </si>
  <si>
    <t>Mencapekk PPKM Diperpanjang lagiii</t>
  </si>
  <si>
    <t>@ajunicecream @schfess Nnti aku coba deh, lgi ppkm kan ga boleh ke luar provinsi ya</t>
  </si>
  <si>
    <t>Nnti aku coba deh, lgi ppkm kan ga boleh ke luar provinsi ya</t>
  </si>
  <si>
    <t>@bertanyarl jadi inget nikahannya Suhay Salim, plek ketiplek kaya suasana ppkm sekarang</t>
  </si>
  <si>
    <t>jadi inget nikahannya Suhay Salim, plek ketiplek kaya suasana ppkm sekarang</t>
  </si>
  <si>
    <t>@detikcom PPKM terus sampai Oktober</t>
  </si>
  <si>
    <t>PPKM terus sampai Oktober</t>
  </si>
  <si>
    <t>@jokowi Congor mu wii..wi..elo aja langgar prokes..elo mo ajak ràkyat patuhi prokes..taaaii loooo https://t.co/HxXjPC9vEa</t>
  </si>
  <si>
    <t>Congor mu wii..wi..elo aja langgar prokes..elo mo ajak rkyat patuhi prokes..taaaii loooo</t>
  </si>
  <si>
    <t>@arwidodo Urusan sedekah itu urusan rakyat kecil urusan parpol dan dpr sbg instrumen negara lebih dari itu di bidang kebijakan..tak ada peran pks menolak kebijakan ppkm yg tdk mensunsidi rakyatnya</t>
  </si>
  <si>
    <t>Urusan sedekah itu urusan rakyat kecil urusan parpol dan dpr sbg instrumen negara lebih dari itu di bidang kebijakan..tak ada peran pks menolak kebijakan ppkm yg tdk mensunsidi rakyatnya</t>
  </si>
  <si>
    <t>Assalamualaikum wr wb
 Met pagi warga TL Met beraktivitas dg tetap disiplin prokes, taati PPKM, segera Vaksin tetap Semangat dg MERAH PUTIH🇲🇨🇲🇨🇲🇨✊✊✊ https://t.co/Uk8iTGcwHs</t>
  </si>
  <si>
    <t>Assalamualaikum wr wbMet pagi warga TL Met beraktivitas dg tetap disiplin prokes, taati PPKM, segera Vaksin tetap Semangat dg MERAH PUTIH</t>
  </si>
  <si>
    <t>Semangat pagi gaess 🔥🔥🔥meski msh PPKM,ttp patuhi prokes dan ikut vaksinasi covid agar kita bisa hidup normal lagi👍
 Lekas Sembuh Negriku..🤲
 🇲🇨🇮🇩🇮🇩 https://t.co/He9xakHClD</t>
  </si>
  <si>
    <t>Semangat pagi gaess meski msh PPKM,ttp patuhi prokes dan ikut vaksinasi covid agar kita bisa hidup normal lagiLekas Sembuh Negriku..</t>
  </si>
  <si>
    <t>@Mdy_Asmara1701 Anis adalah prabowo jilid 2..
 Keberpihakan pada HRS nihil.. ktk hrs di sidang dan dipenjara tdk ada satu patah kata pun utk membela HRS..padahal sebelum jadi gub..beliau sering sowan..hmm..
 Selain itu kebijakan ppkm nya menimbulkan kezaliman thd umkm</t>
  </si>
  <si>
    <t>Anis adalah prabowo jilid ..Keberpihakan pada HRS nihil.. ktk hrs di sidang dan dipenjara tdk ada satu patah kata pun utk membela HRS..padahal sebelum jadi gub..beliau sering sowan..hmm..Selain itu kebijakan ppkm nya menimbulkan kezaliman thd umkm</t>
  </si>
  <si>
    <t>Masi ga percaya hari ini tes, karena ppkm /skd</t>
  </si>
  <si>
    <t>Ok ppkm diperpanjang, aku kudu menjaga imut tubuh</t>
  </si>
  <si>
    <t>@arre13arie @PRFMnews Percuma ppkm 😂</t>
  </si>
  <si>
    <t>Percuma ppkm</t>
  </si>
  <si>
    <t>rame bgt sih kawan pdahal lagi ppkm lho.</t>
  </si>
  <si>
    <t>Mulai Brewokan gara2 PPKM https://t.co/8WC14uygPD</t>
  </si>
  <si>
    <t>Mulai Brewokan gara2 PPKM</t>
  </si>
  <si>
    <t>@xvizh Ppkm kwandd,,</t>
  </si>
  <si>
    <t>Ppkm kwandd,,</t>
  </si>
  <si>
    <t>@Pongo44968875 @KemnakerRI Aku malah tidak terdaftar penerima.. pdhal bpjs aktif dan terdampak akobat ppkm diliburkan dan potong gaji.. 😒</t>
  </si>
  <si>
    <t>Aku malah tidak terdaftar penerima.. pdhal bpjs aktif dan terdampak akobat ppkm diliburkan dan potong gaji..</t>
  </si>
  <si>
    <t>😂😂🤣🤣🤣
 Stres gegara ppkm
 *ehh https://t.co/6J7ouReAy3</t>
  </si>
  <si>
    <t>Stres gegara ppkm*ehh</t>
  </si>
  <si>
    <t>Katanya fucksin bukan syarat apapun. Cangkem kebak keat Yo ngono: Bagi yang akan bepergian, ini aturan baru syarat perjalanan selama PPKM https://t.co/WnHIXnj98I</t>
  </si>
  <si>
    <t>Katanya fucksin bukan syarat apapun. Cangkem kebak keat Yo ngono: Bagi yang akan bepergian, ini aturan baru syarat perjalanan selama PPKM</t>
  </si>
  <si>
    <t>Pakar usul PPKM Darurat diperpanjang sampai kamu sadar kalau kamu dan dirinya tak mungkin bersatu 🗿</t>
  </si>
  <si>
    <t>Pakar usul PPKM Darurat diperpanjang sampai kamu sadar kalau kamu dan dirinya tak mungkin bersatu</t>
  </si>
  <si>
    <t>Infonya gan gerbang tol kotabaru d tutup gk ya ppkm gini?</t>
  </si>
  <si>
    <t>Tidur dlu deh, bangunin klo PPKM dah kelar.</t>
  </si>
  <si>
    <t>Awalnya rencana ke jogja juli-Tiba2 terbit PPKM-mundur jd awal agustus-PPKM diperpanjang-mundur lagi pertengahan Agustus
 Eh anying ini kl diperpanjang lagi sekalian napa blngnya sampe akhir tahun, capek bgst</t>
  </si>
  <si>
    <t>Awalnya rencana ke jogja juli-Tiba2 terbit PPKM-mundur jd awal agustus-PPKM diperpanjang-mundur lagi pertengahan AgustusEh anying ini kl diperpanjang lagi sekalian napa blngnya sampe akhir tahun, capek bgst</t>
  </si>
  <si>
    <t>@liputan6dotcom Yang merasa punya negara mah bebas...yang buat peraturan mah bebas...yang perpanjang PPKM mah bebas...</t>
  </si>
  <si>
    <t>Yang merasa punya negara mah bebas...yang buat peraturan mah bebas...yang perpanjang PPKM mah bebas...</t>
  </si>
  <si>
    <t>@republikaonline Monyet itu lapar karena ppkm ...</t>
  </si>
  <si>
    <t>Monyet itu lapar karena ppkm ...</t>
  </si>
  <si>
    <t>Ppkm stop dulu kenapa si</t>
  </si>
  <si>
    <t>@ForzaJuveEN @DiMarzio Kaya PPKM di ulur terus 👍</t>
  </si>
  <si>
    <t>Kaya PPKM di ulur terus</t>
  </si>
  <si>
    <t>Keknya cuma rafathar yang gak mikirin besok makan apa selama PPKM diperpanjang, iya gak si? @FamilyRANS_FC</t>
  </si>
  <si>
    <t>Keknya cuma rafathar yang gak mikirin besok makan apa selama PPKM diperpanjang, iya gak si?</t>
  </si>
  <si>
    <t>PPKM ini ngebuat jadi sulit belanja bahan bahan buat jualan. Kayak yg terbatas gitu mau kemana mana. dtg hari ini, eh tutup. Belum lg persyaratan yg seabreg. Jualan pun jadinya menurun. Semoga segera pulih :(</t>
  </si>
  <si>
    <t>PPKM ini ngebuat jadi sulit belanja bahan bahan buat jualan. Kayak yg terbatas gitu mau kemana mana. dtg hari ini, eh tutup. Belum lg persyaratan yg seabreg. Jualan pun jadinya menurun. Semoga segera pulih</t>
  </si>
  <si>
    <t>@botolnalgene Wkwk masih mending ya teh, membantu umkm yg terdampak ppkm 😅</t>
  </si>
  <si>
    <t>Wkwk masih mending ya teh, membantu umkm yg terdampak ppkm</t>
  </si>
  <si>
    <t>pacaran kok posesif banget kek peraturan ppkm</t>
  </si>
  <si>
    <t>@MelvinTandjaja pagi Melvin, ...
 smg msh semangat menjalani PPKM yg berseri seperti sinetron</t>
  </si>
  <si>
    <t>pagi Melvin, ...smg msh semangat menjalani PPKM yg berseri seperti sinetron</t>
  </si>
  <si>
    <t>PPKM gajelas</t>
  </si>
  <si>
    <t>@KompasTV Ga ngerti lg PPKM apa ini ibuk2 bukannya menjaga kok malah nyuruh yg ngga2 aja,</t>
  </si>
  <si>
    <t>Ga ngerti lg PPKM apa ini ibuk2 bukannya menjaga kok malah nyuruh yg ngga2 aja,</t>
  </si>
  <si>
    <t>@cancerhii Nunggu PPKM ga ada</t>
  </si>
  <si>
    <t>Nunggu PPKM ga ada</t>
  </si>
  <si>
    <t>Dampak PPKM di pku, dimana² macet, Nakes dan Aparat dapat dispensasi untuk bebas dari penyekatan, tapi apa gunanya kalau kondisi lapangan kayak gini, entah aturan yang salah atau memang warga yg ga bisa taat aturan, perkantoran WFH 50, pusat perbelanjaan tutup total https://t.co/VaZmyGNUGi</t>
  </si>
  <si>
    <t>Dampak PPKM di pku, dimana macet, Nakes dan Aparat dapat dispensasi untuk bebas dari penyekatan, tapi apa gunanya kalau kondisi lapangan kayak gini, entah aturan yang salah atau memang warga yg ga bisa taat aturan, perkantoran WFH , pusat perbelanjaan tutup total</t>
  </si>
  <si>
    <t>@andihiyat Sama sama dipikiran naksir, tapi kenyataan ga ada yang ungkapin, gitu aja trus sampai perpanjangan PPKM</t>
  </si>
  <si>
    <t>Sama sama dipikiran naksir, tapi kenyataan ga ada yang ungkapin, gitu aja trus sampai perpanjangan PPKM</t>
  </si>
  <si>
    <t>@TMCPoldaMetro simkeliling apa bisa utk perpanjang SIM dgn KTP Depok dan masa berlakunya sdh habis saat PPKM? Tks https://t.co/5IrxoX88qX</t>
  </si>
  <si>
    <t>simkeliling apa bisa utk perpanjang SIM dgn KTP Depok dan masa berlakunya sdh habis saat PPKM? Tks</t>
  </si>
  <si>
    <t>Bentar lg HUT kemerdekaan RI nah kita kapan merdeka dari PPKM</t>
  </si>
  <si>
    <t>Ppkm kapan selesai?
 Gwa benci banget tiap pagi drama sama satpam stasiun cuma karna pembatasan.
 Iya yang di prioritasin nakes, nakes juga sama kok kaya pekerja biasa, ada jam kerja nya..
 Bahkan tadi gua liat dia bukan nakes malah dipersilahkan masuk
 Wkwkwkwkwkwkwk</t>
  </si>
  <si>
    <t>Ppkm kapan selesai?Gwa benci banget tiap pagi drama sama satpam stasiun cuma karna pembatasan.Iya yang di prioritasin nakes, nakes juga sama kok kaya pekerja biasa, ada jam kerja nya..Bahkan tadi gua liat dia bukan nakes malah dipersilahkan masukWkwkwkwkwkwkwk</t>
  </si>
  <si>
    <t>@e100ss sumpah min pingin ke Jogja tapi ntar dulu masih PPKM dan sepi banget</t>
  </si>
  <si>
    <t>sumpah min pingin ke Jogja tapi ntar dulu masih PPKM dan sepi banget</t>
  </si>
  <si>
    <t>@JinPanjulSompla Smg yg hari ini semua nya terdampak sm Pandemi Alloh segerakan jln kluarnya, Alloh lancar kan ikhtiarnya</t>
  </si>
  <si>
    <t>Smg yg hari ini semua nya terdampak sm Pandemi Alloh segerakan jln kluarnya, Alloh lancar kan ikhtiarnya</t>
  </si>
  <si>
    <t>[cm] ada mahasisswa asal jakarta yang selama ppkm menetap di bandung ga?</t>
  </si>
  <si>
    <t>Orang orang pada ngomongin nika pas ppkm, jadi pengen kawin</t>
  </si>
  <si>
    <t>@euisbeling13 Klo saya pengen jualan jualan bakso/ Saya jeng kena dampak PPKM bangunan lg pada gak ada</t>
  </si>
  <si>
    <t>Klo saya pengen jualan jualan bakso/ Saya jeng kena dampak PPKM bangunan lg pada gak ada</t>
  </si>
  <si>
    <t>@asri1_bro @BossTemlen Membagi langsung boleh dan sangat bagus lihat sikon dong bossss kan masih ppkm. 
 rakyat khusus nya para pedagang aja dibatasi jam serta aturannya,fanatik tidak dilarang tapi pikiran jernih tetap berjalan 😁😁</t>
  </si>
  <si>
    <t>Membagi langsung boleh dan sangat bagus lihat sikon dong bossss kan masih ppkm. rakyat khusus nya para pedagang aja dibatasi jam serta aturannya,fanatik tidak dilarang tapi pikiran jernih tetap berjalan</t>
  </si>
  <si>
    <t>@duniaaa_tweet Sabar dulu ntar ppkm selesai</t>
  </si>
  <si>
    <t>Sabar dulu ntar ppkm selesai</t>
  </si>
  <si>
    <t>@tubirfess Jadi ati2 aja kl ngomong, dan siksaan neraka tuh bener2 berlipat2 dri kesakitan di bumi, disuruh di rumah pas lg ppkm aja udh mencak2 stress gak kuat, gimana di neraka yg di kelilingi api trus disiksa setiap detik gak ada pause nya</t>
  </si>
  <si>
    <t>Jadi ati2 aja kl ngomong, dan siksaan neraka tuh bener2 berlipat2 dri kesakitan di bumi, disuruh di rumah pas lg ppkm aja udh mencak2 stress gak kuat, gimana di neraka yg di kelilingi api trus disiksa setiap detik gak ada pause nya</t>
  </si>
  <si>
    <t>@geloraco @Melati152 PPKM utk rakyat : Pembatasan Pergerakan Kegiatan Masyarakat..biar mati kelaparan, saling bunuh membunuh.
 PPKM utk TKA China : Peraturan Pembebasan Keluar Masuk..menguasai wilayah dn SDA.</t>
  </si>
  <si>
    <t>PPKM utk rakyat : Pembatasan Pergerakan Kegiatan Masyarakat..biar mati kelaparan, saling bunuh membunuh.PPKM utk TKA China : Peraturan Pembebasan Keluar Masuk..menguasai wilayah dn SDA.</t>
  </si>
  <si>
    <t>jajan dulu selama ppkm diperpanjang. https://t.co/FZUEjaSTNh</t>
  </si>
  <si>
    <t>jajan dulu selama ppkm diperpanjang.</t>
  </si>
  <si>
    <t>@AREAJULID Sodara gue nikah sebelum pandemi dan ppkm juga cuma ngundang 6 orang doang</t>
  </si>
  <si>
    <t>Sodara gue nikah sebelum pandemi dan ppkm juga cuma ngundang orang doang</t>
  </si>
  <si>
    <t>makasiii ya cimii dan nemenin dari masa psbb sampe ppkm😺 https://t.co/dtSeixUBpH</t>
  </si>
  <si>
    <t>makasiii ya cimii dan nemenin dari masa psbb sampe ppkm</t>
  </si>
  <si>
    <t>@Spriebadi @bunga_rampai01 lg ppkm ogah keluar"</t>
  </si>
  <si>
    <t>lg ppkm ogah keluar"</t>
  </si>
  <si>
    <t>Sudahi ppkm ini :))</t>
  </si>
  <si>
    <t>Sudahi ppkm ini</t>
  </si>
  <si>
    <t>@anonLokal Perempatan Gramedia dibawah flyover Pekanbaru ini gak di sekat aja luar biasa macetnya, apalagi di sekat...PPKM katanya s/d tgl 23
 Gilaaaa</t>
  </si>
  <si>
    <t>Perempatan Gramedia dibawah flyover Pekanbaru ini gak di sekat aja luar biasa macetnya, apalagi di sekat...PPKM katanya s/d tgl Gilaaaa</t>
  </si>
  <si>
    <t>Jika PPKM di perpanjang dua kali dan hasilnya masih nihil, maka akan di lakukan adu pinalti...🤣🤣</t>
  </si>
  <si>
    <t>Jika PPKM di perpanjang dua kali dan hasilnya masih nihil, maka akan di lakukan adu pinalti...</t>
  </si>
  <si>
    <t>@ASastroamidjojo Kawal temen lu noh yg ngamuk2 kena penyekatan ppkm</t>
  </si>
  <si>
    <t>Kawal temen lu noh yg ngamuk2 kena penyekatan ppkm</t>
  </si>
  <si>
    <t>@FenniBungsu Ya semoga dengan ikut pemerintah dengan PPKM pandemi bisa pergi jauh²</t>
  </si>
  <si>
    <t>Ya semoga dengan ikut pemerintah dengan PPKM pandemi bisa pergi jauh</t>
  </si>
  <si>
    <t>@jajanbighit Max 2-3 hari ka kalau diem aja gitu, soalnya kan lagi ppkm juga. Bahkan yang udah di kotaku sendiri tinggal kirim ke alamat ke tunda terus dikirimnya</t>
  </si>
  <si>
    <t>Max $NUMBER$ hari ka kalau diem aja gitu, soalnya kan lagi ppkm juga. Bahkan yang udah di kotaku sendiri tinggal kirim ke alamat ke tunda terus dikirimnya</t>
  </si>
  <si>
    <t>Ibarat permainan bola kaki. Kalau belum ada pemenangnya maka akan ada perpanjangan waktu. 
 Kalau PPKM diperpanjang, menunjukkan pemerintah belum berhasil menangani pandemi Covid19. Jadi harus ada penggantian pemain, pelatih atau officialnya.</t>
  </si>
  <si>
    <t>Ibarat permainan bola kaki. Kalau belum ada pemenangnya maka akan ada perpanjangan waktu. Kalau PPKM diperpanjang, menunjukkan pemerintah belum berhasil menangani pandemi Covid19. Jadi harus ada penggantian pemain, pelatih atau officialnya.</t>
  </si>
  <si>
    <t>Indonesia akan RUNGKAD kalo pemimpinnya macam sekarang...PPKM #MusnahkanBuzzer #DayaRusakJokowiLuarbiasa #ParlemenBisu #AturanRuwet #JokowiMusibahBangsa #jokowimundurrakyatselamat #jokowidipanggildong https://t.co/PvmdwlRatg</t>
  </si>
  <si>
    <t>Indonesia akan RUNGKAD kalo pemimpinnya macam sekarang...PPKM</t>
  </si>
  <si>
    <t>pagi ini 😊
 agar kuat menjalani PPKM
 tetap semangat
 hati yang gembira membuat imun tetap tinggi
 salam sehat. https://t.co/9wrsR2ZYC6</t>
  </si>
  <si>
    <t>pagi ini agar kuat menjalani PPKMtetap semangathati yang gembira membuat imun tetap tinggisalam sehat.</t>
  </si>
  <si>
    <t>@MikoSoeganda Hehehehehe PPKM mas 😜</t>
  </si>
  <si>
    <t>Hehehehehe PPKM mas</t>
  </si>
  <si>
    <t>Setelah sekian lama ppkm 🌻 https://t.co/W5v8w8OlKK</t>
  </si>
  <si>
    <t>Setelah sekian lama ppkm</t>
  </si>
  <si>
    <t>@hensamwhy @aadeello2 ppkm sebentar lagi berenti kalo atasannya udah liat ini</t>
  </si>
  <si>
    <t>ppkm sebentar lagi berenti kalo atasannya udah liat ini</t>
  </si>
  <si>
    <t>PPKM= Pelan-pelan Kamu Menyukainya🙂 https://t.co/fOCtNF5kmZ</t>
  </si>
  <si>
    <t>PPKM= Pelan-pelan Kamu Menyukainya</t>
  </si>
  <si>
    <t>@AdyanFathir @msaid_didu Membagi2kan bingkisan tdk salah kalau kelasnya juragan kampung, ini Presiden masa pandemi, PPKM lg.
 Membagi dgn cara itupun tdk mungkin merata &amp;amp; di mn keadilannya kalau bgt?
 Apa tdk punya lembaga/kementrian yg mengurus ini, msl lwt Kemensos.
 Yg jelas Presiden melanggar PPKM titik</t>
  </si>
  <si>
    <t>Membagi2kan bingkisan tdk salah kalau kelasnya juragan kampung, ini Presiden masa pandemi, PPKM lg.Membagi dgn cara itupun tdk mungkin merata &amp;amp; di mn keadilannya kalau bgt?Apa tdk punya lembaga/kementrian yg mengurus ini, msl lwt Kemensos.Yg jelas Presiden melanggar PPKM titik</t>
  </si>
  <si>
    <t>ya Allah id express @idexpress_care gimana sih udah 2 hari loh stuck paket gak dianter. itu alat tulis mau dipake ngajar lohhhhhh 😭 niat beli di shopee mendukung ppkm, biar gak keluar2 rumah malah kaya gini 😭 https://t.co/VUV2uMl9P2</t>
  </si>
  <si>
    <t>ya Allah id express gimana sih udah hari loh stuck paket gak dianter. itu alat tulis mau dipake ngajar lohhhhhh niat beli di shopee mendukung ppkm, biar gak keluar2 rumah malah kaya gini</t>
  </si>
  <si>
    <t>@musniumar Pembagian sembako dari mobil terjadi kerumunan, apakah hal ini menjadi pelanggaran PPKM ?, kl tdk berarti hukum tdk adil.</t>
  </si>
  <si>
    <t>Pembagian sembako dari mobil terjadi kerumunan, apakah hal ini menjadi pelanggaran PPKM ?, kl tdk berarti hukum tdk adil.</t>
  </si>
  <si>
    <t>kalian kalo kentut dikeluarin sekaligus atau bertahap2 kek PPKM? 😗</t>
  </si>
  <si>
    <t>kalian kalo kentut dikeluarin sekaligus atau bertahap2 kek PPKM?</t>
  </si>
  <si>
    <t>Apa sih manfaatnya survei elektabilitas di saat PPKM?!
 Emangnya rakyat peduli dengan elektabilitas di saat mereka sekarang susah untuk cari duit..
 Berbahagialah mereka yang dapat gaji bulanan. 
 Merataplah mereka yang mengais rezeki di jalanan.</t>
  </si>
  <si>
    <t>Apa sih manfaatnya survei elektabilitas di saat PPKM?!Emangnya rakyat peduli dengan elektabilitas di saat mereka sekarang susah untuk cari duit..Berbahagialah mereka yang dapat gaji bulanan. Merataplah mereka yang mengais rezeki di jalanan.</t>
  </si>
  <si>
    <t>Ni Pandemi kapan kelarnya yaa?? Klu di negara luar Pandemi naik turun kurvanya, bolak balik lockdown duit nya ada buat Bansos rakyat, lah di Indonesia ini apa kabarnya?? Yg bwh makin trhmpit menjerit, makin sengsara, yg bermain proyek dng Pandemi yaa makin lancar cuan nya</t>
  </si>
  <si>
    <t>@is_pelssy Sampai emosi PPKM diundur².. kemana² kebanyakan aturan</t>
  </si>
  <si>
    <t>Sampai emosi PPKM diundur.. kemana kebanyakan aturan</t>
  </si>
  <si>
    <t>Sejompo ini ya gua sekarang, ya tau sih lagi ppkm, tapi kangen pengen main anjir tapi udah gabisa main/capek2 lagi😅</t>
  </si>
  <si>
    <t>Sejompo ini ya gua sekarang, ya tau sih lagi ppkm, tapi kangen pengen main anjir tapi udah gabisa main/capek2 lagi</t>
  </si>
  <si>
    <t>Lagi ppkm nih</t>
  </si>
  <si>
    <t>@DitjenPajakRI @SarahSalsha69 Jadi sering muncul, dampak PPKM yaaa? HAHAHHAHA</t>
  </si>
  <si>
    <t>Jadi sering muncul, dampak PPKM yaaa? HAHAHHAHA</t>
  </si>
  <si>
    <t>@injeolraa HNGGG gara gara ppkm siaul:")</t>
  </si>
  <si>
    <t>HNGGG gara gara ppkm siaul:")</t>
  </si>
  <si>
    <t>@detikcom Apakah warga yg terdampak PPKM akan merasa terhibur dengan penerbangan 73 rbu balon ini
 Hmmmm, kita tunggu jawabannya setelah pesan pesan berikut ini</t>
  </si>
  <si>
    <t>Apakah warga yg terdampak PPKM akan merasa terhibur dengan penerbangan rbu balon iniHmmmm, kita tunggu jawabannya setelah pesan pesan berikut ini</t>
  </si>
  <si>
    <t>ppkm dki jakarta april 2021</t>
  </si>
  <si>
    <t>ppkm dki jakarta april</t>
  </si>
  <si>
    <t>Hater itu bukan buat disamperin, tapi buat penggugur dosa.
 Atau ini alesan elu aja buat jalan2 ke Bandung waktu PPKM begini?! Hah?! https://t.co/23XnfARF0p</t>
  </si>
  <si>
    <t>Hater itu bukan buat disamperin, tapi buat penggugur dosa.Atau ini alesan elu aja buat jalan2 ke Bandung waktu PPKM begini?! Hah?!</t>
  </si>
  <si>
    <t>dari semarang, melipir dulu ke jogja. yok tebak ini jalan apaan? edisi ppkm 🙈
 enaknya dinas luar kota atau luar pulau adalah selain kerja, kita bisa wisata https://t.co/DVP0V44yy7</t>
  </si>
  <si>
    <t>dari semarang, melipir dulu ke jogja. yok tebak ini jalan apaan? edisi ppkm enaknya dinas luar kota atau luar pulau adalah selain kerja, kita bisa wisata</t>
  </si>
  <si>
    <t>Ini dari kemarin kemarin baru berita nih udah rame baru di liput tv 😂😂, presiden Jokowi di gugatan para pedagang , usaha UMKM ..mengenai ppkm 😅... Berarti banyak yg udah ga percaya sama pemerintah ..vaksin aja semrawut 😁, itu baru vaksin pertama 🤣</t>
  </si>
  <si>
    <t>Ini dari kemarin kemarin baru berita nih udah rame baru di liput tv , presiden Jokowi di gugatan para pedagang , usaha UMKM ..mengenai ppkm ... Berarti banyak yg udah ga percaya sama pemerintah ..vaksin aja semrawut , itu baru vaksin pertama</t>
  </si>
  <si>
    <t>@Umar_Chelsea_75 Sy kira anda terlalu berlebihan jokowi dibilang programnya tdk ada yg sukses 
 Ini buktinya 
 1. KPK dilemahkan
 2. Pejabat boleh rangkap jabatan
 3. Pribumi wajib ikuti Prokes, PPKM dr level 1,2,3,4 hingga game over terkecuali TKA china yg bebas berkeliaran</t>
  </si>
  <si>
    <t>Sy kira anda terlalu berlebihan jokowi dibilang programnya tdk ada yg sukses Ini buktinya . KPK dilemahkan2. Pejabat boleh rangkap jabatan3. Pribumi wajib ikuti Prokes, PPKM dr level hingga game over terkecuali TKA china yg bebas berkeliaran</t>
  </si>
  <si>
    <t>@tubirfess Seperti kita para netijen yg suka buat plesetan dr perpanjangan PPKM, atau sambat mulu krn bosan dirumah aja, bosan sekolah/kuliah online. Gitu jg dengan dia, beda aksi sambat aja. Sah2 aja nyuarakan toh ga anarkis.</t>
  </si>
  <si>
    <t>Seperti kita para netijen yg suka buat plesetan dr perpanjangan PPKM, atau sambat mulu krn bosan dirumah aja, bosan sekolah/kuliah online. Gitu jg dengan dia, beda aksi sambat aja. Sah2 aja nyuarakan toh ga anarkis.</t>
  </si>
  <si>
    <t>nonton apa lagi yh, bosen bgt ppkm</t>
  </si>
  <si>
    <t>@KRMTRoySuryo2 Kalo memang niat bagi sembako di masa ppkm, di data di rt rw siapa yang layak terima, trus anterin ke alamatnya.. 🙂</t>
  </si>
  <si>
    <t>Kalo memang niat bagi sembako di masa ppkm, di data di rt rw siapa yang layak terima, trus anterin ke alamatnya..</t>
  </si>
  <si>
    <t>@Jojomr79 Buah simalakama... 
 Dipenjara atau tidak...
 Semua tinggal menunggu saja..
 Bansos bukan solusi, PPKM bukan jawaban.. Rakyat lapar, jobless, dan lapangan kerja untuk TKA...</t>
  </si>
  <si>
    <t>Buah simalakama... Dipenjara atau tidak...Semua tinggal menunggu saja..Bansos bukan solusi, PPKM bukan jawaban.. Rakyat lapar, jobless, dan lapangan kerja untuk TKA...</t>
  </si>
  <si>
    <t>@Coco03806574 @OngisnadeNet Emang pas PPKm Arema beberapa kali latihan sam</t>
  </si>
  <si>
    <t>Emang pas PPKm Arema beberapa kali latihan sam</t>
  </si>
  <si>
    <t>PPKM efect kerasa banget..
 NAPAS SUSAH NGAB.. PAKE MASKER TEROS..</t>
  </si>
  <si>
    <t>PPKM efect kerasa banget..NAPAS SUSAH NGAB.. PAKE MASKER TEROS..</t>
  </si>
  <si>
    <t>@ekowboy2 Rakyat di anggap miskin papa, padahal ulah dia, ppkm berjilid2.. krn kalau lock down gk bs ngasih makan rakyatnya!!! Tragisnya yg di kasih makan rakyat aseng komunis???</t>
  </si>
  <si>
    <t>Rakyat di anggap miskin papa, padahal ulah dia, ppkm berjilid2.. krn kalau lock down gk bs ngasih makan rakyatnya!!! Tragisnya yg di kasih makan rakyat aseng komunis???</t>
  </si>
  <si>
    <t>@OMGKIMCHY ppkm mba mas</t>
  </si>
  <si>
    <t>ppkm mba mas</t>
  </si>
  <si>
    <t>@citraprayogo_ Ppkm mba 🤣</t>
  </si>
  <si>
    <t>Ppkm mba</t>
  </si>
  <si>
    <t>@jjongryongida Waduh repot juga ya. Semoga ppkm cepet kelar deh ini</t>
  </si>
  <si>
    <t>Waduh repot juga ya. Semoga ppkm cepet kelar deh ini</t>
  </si>
  <si>
    <t>@txtdarisukabumi Biar kerjaannya banyak, PPKM + Ganjil genap</t>
  </si>
  <si>
    <t>Biar kerjaannya banyak, PPKM + Ganjil genap</t>
  </si>
  <si>
    <t>@andihiyat Lomba berbagi sebaik(ikhlas) mungkin untuk yang memerlukan dan terdampak ppkm atau covid-19.
 #temantanggalmerah</t>
  </si>
  <si>
    <t>Lomba berbagi sebaik(ikhlas) mungkin untuk yang memerlukan dan terdampak ppkm atau covid-19.</t>
  </si>
  <si>
    <t>@jokowi tolong dong pak yg kemaren bagi2 sembako dan menciptakan kerumunan di saat pemberlakuan PPKM ditindak tegas, itu sama sekali tidak memberi contoh yg baik di tengah pandemi, hargai nyawa nakes yg sudah berjuang melawan pandemi.</t>
  </si>
  <si>
    <t>tolong dong pak yg kemaren bagi2 sembako dan menciptakan kerumunan di saat pemberlakuan PPKM ditindak tegas, itu sama sekali tidak memberi contoh yg baik di tengah pandemi, hargai nyawa nakes yg sudah berjuang melawan pandemi.</t>
  </si>
  <si>
    <t>@bdngfess Sedih selama ppkm yg dibuka cuma bagian bahan makanan aja. Padahal yg seru tuh jelajahin bagian otomotif, perkakas, alat rumah tangga, komputer, alat tulis dll siapa tau nemu barang unik</t>
  </si>
  <si>
    <t>Sedih selama ppkm yg dibuka cuma bagian bahan makanan aja. Padahal yg seru tuh jelajahin bagian otomotif, perkakas, alat rumah tangga, komputer, alat tulis dll siapa tau nemu barang unik</t>
  </si>
  <si>
    <t>@FWBESS setelah 7 hari diperpanjang lagi? Konsepnya semacam ppkm ya</t>
  </si>
  <si>
    <t>setelah hari diperpanjang lagi? Konsepnya semacam ppkm ya</t>
  </si>
  <si>
    <t>@berlianidris PPKM diodot2 ehh kerumunan bagi2 sembako , bisanya bagi2 swmbako...soalnya gak pakai mikir</t>
  </si>
  <si>
    <t>PPKM diodot2 ehh kerumunan bagi2 sembako , bisanya bagi2 swmbako...soalnya gak pakai mikir</t>
  </si>
  <si>
    <t>Kerumunan saat Pak @jokowi bagi bagi sembako masih terus terjadi.
 WNA masuk saat diterapkan PPKM untuk mencegah penularan Covid dari Luar Negeri juga terus berlangsung.
 Banyak protes yg disampaikan melalui sosial media dan media.
 Apakah tidak ada cara utk menghentikannya?</t>
  </si>
  <si>
    <t>Kerumunan saat Pak bagi bagi sembako masih terus terjadi.WNA masuk saat diterapkan PPKM untuk mencegah penularan Covid dari Luar Negeri juga terus berlangsung.Banyak protes yg disampaikan melalui sosial media dan media.Apakah tidak ada cara utk menghentikannya?</t>
  </si>
  <si>
    <t>Bebaskan HRS.. 
 Kerumunan jokowi ini sudah layak di makzulkan.
 Pemimpin yang melanggar aturannya sendiri. 
 Sepatutnya @DPR_RI berani berkata lantang. Ketidak konsistenan presiden mentaati prokes. 
 Apa artinya PPKM ??
 Negara di permainkan seperti ini. 
 #TangkapJokowi https://t.co/4tL5wYMIAF</t>
  </si>
  <si>
    <t>Bebaskan HRS.. Kerumunan jokowi ini sudah layak di makzulkan.Pemimpin yang melanggar aturannya sendiri. Sepatutnya berani berkata lantang. Ketidak konsistenan presiden mentaati prokes. Apa artinya PPKM ??Negara di permainkan seperti ini.</t>
  </si>
  <si>
    <t>Masih ppkm ya?
 Tetep masih bertahan hidup nih!</t>
  </si>
  <si>
    <t>Masih ppkm ya?Tetep masih bertahan hidup nih!</t>
  </si>
  <si>
    <t>@heIlowdad Efek ppkm perpanjangan terus, jd banyak notif ginian bersliweran tiap hari.. P</t>
  </si>
  <si>
    <t>Efek ppkm perpanjangan terus, jd banyak notif ginian bersliweran tiap hari.. P</t>
  </si>
  <si>
    <t>@kumparan Teknik persuasif sudahi PPKM ala polster sampah.</t>
  </si>
  <si>
    <t>Teknik persuasif sudahi PPKM ala polster sampah.</t>
  </si>
  <si>
    <t>@ghastpiracy bukannya desakan pengahapusan ppkm juga berangkat dari kepentingan pribadi banyak orang bg?</t>
  </si>
  <si>
    <t>bukannya desakan pengahapusan ppkm juga berangkat dari kepentingan pribadi banyak orang bg?</t>
  </si>
  <si>
    <t>@MMargani5 Allah mmperlihatkan kelakuan mereka yg katanya PPKM prokes mereka yg bikin aturan nereka yg mnjalani akibat mecela mencele gitu</t>
  </si>
  <si>
    <t>Allah mmperlihatkan kelakuan mereka yg katanya PPKM prokes mereka yg bikin aturan nereka yg mnjalani akibat mecela mencele gitu</t>
  </si>
  <si>
    <t>@SarahSalsha69 Sedihnya liat saldo karyawan ppkm ini 🥺 https://t.co/tMLMxbQPXc</t>
  </si>
  <si>
    <t>Sedihnya liat saldo karyawan ppkm ini</t>
  </si>
  <si>
    <t>ppkm lebih dari 6 minggu dan gua tetep belum potong rambut 🙂</t>
  </si>
  <si>
    <t>ppkm lebih dari minggu dan gua tetep belum potong rambut</t>
  </si>
  <si>
    <t>@AnggaPutraF Kan PPKM mulu mas :(((</t>
  </si>
  <si>
    <t>Kan PPKM mulu mas</t>
  </si>
  <si>
    <t>@agianxa Sek ges, ppkm. 🤭😂</t>
  </si>
  <si>
    <t>Sek ges, ppkm.</t>
  </si>
  <si>
    <t>@OposisiCerdas Anaknya korban bully tapi masih bisa dapat fasilitas enak dari hasil korupsi..Bgmn dgn anak2 lain yg ortunya gk bs cari rejeki krn PPKM mau makan sm beli quota aja susah. Anak horang kayah manja!!</t>
  </si>
  <si>
    <t>Anaknya korban bully tapi masih bisa dapat fasilitas enak dari hasil korupsi..Bgmn dgn anak2 lain yg ortunya gk bs cari rejeki krn PPKM mau makan sm beli quota aja susah. Anak horang kayah manja!!</t>
  </si>
  <si>
    <t>Nah ini aku malah bersyukur nikah di masa ppkm, gaperlu ada resepsi, gaperlu ada hajatan gede gedean, disamping emang gasuka rame ramean, juga lebih hemat budget, yang penting kan ttp sakral https://t.co/uyIIqrekcn</t>
  </si>
  <si>
    <t>Nah ini aku malah bersyukur nikah di masa ppkm, gaperlu ada resepsi, gaperlu ada hajatan gede gedean, disamping emang gasuka rame ramean, juga lebih hemat budget, yang penting kan ttp sakral</t>
  </si>
  <si>
    <t>@jenospuddin jangan rame rame ini ppkm</t>
  </si>
  <si>
    <t>jangan rame rame ini ppkm</t>
  </si>
  <si>
    <t>gpp skrg aku menjadi kepopong yg menututup diri, nnti klo dh ppkm jd kupu2 lg 🙃</t>
  </si>
  <si>
    <t>gpp skrg aku menjadi kepopong yg menututup diri, nnti klo dh ppkm jd kupu2 lg</t>
  </si>
  <si>
    <t>Aslinya PPKM tuh setahun, cuman
 Sama pemerintah di cicil seminggu- seminggu 
 🤣🤣🤣</t>
  </si>
  <si>
    <t>Aslinya PPKM tuh setahun, cumanSama pemerintah di cicil seminggu- seminggu</t>
  </si>
  <si>
    <t>@onlyyundd sabar abis ppkm selesai</t>
  </si>
  <si>
    <t>sabar abis ppkm selesai</t>
  </si>
  <si>
    <t>@Outstandjing Kemarin berita yg seliweran sarannya PPKM sampai akhir 2021</t>
  </si>
  <si>
    <t>Kemarin berita yg seliweran sarannya PPKM sampai akhir</t>
  </si>
  <si>
    <t>@tarzanngantuk 😍😍😍😍😍
 Habis ppkm cocok kayaknya...</t>
  </si>
  <si>
    <t>Habis ppkm cocok kayaknya...</t>
  </si>
  <si>
    <t>@whaliephany Jika September PPKM berlanjut ,kami tenant mall terpaksa harus rumahkan seluruh karyawan dan cut operasional karna cash flow sudah tak kuat untuk beban ops 😇</t>
  </si>
  <si>
    <t>Jika September PPKM berlanjut ,kami tenant mall terpaksa harus rumahkan seluruh karyawan dan cut operasional karna cash flow sudah tak kuat untuk beban ops</t>
  </si>
  <si>
    <t>Bedebah kalian,, disaat rakyat mau cari makan kalian batasi dengan ppkm,, dilain pihak kalian loloskan tenaga kerja cina masuk....
 *jika orang² baik hanya diam,, niscaya orang² jahat merajalela* https://t.co/engHa8fHGk</t>
  </si>
  <si>
    <t>Bedebah kalian,, disaat rakyat mau cari makan kalian batasi dengan ppkm,, dilain pihak kalian loloskan tenaga kerja cina masuk....*jika orang baik hanya diam,, niscaya orang jahat merajalela*</t>
  </si>
  <si>
    <t>Nunggu panggilan interview setelah ngelamar kerja udah kaya nungguin bansos.
 Kaga datang" njir:)
 Bilangnya 3-4 hari,tau"nya mundur jadi 1 minggu. Udah nunggu,diundur lagi 1 minggu:).
 Ini PPKM kah?!. Canda PPKM:)
 #lamarankerja #ppkm #bansos</t>
  </si>
  <si>
    <t>Nunggu panggilan interview setelah ngelamar kerja udah kaya nungguin bansos.Kaga datang" njirBilangnya $NUMBER$ hari,tau"nya mundur jadi minggu. Udah nunggu,diundur lagi minggu.Ini PPKM kah?!. Canda PPKM</t>
  </si>
  <si>
    <t>@CNNIndonesia ini berita bngst sekali....suka bgt ya klean ppkm diperpanjang</t>
  </si>
  <si>
    <t>ini berita bngst sekali....suka bgt ya klean ppkm diperpanjang</t>
  </si>
  <si>
    <t>@jaemcityx @CryptoDavidBSC Bismillah menang, kalau menang buat makan selama ppkm 🥺 https://t.co/opNYCet10f</t>
  </si>
  <si>
    <t>Bismillah menang, kalau menang buat makan selama ppkm</t>
  </si>
  <si>
    <t>:Cokkk ppkm asuuu. Kucingku jadi meninggal gegara pada tutup dokter hewan"
 Rest in peace timmy😭😭😭😭😭</t>
  </si>
  <si>
    <t>:Cokkk ppkm asuuu. Kucingku jadi meninggal gegara pada tutup dokter hewan"Rest in peace timmy</t>
  </si>
  <si>
    <t>Diduga ppkm akan diperpanjang sampai kau jadi miliku</t>
  </si>
  <si>
    <t>Kalau dia mngkin ga tau Malu atau bahkan ga punya Malu, tapi sialnya Bangsa yg Besar ini ikut2an menanggung Malu karna Kelakuannya.
 Jokowi Langgar PPKM
 Jokowi langgar Prokes. https://t.co/KTSJQdOoYT</t>
  </si>
  <si>
    <t>Kalau dia mngkin ga tau Malu atau bahkan ga punya Malu, tapi sialnya Bangsa yg Besar ini ikut2an menanggung Malu karna Kelakuannya.Jokowi Langgar PPKMJokowi langgar Prokes.</t>
  </si>
  <si>
    <t>ppkm selesai, karna gue lg dirumahkan, pgn kerja lg, bosen begini trs:(( https://t.co/1fDnVe4Sib</t>
  </si>
  <si>
    <t>ppkm selesai, karna gue lg dirumahkan, pgn kerja lg, bosen begini trs</t>
  </si>
  <si>
    <t>@asri1_bro @BossTemlen Apapun yang dilakukan PakDhe buat kerumunan gak apa-apa, bebas....., sak karepmu. Rakyat sudah bosan PPKM</t>
  </si>
  <si>
    <t>Apapun yang dilakukan PakDhe buat kerumunan gak apa-apa, bebas....., sak karepmu. Rakyat sudah bosan PPKM</t>
  </si>
  <si>
    <t>~ PPKM ~
 PAS PERLU, KAMU MEMELAS
 PAS PUNYA, KAMU MENGHINDAR</t>
  </si>
  <si>
    <t>~ PPKM ~PAS PERLU, KAMU MEMELASPAS PUNYA, KAMU MENGHINDAR</t>
  </si>
  <si>
    <t>It's fckin' boring since ppkm, hari kerja jadi sedikit uangnya juga dapet sedikit🤦🏻‍♂️</t>
  </si>
  <si>
    <t>It's fckin' boring since ppkm, hari kerja jadi sedikit uangnya juga dapet sedikit</t>
  </si>
  <si>
    <t>@Gnrkyz padahal lagi membahas cara mengakhiri ppkm</t>
  </si>
  <si>
    <t>padahal lagi membahas cara mengakhiri ppkm</t>
  </si>
  <si>
    <t>Hanya di Wakanda, dimana sikap pemimpin boleh berbeda dengan kebijakan PPKM yang dibuatnya. Lagian, tidak ada sanksi pidananya kan #Ups https://t.co/IItVDEsG9E</t>
  </si>
  <si>
    <t>Hanya di Wakanda, dimana sikap pemimpin boleh berbeda dengan kebijakan PPKM yang dibuatnya. Lagian, tidak ada sanksi pidananya kan</t>
  </si>
  <si>
    <t>@radenrauf PPKM di akhiri,soal nya capek di rumahhh muluu, mana sekolah online.</t>
  </si>
  <si>
    <t>PPKM di akhiri,soal nya capek di rumahhh muluu, mana sekolah online.</t>
  </si>
  <si>
    <t>@layiishere @nskaedlc Kan lagi ppkm, jadinya gini ajee https://t.co/MdrwlZXfR0</t>
  </si>
  <si>
    <t>Kan lagi ppkm, jadinya gini ajee</t>
  </si>
  <si>
    <t>ppkm tahap 6</t>
  </si>
  <si>
    <t>ppkm tahap</t>
  </si>
  <si>
    <t>PPKM Hanya berlaku utk rakyat pribumi, tidak Untuk WNC https://t.co/JimI98Wv69</t>
  </si>
  <si>
    <t>PPKM Hanya berlaku utk rakyat pribumi, tidak Untuk WNC</t>
  </si>
  <si>
    <t>Dingin ngga ada yang di peluk
 ❌ Jomblo
 ✅ LDR karena PPKM</t>
  </si>
  <si>
    <t>Dingin ngga ada yang di peluk Jomblo LDR karena PPKM</t>
  </si>
  <si>
    <t>@RAMujiyono Kok malah bikin kerumunan yg tidak perlu? Fungsi PPKM jadinya apa?</t>
  </si>
  <si>
    <t>Kok malah bikin kerumunan yg tidak perlu? Fungsi PPKM jadinya apa?</t>
  </si>
  <si>
    <t>@jajanbighit kayanya semenjak ppkm emang barangnya jadi lama banget, aku juga biasanya dari lampung ke luar jawa cuman 2-3 hari ini bisa lebih lama sampe 5 harian, inti nya suka random sih kadang cepet kadang lama banget</t>
  </si>
  <si>
    <t>kayanya semenjak ppkm emang barangnya jadi lama banget, aku juga biasanya dari lampung ke luar jawa cuman $NUMBER$ hari ini bisa lebih lama sampe harian, inti nya suka random sih kadang cepet kadang lama banget</t>
  </si>
  <si>
    <t>Lama" capekk euyyyy, serius ini mah ppkm diperpanjang teruss, mau ke bali mikir berkali" kalau ngg ke bali hati rasanya ngg karuan kalau ngg pasti gini hubungan nya! Aku kon piyee jall</t>
  </si>
  <si>
    <t>Selamat Pagi tweeps, tetaplah bersyukur dalam situasi ppkm ini...selamat memasuki hari jumat yg diberkahi TUHAN, salam sehat selalu</t>
  </si>
  <si>
    <t>Imbas PPKM dan tetek bengek lainnya tidak bisa ke mana-mana. Hikmahnya lebih banyak waktu buat keluarga, hobi, dan istirahat.</t>
  </si>
  <si>
    <t>ppKm level subuh
 Pagi Pagi ke Masjid
 Assalamu'alaikum.. brader sisT3 
 😀</t>
  </si>
  <si>
    <t>ppKm level subuhPagi Pagi ke MasjidAssalamu'alaikum.. brader sisT3</t>
  </si>
  <si>
    <t>@dqrkspk sp yg suka memperpanjang ppkm</t>
  </si>
  <si>
    <t>sp yg suka memperpanjang ppkm</t>
  </si>
  <si>
    <t>@detikcom Yg arogan oknum polisi yg mana nih(PPKM benar2 menyita perhatian)</t>
  </si>
  <si>
    <t>Yg arogan oknum polisi yg mana nih(PPKM benar2 menyita perhatian)</t>
  </si>
  <si>
    <t>PPKM.pelan pelan kita mendekat ❤️❤️❤️😂 https://t.co/4G0cdKHVAd</t>
  </si>
  <si>
    <t>PPKM.pelan pelan kita mendekat</t>
  </si>
  <si>
    <t>@YWiharso @VIVAcoid Lu kok Tololnya berjilid jilid kayak PPKM, semoga anak cucu elu tujuh turunan wajah dan kelakuannya mirip jokowi dah</t>
  </si>
  <si>
    <t>Lu kok Tololnya berjilid jilid kayak PPKM, semoga anak cucu elu tujuh turunan wajah dan kelakuannya mirip jokowi dah</t>
  </si>
  <si>
    <t>@UlvinaM Kalau selesai masa trialnya, apakah akan di perpanjang terus seperti PPKM ini</t>
  </si>
  <si>
    <t>Kalau selesai masa trialnya, apakah akan di perpanjang terus seperti PPKM ini</t>
  </si>
  <si>
    <t>@democrazymedia Kira2 sansi apa yg heus di trapkan untuk yg Melanggar aturan PPKM</t>
  </si>
  <si>
    <t>Kira2 sansi apa yg heus di trapkan untuk yg Melanggar aturan PPKM</t>
  </si>
  <si>
    <t>@roidrigoo Lomba "bertahan hidup" dimasa PPKM ini.</t>
  </si>
  <si>
    <t>Lomba "bertahan hidup" dimasa PPKM ini.</t>
  </si>
  <si>
    <t>Ini orang" nganggur pada instastory kesel sama ppkm diperpanjang napa dah?</t>
  </si>
  <si>
    <t>@OposisiCerdas @vicividivini Ini yg sepertinya jadi tujuan PPKM diperpanjang terus</t>
  </si>
  <si>
    <t>Ini yg sepertinya jadi tujuan PPKM diperpanjang terus</t>
  </si>
  <si>
    <t>ppkm itu gaberlaku untuk influencer,artis dan yutuber!pedagang kecil pekerja harian pelaku usaha harus taat!! https://t.co/rjRoWJTmAS</t>
  </si>
  <si>
    <t>ppkm itu gaberlaku untuk influencer,artis dan yutuber!pedagang kecil pekerja harian pelaku usaha harus taat!!</t>
  </si>
  <si>
    <t>@LTRFESS Boleh yuk .mutualan dlu lg ppkm</t>
  </si>
  <si>
    <t>Boleh yuk .mutualan dlu lg ppkm</t>
  </si>
  <si>
    <t>@RAMujiyono PPKM di larang ko mlah bikin berkerumunan dia yg larang dia yg tdk mengikuti peraturan hebat lah akibat mencela mencele</t>
  </si>
  <si>
    <t>PPKM di larang ko mlah bikin berkerumunan dia yg larang dia yg tdk mengikuti peraturan hebat lah akibat mencela mencele</t>
  </si>
  <si>
    <t>@MSFachrurrozy Bansos PPKM</t>
  </si>
  <si>
    <t>@geloraco PPKM hanya untuk Rakyat,kecil tegas bertindak buat aturan agar Rakyat susah.
 Tka china di persilakan masuk Rampok lapangan kerja</t>
  </si>
  <si>
    <t>PPKM hanya untuk Rakyat,kecil tegas bertindak buat aturan agar Rakyat susah.Tka china di persilakan masuk Rampok lapangan kerja</t>
  </si>
  <si>
    <t>Pengen nongkrong tapi ppkm ga selesai" 4njg....</t>
  </si>
  <si>
    <t>Pengen nongkrong tapi ppkm ga selesai" njg....</t>
  </si>
  <si>
    <t>@robytch masih ppkm ga ya kira kira🗿</t>
  </si>
  <si>
    <t>masih ppkm ga ya kira kira</t>
  </si>
  <si>
    <t>@republikaonline Puas dg ppkm nya</t>
  </si>
  <si>
    <t>Puas dg ppkm nya</t>
  </si>
  <si>
    <t>@HikmatNugraha Suru buka ayam gepuk ppkm</t>
  </si>
  <si>
    <t>Suru buka ayam gepuk ppkm</t>
  </si>
  <si>
    <t>@undipmenfess ppkm lur</t>
  </si>
  <si>
    <t>ppkm lur</t>
  </si>
  <si>
    <t>ppp kasi rekomen anime dong,ppkm membuatku menjadi wibu😃</t>
  </si>
  <si>
    <t>ppp kasi rekomen anime dong,ppkm membuatku menjadi wibu</t>
  </si>
  <si>
    <t>ppkm anjir malah ke mall</t>
  </si>
  <si>
    <t>@txtdarisisange P for ppkm anj</t>
  </si>
  <si>
    <t>P for ppkm anj</t>
  </si>
  <si>
    <t>@msaid_didu Memalukan, membuat geram melihat rakyat berdesak2an mengabaikan kesehatan demi bingkisan yang diciptakan oleh pemimpin yg hrsnya jd TELADAN disaat PPKM ini dg level levelan, aturan yg ahirnya dilanggar sendiri oleh yg membuatnya. Atau begitu sukanya melihat rakyat yg butuh makan?</t>
  </si>
  <si>
    <t>Memalukan, membuat geram melihat rakyat berdesak2an mengabaikan kesehatan demi bingkisan yang diciptakan oleh pemimpin yg hrsnya jd TELADAN disaat PPKM ini dg level levelan, aturan yg ahirnya dilanggar sendiri oleh yg membuatnya. Atau begitu sukanya melihat rakyat yg butuh makan?</t>
  </si>
  <si>
    <t>toko di mall tuh tetep buka ga sih ppkm gini? mau ke DIY</t>
  </si>
  <si>
    <t>Edisi sebelum PPKM diberlakukan...... @ Kampung Inggris Tumo https://t.co/zss5uGP0PS</t>
  </si>
  <si>
    <t>Edisi sebelum PPKM diberlakukan...... Kampung Inggris Tumo</t>
  </si>
  <si>
    <t>Atlet Liga Indonesia bagian Monaco ajah bete disaat PPKM kek gini 😅 https://t.co/QMKntEJOfG</t>
  </si>
  <si>
    <t>Atlet Liga Indonesia bagian Monaco ajah bete disaat PPKM kek gini</t>
  </si>
  <si>
    <t>@ppuffgurll Semenjak ppkm jam tidur berantakan</t>
  </si>
  <si>
    <t>Semenjak ppkm jam tidur berantakan</t>
  </si>
  <si>
    <t>@detikcom Prokotol !!! 
 Kita cape cape mutar otak biar gimana caranya supaya bisa bertahan hidup menghadapi PPKM yang notabenya akan berdampak baik untuk kita kedepan nya, lah ini malah otak nya keputar nyungsep. Harus segera ditindak tanpa ditolerin biar gag nular ke yang lain 😤</t>
  </si>
  <si>
    <t>Prokotol !!! Kita cape cape mutar otak biar gimana caranya supaya bisa bertahan hidup menghadapi PPKM yang notabenya akan berdampak baik untuk kita kedepan nya, lah ini malah otak nya keputar nyungsep. Harus segera ditindak tanpa ditolerin biar gag nular ke yang lain</t>
  </si>
  <si>
    <t>Tidur jam 00.30. Terus kebangun tiap sejam, sampe barusan.
 Ini tidur apa pengumuman PPKM? 🤔</t>
  </si>
  <si>
    <t>Tidur jam . Terus kebangun tiap sejam, sampe barusan.Ini tidur apa pengumuman PPKM?</t>
  </si>
  <si>
    <t>@Bang_Garr Banyak Pos PPKM nggak nih di jalan..🤔</t>
  </si>
  <si>
    <t>Banyak Pos PPKM nggak nih di jalan..</t>
  </si>
  <si>
    <t>@PutraErlangga_ Kalo bikin kerumunan gini, ala bedanya sama HRS? Sama pejabat yg bikin nikahan pas PPKM? 
 apa bukan indikasi untuk di .....
 Ahh sudalah</t>
  </si>
  <si>
    <t>Kalo bikin kerumunan gini, ala bedanya sama HRS? Sama pejabat yg bikin nikahan pas PPKM? apa bukan indikasi untuk di .....Ahh sudalah</t>
  </si>
  <si>
    <t>@uwowbase_ ppkm lo mas, ninu ninu @xavilatte @radenbanderas</t>
  </si>
  <si>
    <t>ppkm lo mas, ninu ninu</t>
  </si>
  <si>
    <t>Kepada pemerintah dan jajarannya, perintahkan pimpinan dan seluruh karyawan , belanja pada pedagang kecil, agar para pedagang kecil terbantu kehidupannya, anda mungkin tidak tahu, di masa ppkm darurat ini rakyat kecil tak bisa makan dengan layak setiap harinya.</t>
  </si>
  <si>
    <t>@detikcom Kenapa setelah divaksinpun msh ada PPKM ?</t>
  </si>
  <si>
    <t>Kenapa setelah divaksinpun msh ada PPKM ?</t>
  </si>
  <si>
    <t>@Outstandjing PAK SAYA CUMA MAU NIKAHH
 TOLONG JANGAN DI PERPANJANGAN PPKMNYA
 KASIAN JODOH SAYA PAK PENGEN DINIKAHIN, TAPI BINGUNG PANGERANNYA NGGA BISA DATENG KARNA PPKM</t>
  </si>
  <si>
    <t>PAK SAYA CUMA MAU NIKAHHTOLONG JANGAN DI PERPANJANGAN PPKMNYAKASIAN JODOH SAYA PAK PENGEN DINIKAHIN, TAPI BINGUNG PANGERANNYA NGGA BISA DATENG KARNA PPKM</t>
  </si>
  <si>
    <t>@kebabenakkkk Ppkm (pengen peluk km) wkwk</t>
  </si>
  <si>
    <t>Ppkm (pengen peluk km) wkwk</t>
  </si>
  <si>
    <t>@UCxUP Maklum efek PPKM</t>
  </si>
  <si>
    <t>Maklum efek PPKM</t>
  </si>
  <si>
    <t>apakah ppkm mikro di perpanjangan</t>
  </si>
  <si>
    <t>@ericsohnr Meskipun baju gue seketat peraturan PPKM, tapi juric cool abis. Ini baru tiktok ganteng. 🥵🔥</t>
  </si>
  <si>
    <t>Meskipun baju gue seketat peraturan PPKM, tapi juric cool abis. Ini baru tiktok ganteng.</t>
  </si>
  <si>
    <t>ppkm terus kapan pelajaran sosiologi sama mtknya</t>
  </si>
  <si>
    <t>PPKM di perpanjang !!! 
 yuk bundah-bundah dan om-om tersayang. dibelik yuk 🤭
 daripada gak ada kegiatan, mending sama-sama olahraga mataaa yuk 😭😭
 #nevertheles #PoliceUniversity #VIUpremium #VIU #Netflix https://t.co/QZfiZ1ooFX</t>
  </si>
  <si>
    <t>PPKM di perpanjang !!! yuk bundah-bundah dan om-om tersayang. dibelik yuk daripada gak ada kegiatan, mending sama-sama olahraga mataaa yuk</t>
  </si>
  <si>
    <t>@nishashabrina4 Tolong PPKM nya segera dicukupkan, pak @jokowi. Kasian ini temen saya jadi marah2 mulu selama PPKM.</t>
  </si>
  <si>
    <t>Tolong PPKM nya segera dicukupkan, pak . Kasian ini temen saya jadi marah2 mulu selama PPKM.</t>
  </si>
  <si>
    <t>Ppkm kapan selesai sih ngntod! Gue pngen kerja lagi anjng! Ini gue pun lagi sendiri, duit menipis bnget,, berapa hari lagi gue kudu puasa makan-minum dngan dalih nge hemat duit?!!</t>
  </si>
  <si>
    <t>Ternyata di puncak jam segini gada ppkm ges</t>
  </si>
  <si>
    <t>@karniilyasclub Bener kata Bu Siti Fadilah kl PPKM ga efektif untuk menangani Covid-19
 Ada 3 study nyatakan Lockdown ga efektif..⤵️
 Logikanya kl lockdown aja ga efektif apalagi PPKM(Semi Lockdown)
 Akan miskinkan masyarakat menengah kebawah aja
 Rugi waktu,tenaga &amp;amp; uang..
  https://t.co/cVH5zmtBBh https://t.co/U68MHSWXsG</t>
  </si>
  <si>
    <t>Bener kata Bu Siti Fadilah kl PPKM ga efektif untuk menangani Covid-19Ada study nyatakan Lockdown ga efektif..Logikanya kl lockdown aja ga efektif apalagi PPKM(Semi Lockdown)Akan miskinkan masyarakat menengah kebawah ajaRugi waktu,tenaga &amp;amp; uang..</t>
  </si>
  <si>
    <t>@Hilmi28 @Arynur16 @mohmahfudmd Jokowi Kembali Bikin Kerumunan,dgn membagi² sembako di jln di saat PPKM Di terapkan Jokowi Mestinya Mendapatkan Sanksi Lebih Berat dari HRS krn sbgi presiden yg mlnggar aturan di layak di hukum lebih berat!</t>
  </si>
  <si>
    <t>Jokowi Kembali Bikin Kerumunan,dgn membagi sembako di jln di saat PPKM Di terapkan Jokowi Mestinya Mendapatkan Sanksi Lebih Berat dari HRS krn sbgi presiden yg mlnggar aturan di layak di hukum lebih berat!</t>
  </si>
  <si>
    <t>@TofaTofa_id Model yg tdk baik, tdk patut dicontoh dan melanggar aturan/PPKM</t>
  </si>
  <si>
    <t>Model yg tdk baik, tdk patut dicontoh dan melanggar aturan/PPKM</t>
  </si>
  <si>
    <t>@V4AMPIREGFxo @shuttupbtjh efek ppkm gasi</t>
  </si>
  <si>
    <t>efek ppkm gasi</t>
  </si>
  <si>
    <t>@bubup Pagii, kalau sblm ppkm aku suka beli bubur mcd jam sgini, tutup kalau ppkm mcd ga 24 jam:(</t>
  </si>
  <si>
    <t>Pagii, kalau sblm ppkm aku suka beli bubur mcd jam sgini, tutup kalau ppkm mcd ga jam</t>
  </si>
  <si>
    <t>Agak apes sih ultah pas ppkm itu https://t.co/LP7iiu8stQ</t>
  </si>
  <si>
    <t>Agak apes sih ultah pas ppkm itu</t>
  </si>
  <si>
    <t>@swkater emangnya ppkm</t>
  </si>
  <si>
    <t>emangnya ppkm</t>
  </si>
  <si>
    <t>@aurizaxxi yachhhh.... yauwes, kafene yo tutup nganti sak rampung e ppkm wakakaka</t>
  </si>
  <si>
    <t>yachhhh.... yauwes, kafene yo tutup nganti sak rampung e ppkm wakakaka</t>
  </si>
  <si>
    <t>@frappucinodolce ntr kelar ppkm ke museum lg</t>
  </si>
  <si>
    <t>ntr kelar ppkm ke museum lg</t>
  </si>
  <si>
    <t>kira-kira ppkm sampe tgl 16 Agustus aja atau di perpanjang lagi ya?hmmmm</t>
  </si>
  <si>
    <t>kira-kira ppkm sampe tgl Agustus aja atau di perpanjang lagi ya?hmmmm</t>
  </si>
  <si>
    <t>@na_dirs artinya dia sedang bertanya ke menteri2nya PPKM diperpanjang apa tidak?</t>
  </si>
  <si>
    <t>artinya dia sedang bertanya ke menteri2nya PPKM diperpanjang apa tidak?</t>
  </si>
  <si>
    <t>Susah susah panjangin umur eh yang diperpanjang PPKM</t>
  </si>
  <si>
    <t>Bosen ppkm, mo keluar ga bisa meng nya 😀 https://t.co/l3l7dHnCtR</t>
  </si>
  <si>
    <t>Bosen ppkm, mo keluar ga bisa meng nya</t>
  </si>
  <si>
    <t>@arandra6 Betul bun, fans era ppkm darurat nyimak aja😂</t>
  </si>
  <si>
    <t>Betul bun, fans era ppkm darurat nyimak aja</t>
  </si>
  <si>
    <t>Jogja kota mural, suara dalam diam
 Bisa jadi rentetan suara tembok ini akan menjadi tren, daripada gabut PPKM.
 Wkkkk krn satu suara #Jokowi404NotFound yang di bungkam, malah jadi gelombang kreatifitas bersuara
 Ayo kita buat #suaratembok bergema
 https://t.co/f1nQdVSiE7</t>
  </si>
  <si>
    <t>Jogja kota mural, suara dalam diamBisa jadi rentetan suara tembok ini akan menjadi tren, daripada gabut PPKM.Wkkkk krn satu suara yang di bungkam, malah jadi gelombang kreatifitas bersuaraAyo kita buat bergema</t>
  </si>
  <si>
    <t>Pagi semua,
 Gak usah dipikirin pokoknya PPKM pasti berakhir,semoga kalian kuat sampai akhir.</t>
  </si>
  <si>
    <t>Pagi semua,Gak usah dipikirin pokoknya PPKM pasti berakhir,semoga kalian kuat sampai akhir.</t>
  </si>
  <si>
    <t>@zulfebri @katzedikke Gak ah... 
 Takut bayar tiketnya. 
 Lagi PPKM. 
 Udah bayar eh gak boleh ketawa barengan... 
 Gitu kan mainnya @DrMedianaCinta ? 
 Kalo kamu gak mau aku ajak nonton yg lain deh..</t>
  </si>
  <si>
    <t>Gak ah... Takut bayar tiketnya. Lagi PPKM. Udah bayar eh gak boleh ketawa barengan... Gitu kan mainnya ? Kalo kamu gak mau aku ajak nonton yg lain deh..</t>
  </si>
  <si>
    <t>kapan ppkm kelar yaa.. kapan itu corona pulkam yaa.. mau jalan jalan gua.. minimal nginep dah di puncak.. gapape hotel yang murah.. yang penting liburan.. penat..</t>
  </si>
  <si>
    <t>Selamat pagi dunia PPKM 🤗 https://t.co/ioa3IMnoBw</t>
  </si>
  <si>
    <t>Selamat pagi dunia PPKM</t>
  </si>
  <si>
    <t>PPKM (pertama perhatian kemudian meninggalkan) https://t.co/9GJk3Daor8</t>
  </si>
  <si>
    <t>PPKM (pertama perhatian kemudian meninggalkan)</t>
  </si>
  <si>
    <t>@LK981O Masih ppkm bund</t>
  </si>
  <si>
    <t>Masih ppkm bund</t>
  </si>
  <si>
    <t>@dindayohanes Hbis ppkm lokdon, ga boleh keluar rumah jadu tahanan rumah, dinpenjara dirumah sendiri.</t>
  </si>
  <si>
    <t>Hbis ppkm lokdon, ga boleh keluar rumah jadu tahanan rumah, dinpenjara dirumah sendiri.</t>
  </si>
  <si>
    <t>@IMCMushroom kurang sjar org yg sengaja buat kerumunan disaat jokowi giatkan ppkm...</t>
  </si>
  <si>
    <t>kurang sjar org yg sengaja buat kerumunan disaat jokowi giatkan ppkm...</t>
  </si>
  <si>
    <t>Jiwaku marah saat menyaksikan tka cina berdatangan pada waktu pemberlakuan ppkm yg berlevel2, dan rakyat pribumi dibatasi pergerakannya dan disaat tingginya tingkat pengangguran https://t.co/yjAjkN0dLL</t>
  </si>
  <si>
    <t>Jiwaku marah saat menyaksikan tka cina berdatangan pada waktu pemberlakuan ppkm yg berlevel2, dan rakyat pribumi dibatasi pergerakannya dan disaat tingginya tingkat pengangguran</t>
  </si>
  <si>
    <t>Mereka minta isoman di bayarin negara di hotel)
 - ada anggota dprd karokean dan pesta di masa ppkm 
 - nutup rumah hafalan alquran dengan alasan berisik sampe di pasangin tembok di pintunya (:</t>
  </si>
  <si>
    <t>Mereka minta isoman di bayarin negara di hotel)- ada anggota dprd karokean dan pesta di masa ppkm - nutup rumah hafalan alquran dengan alasan berisik sampe di pasangin tembok di pintunya (:</t>
  </si>
  <si>
    <t>@kegblgnunfaedh Ada foto dia pas nyengir nggak?
 Yang giginya ppkm</t>
  </si>
  <si>
    <t>Ada foto dia pas nyengir nggak?Yang giginya ppkm</t>
  </si>
  <si>
    <t>@sbyfess Sabar ppkm,dirumah saja,kalo gak oyo</t>
  </si>
  <si>
    <t>Sabar ppkm,dirumah saja,kalo gak oyo</t>
  </si>
  <si>
    <t>@kubuhijau @shendriannnn Temennya Ppkm...</t>
  </si>
  <si>
    <t>Temennya Ppkm...</t>
  </si>
  <si>
    <t>Selamat Pagi Dan Salam PPKM https://t.co/AWY8ueVkzb</t>
  </si>
  <si>
    <t>Selamat Pagi Dan Salam PPKM</t>
  </si>
  <si>
    <t>@hello_fika Alhamdulillah semoga angka covid semakin menurun drastis dengan perpanjangan ppkm ini ya</t>
  </si>
  <si>
    <t>Alhamdulillah semoga angka covid semakin menurun drastis dengan perpanjangan ppkm ini ya</t>
  </si>
  <si>
    <t>@jloohyun @kimtafe @wendv @ziyounq ngga dulu. ppkm, warga negara sing dilarang masuk</t>
  </si>
  <si>
    <t>ngga dulu. ppkm, warga negara sing dilarang masuk</t>
  </si>
  <si>
    <t>baru berasa dah efek ppkm hhh</t>
  </si>
  <si>
    <t>@NadhifNiha Selalu jaga kesehatan. PPKM level 4 jangan kemana mana dulu</t>
  </si>
  <si>
    <t>Selalu jaga kesehatan. PPKM level jangan kemana mana dulu</t>
  </si>
  <si>
    <t>@geloraco binatang bebas .yang di larang dalam aturan ppkm itu manusia</t>
  </si>
  <si>
    <t>binatang bebas .yang di larang dalam aturan ppkm itu manusia</t>
  </si>
  <si>
    <t>@annabukanana @Jaekonomiyaki88 Bukanya masih ppkm ya?</t>
  </si>
  <si>
    <t>Bukanya masih ppkm ya?</t>
  </si>
  <si>
    <t>@kikimulkimuch dan kangen bisa kemana-mana tanpa mikirin pake masker dan juga ppkm 😭😭</t>
  </si>
  <si>
    <t>dan kangen bisa kemana-mana tanpa mikirin pake masker dan juga ppkm</t>
  </si>
  <si>
    <t>Cuma nempel stiker boss kenapa nggak sekalian bagi sembako utk 3 bulan krn ppkm. https://t.co/6MBdP3yOid</t>
  </si>
  <si>
    <t>Cuma nempel stiker boss kenapa nggak sekalian bagi sembako utk bulan krn ppkm.</t>
  </si>
  <si>
    <t>Sudah pake masker - sudah jaga jarak - sudah di vaksin - sudah PPKM berjilid-jilid...Tapi covid makin merajalela &amp;amp; yg mati makin banyak... 
 Itu herd immunity yg macam mana yg mau dicapai ❓ https://t.co/KzWKyQy82q</t>
  </si>
  <si>
    <t>Sudah pake masker - sudah jaga jarak - sudah di vaksin - sudah PPKM berjilid-jilid...Tapi covid makin merajalela &amp;amp; yg mati makin banyak... Itu herd immunity yg macam mana yg mau dicapai</t>
  </si>
  <si>
    <t>tapi masih ppkm, gajian masih lama</t>
  </si>
  <si>
    <t>@MPrimasatya @FaldoMaldini @abdulbf hiburan lucu" dr orang yg dpt gaji dr APBN, sdikit ngurangin rs suntuk dirumah krn PPKM..</t>
  </si>
  <si>
    <t>hiburan lucu" dr orang yg dpt gaji dr APBN, sdikit ngurangin rs suntuk dirumah krn PPKM..</t>
  </si>
  <si>
    <t>Ketika belum ada aturan PPKM
 Silaturahmi, jamuan makan dan saling mengunjungi https://t.co/ttMuDgn07t</t>
  </si>
  <si>
    <t>Ketika belum ada aturan PPKMSilaturahmi, jamuan makan dan saling mengunjungi</t>
  </si>
  <si>
    <t>Anak ini gantinya Ngabalin ya
 Mural melanggar hukum?
 Lha yg bikin kerumunan berkali-kali padahal PPKM level 4 dihukum dulu dong https://t.co/YCwYLmQPNd</t>
  </si>
  <si>
    <t>Anak ini gantinya Ngabalin yaMural melanggar hukum?Lha yg bikin kerumunan berkali-kali padahal PPKM level dihukum dulu dong</t>
  </si>
  <si>
    <t>Pantesan pada bnyak yg pengen jd pejabat, dan empati nya a disaat msh bnyak wrg nya yg ga kbgian Bansos, disaat bnyak PKL yg dia gusur, disaat bnyak yg nganggur ini ko ada yg bgni klkuan nya??? 😢@LordCondet Maaf bang org2 kyk gini ko mkin bnyak yaa di negara ini https://t.co/YsweTitP3l</t>
  </si>
  <si>
    <t>Pantesan pada bnyak yg pengen jd pejabat, dan empati nya a disaat msh bnyak wrg nya yg ga kbgian Bansos, disaat bnyak PKL yg dia gusur, disaat bnyak yg nganggur ini ko ada yg bgni klkuan nya??? Maaf bang org2 kyk gini ko mkin bnyak yaa di negara ini</t>
  </si>
  <si>
    <t>Apakah krs di uns mengalami PPKM level 4. Soalnya akses nya terbatas dan ngga bisa diakses.</t>
  </si>
  <si>
    <t>Apakah krs di uns mengalami PPKM level . Soalnya akses nya terbatas dan ngga bisa diakses.</t>
  </si>
  <si>
    <t>@RadarKorupsi @sutanmangarahrp $ ppkm jualan online.! 
 masok</t>
  </si>
  <si>
    <t>$ ppkm jualan online.! masok</t>
  </si>
  <si>
    <t>@Ziaanamanya @bdngfess Nanti ya kalo udah ga ppkm</t>
  </si>
  <si>
    <t>Nanti ya kalo udah ga ppkm</t>
  </si>
  <si>
    <t>20kg ✅ jarak turun paling lama, jeda sepedaan 1bulan karena PPKM, akhirnya dapet juga. Lanjut yow.</t>
  </si>
  <si>
    <t>kg jarak turun paling lama, jeda sepedaan bulan karena PPKM, akhirnya dapet juga. Lanjut yow.</t>
  </si>
  <si>
    <t>@jokowi Pak tolong cabut PPKM 😭 udah muak sama pembelajaran online.
 Tohh sekarang berita perihal Covid-19 ndak buming seperti di awal awal pak..
 Sekarang udah banyak masyarakat kemana mana ga pake masker hanya saja ada aturan PPKM jadi ngak terlalu bebas.
 Mohon jangan diperpanjang lagi</t>
  </si>
  <si>
    <t>Pak tolong cabut PPKM udah muak sama pembelajaran online.Tohh sekarang berita perihal Covid-19 ndak buming seperti di awal awal pak..Sekarang udah banyak masyarakat kemana mana ga pake masker hanya saja ada aturan PPKM jadi ngak terlalu bebas.Mohon jangan diperpanjang lagi</t>
  </si>
  <si>
    <t>Gimana kalau ppkm itu Perlahan Pasti Kamu Milikku</t>
  </si>
  <si>
    <t>Jebul ppkm ngaruh banget sama pengiriman barang :'(</t>
  </si>
  <si>
    <t>PPKM bakalan sampe brp jilid ya...?</t>
  </si>
  <si>
    <t>Flaurent ppkm buka g si ingin memotong rambut dengan proper</t>
  </si>
  <si>
    <t>PPKM diperpanjang ga si?</t>
  </si>
  <si>
    <t>@Merpati52394820 @SulastryAjeng Pagi ...teman kepo ,ajeng emang doyan wisata jadi sip lah entar kita wisata bareng setelah ppkm level 10 berlalu🤣🤣🤣🤣</t>
  </si>
  <si>
    <t>Pagi ...teman kepo ,ajeng emang doyan wisata jadi sip lah entar kita wisata bareng setelah ppkm level berlalu</t>
  </si>
  <si>
    <t>dahlah cukup di twitter aja. di Instagram cuma seperlunya. aku takut e, masak gara-gara ppkm aku jadi ansos? kan ga lucu. gamau balik ke fase yang dulu lagi. ansos banget iyuh😭💔</t>
  </si>
  <si>
    <t>dahlah cukup di twitter aja. di Instagram cuma seperlunya. aku takut e, masak gara-gara ppkm aku jadi ansos? kan ga lucu. gamau balik ke fase yang dulu lagi. ansos banget iyuh</t>
  </si>
  <si>
    <t>@msaid_didu PPKM
 Pejabat Pemerintah Kaya Mendadak
 Siapa sih Distributor PCR...?</t>
  </si>
  <si>
    <t>PPKMPejabat Pemerintah Kaya MendadakSiapa sih Distributor PCR...?</t>
  </si>
  <si>
    <t>Sabtu kerja ga diitung lembur, ppkm bangsatttt</t>
  </si>
  <si>
    <t>@Yulia_4ja Adanya PPKM .. Indonesia sudah berangsur turun drastis pandemi.. semoga saja Indonesia akan bebas Covid di akhir tahun ini 2021.</t>
  </si>
  <si>
    <t>Adanya PPKM .. Indonesia sudah berangsur turun drastis pandemi.. semoga saja Indonesia akan bebas Covid di akhir tahun ini .</t>
  </si>
  <si>
    <t>Sejak ppkm kan sistem kerja shift2an, masuk jam 6.30. Kecuali sabtu. Nongkrong dululah di loker.</t>
  </si>
  <si>
    <t>Sejak ppkm kan sistem kerja shift2an, masuk jam . Kecuali sabtu. Nongkrong dululah di loker.</t>
  </si>
  <si>
    <t>@ATEEZofficial AK SUKA PPKM TAPI GAK PAKE PP😥</t>
  </si>
  <si>
    <t>AK SUKA PPKM TAPI GAK PAKE PP</t>
  </si>
  <si>
    <t>@aldysuhanda_ @dadank_toradank Ppkm kapan kelar, lama lama gila beneran gw</t>
  </si>
  <si>
    <t>Ppkm kapan kelar, lama lama gila beneran gw</t>
  </si>
  <si>
    <t>Mah agustus ada Bangbarongan gak? (kesenian daerah jabar) 
 Gak ada lagi PPKM
 Udah 2 tahun tanpa perayaan agustusnya... Gara2 si covid gelo</t>
  </si>
  <si>
    <t>Mah agustus ada Bangbarongan gak? (kesenian daerah jabar) Gak ada lagi PPKMUdah tahun tanpa perayaan agustusnya... Gara2 si covid gelo</t>
  </si>
  <si>
    <t>@seoyneon lagi ppkm ga boleh berisik 🙏</t>
  </si>
  <si>
    <t>lagi ppkm ga boleh berisik</t>
  </si>
  <si>
    <t>@cursedkidd soalnya ppkm trs a ozon nya udh jrang kna polusi,,</t>
  </si>
  <si>
    <t>soalnya ppkm trs a ozon nya udh jrang kna polusi,,</t>
  </si>
  <si>
    <t>Ppkm di per panjang itu mencegah kerumunan tapi kerumunan bukan berarti kerumunan, karna kerumunan hanya di di lakukan sekelompok orang yang berkerumun itulah biang kerumunan ,lieur kan ngabandungana oge</t>
  </si>
  <si>
    <t>selesai nih ppkm nya ya? https://t.co/g8fPvRPvFD</t>
  </si>
  <si>
    <t>selesai nih ppkm nya ya?</t>
  </si>
  <si>
    <t>Dahlah 🤣 ternyata PPKM tak kunjung usai https://t.co/ioiYR5EQto</t>
  </si>
  <si>
    <t>Dahlah ternyata PPKM tak kunjung usai</t>
  </si>
  <si>
    <t>@dusrimulya Pandemi itu uu karantina bukan ppkm</t>
  </si>
  <si>
    <t>Pandemi itu uu karantina bukan ppkm</t>
  </si>
  <si>
    <t>Selama ppkm pada ngerasa ga sih kayak lagi ga punya teman? 
 Ga ngumpul, ga hangout bareng, ga bisa hahahihi cerita gosip dll.</t>
  </si>
  <si>
    <t>Selama ppkm pada ngerasa ga sih kayak lagi ga punya teman? Ga ngumpul, ga hangout bareng, ga bisa hahahihi cerita gosip dll.</t>
  </si>
  <si>
    <t>taekook aja gatau kejemput apa ngga 😭 2 itu aja dah 100an jajannya hiks @ tokopedia min blanjanya 20k aja dong ppkm nih gada duit [ ga ppkm aja mmng gada duit heu ]</t>
  </si>
  <si>
    <t>taekook aja gatau kejemput apa ngga itu aja dah an jajannya hiks tokopedia min blanjanya k aja dong ppkm nih gada duit [ ga ppkm aja mmng gada duit heu ]</t>
  </si>
  <si>
    <t>PPKM versi Mak Erot 😂😂😂 https://t.co/nKe1QxR6sI</t>
  </si>
  <si>
    <t>PPKM versi Mak Erot</t>
  </si>
  <si>
    <t>Kemaren lewat puputan gileee rame bener orang2 kerumunan pake alat2 olahraga di puputan. Kone PPKM?</t>
  </si>
  <si>
    <t>PPKM (Pelan Pelan kok Melar) 
 The power off capsule gingger,
 Diet aman
 Diet nyamann
 No ngemill
 Beneran gak pgen ganti size bajuuu sayy 🥰 https://t.co/56thkbXd4s</t>
  </si>
  <si>
    <t>PPKM (Pelan Pelan kok Melar) The power off capsule gingger,Diet amanDiet nyamannNo ngemillBeneran gak pgen ganti size bajuuu sayy</t>
  </si>
  <si>
    <t>@KompasTV Pas makan bakmi Asan juga gini. 
 Kedainya masih nerapin PPKM prokes Covid.</t>
  </si>
  <si>
    <t>Pas makan bakmi Asan juga gini. Kedainya masih nerapin PPKM prokes Covid.</t>
  </si>
  <si>
    <t>@hwanglonjwiin23 @AREAJULID ANJRIT PPKM😭😭😭😭😭 https://t.co/QTzPbza6b2</t>
  </si>
  <si>
    <t>ANJRIT PPKM</t>
  </si>
  <si>
    <t>Pen banget liburannnnnnnn ppkm kapan kelarnya sih 😭😭😭😭😭😭</t>
  </si>
  <si>
    <t>Pen banget liburannnnnnnn ppkm kapan kelarnya sih</t>
  </si>
  <si>
    <t>PPKM diperpanjang sampe Arsenal berhenti ngelawak.</t>
  </si>
  <si>
    <t>@Andiarief__ Hehehe ... pemberlakuan PPKM sebenarnya unk kita semua, agar virus ini tdk berkembang, dan ini berlaku dunia bukan hanya indonesia. Jika anda mau cepat menemui 72 bidadari ya bebas sj</t>
  </si>
  <si>
    <t>Hehehe ... pemberlakuan PPKM sebenarnya unk kita semua, agar virus ini tdk berkembang, dan ini berlaku dunia bukan hanya indonesia. Jika anda mau cepat menemui bidadari ya bebas sj</t>
  </si>
  <si>
    <t>Ppkm
 (Papa, pengen kamu nikah) ?
 😝</t>
  </si>
  <si>
    <t>Ppkm(Papa, pengen kamu nikah) ?</t>
  </si>
  <si>
    <t>@JebuelMania900 panggilan bung itu untuk saudara seperjuangan merebut kedaulatan negara, tp kalo masih membiarkan TKA CINA masuk saat PPKM, kelu lidah ini menyebut dengan bung...</t>
  </si>
  <si>
    <t>panggilan bung itu untuk saudara seperjuangan merebut kedaulatan negara, tp kalo masih membiarkan TKA CINA masuk saat PPKM, kelu lidah ini menyebut dengan bung...</t>
  </si>
  <si>
    <t>Terlalu lama PPKM, indonesia butuh liburan..
 "like or dislike"</t>
  </si>
  <si>
    <t>Terlalu lama PPKM, indonesia butuh liburan.."like or dislike"</t>
  </si>
  <si>
    <t>Uda speechless dan g ngerti lagi sm orang2 yg abis kena, trs keluarga terdeketnya smp meninggal dan pas sembuh masih tetep dateng ke senam2 selama ppkm gini.
 Pengen tanya itu d dalem atinya apa g ada rasa khawatir atau gmn gt?</t>
  </si>
  <si>
    <t>Uda speechless dan g ngerti lagi sm orang2 yg abis kena, trs keluarga terdeketnya smp meninggal dan pas sembuh masih tetep dateng ke senam2 selama ppkm gini.Pengen tanya itu d dalem atinya apa g ada rasa khawatir atau gmn gt?</t>
  </si>
  <si>
    <t>masih ppkm.</t>
  </si>
  <si>
    <t>@nieke_aereta @jvdas_iskariot SANGAT BANGGA MENJADI WNI, utk penanganan Covid ini SAYA KURANG PUAS karena tdk terlalu memikirkan kebutuhan hidup masyarakat terdampak selama diberlakukannya PPKM.</t>
  </si>
  <si>
    <t>SANGAT BANGGA MENJADI WNI, utk penanganan Covid ini SAYA KURANG PUAS karena tdk terlalu memikirkan kebutuhan hidup masyarakat terdampak selama diberlakukannya PPKM.</t>
  </si>
  <si>
    <t>Tapi PPKM di perpanjang lagi gaes, hahahahhaaaa</t>
  </si>
  <si>
    <t>Buat test PCR dsb rakyat wajib bayar, Covid-19 makin menggila, PPKM rakyat ga d kasih makan n d suruh cari sendiri tapi ga boleh usaha.
 Terus kemana itu duit triliunan??
 #BeneranTanya
 #GaUsahBaper https://t.co/Vv0rPWGa43</t>
  </si>
  <si>
    <t>Buat test PCR dsb rakyat wajib bayar, Covid-19 makin menggila, PPKM rakyat ga d kasih makan n d suruh cari sendiri tapi ga boleh usaha.Terus kemana itu duit triliunan??</t>
  </si>
  <si>
    <t>buat apa libur panjang kalo masih ppkm</t>
  </si>
  <si>
    <t>@uvomaltin @nanac0ng @jillaaaaaaaa @amlecomle @AREAJULID kalo gak salah tuh yang gelar birthday party di bekasi pas lagi ppkm.. cmiiw</t>
  </si>
  <si>
    <t>kalo gak salah tuh yang gelar birthday party di bekasi pas lagi ppkm.. cmiiw</t>
  </si>
  <si>
    <t>@bertanyarl Cita-citaku PPKM kelar bangsad, aing capek ngelumut terus di rumah.</t>
  </si>
  <si>
    <t>Cita-citaku PPKM kelar bangsad, aing capek ngelumut terus di rumah.</t>
  </si>
  <si>
    <t>Gara2 corona + ppkm, w ngerasa diri w yang tadinya ekstrovert jadi introvert 😅😅 https://t.co/7xt2hZAgbi</t>
  </si>
  <si>
    <t>Gara2 corona + ppkm, w ngerasa diri w yang tadinya ekstrovert jadi introvert</t>
  </si>
  <si>
    <t>@ria_cloudsomnia @traveloka Tttapi lagi ppkm kak</t>
  </si>
  <si>
    <t>Tttapi lagi ppkm kak</t>
  </si>
  <si>
    <t>ppkm gini banyak bgt program bansos. seneng sih banyak yg dapet bantuan, tapi badan remuk ngurusin ini dan itu:( kudu kerja di hari libur apalagi-_-</t>
  </si>
  <si>
    <t>ppkm gini banyak bgt program bansos. seneng sih banyak yg dapet bantuan, tapi badan remuk ngurusin ini dan itu kudu kerja di hari libur apalagi-_-</t>
  </si>
  <si>
    <t>Klo rumh gue dkt daerh stu gak perlu kyknya smpe nunggu ppkm kelar. Masalahnya jauh bgt di mampang :")</t>
  </si>
  <si>
    <t>@hcifuyu @thecassanuls iyaaa kita bareng kesana aduh jadi kangen deh DISANa menyenangkan bgt itu aku yang fotoin (sebelum ppkm = pas psbb)</t>
  </si>
  <si>
    <t>iyaaa kita bareng kesana aduh jadi kangen deh DISANa menyenangkan bgt itu aku yang fotoin (sebelum ppkm = pas psbb)</t>
  </si>
  <si>
    <t>Buat ftv ttg azab memperpanjang ppkm ke, stres yaAllah gustii.</t>
  </si>
  <si>
    <t>Klo ppkm gak diperpanjang tmpt pertama yg mau gue dtgin gs the market sih. Dri krmn di sharein video itu mulu kan jdi pngn beli snack/minumannya</t>
  </si>
  <si>
    <t>@tubirfess Ya ppkm kan ada gr² kasusnya naik.. naik trs.. Semoga level ppkm gak kaya wafer tang0</t>
  </si>
  <si>
    <t>Ya ppkm kan ada gr kasusnya naik.. naik trs.. Semoga level ppkm gak kaya wafer tang0</t>
  </si>
  <si>
    <t>@rsk_purinirmala Misal ppkm cari uang sulit kayak gini. Harga poli jiwa tolong di kurangi harganya</t>
  </si>
  <si>
    <t>Misal ppkm cari uang sulit kayak gini. Harga poli jiwa tolong di kurangi harganya</t>
  </si>
  <si>
    <t>@CNNIndonesia PPKM = PEMBUNGKAMAN PENDAPAT dan KRITIK MASYARAKAT..</t>
  </si>
  <si>
    <t>PPKM = PEMBUNGKAMAN PENDAPAT dan KRITIK MASYARAKAT..</t>
  </si>
  <si>
    <t>@dikychandra_ @emprit_soldier Iya kang, ppkm d perpanjang biar ga da krumunan..dia mlah buat krumunan...hadeueuhhhh...</t>
  </si>
  <si>
    <t>Iya kang, ppkm d perpanjang biar ga da krumunan..dia mlah buat krumunan...hadeueuhhhh...</t>
  </si>
  <si>
    <t>@vpisankv Udah kak alma diem aja di rumah. Kan lagi ppkm :)</t>
  </si>
  <si>
    <t>Udah kak alma diem aja di rumah. Kan lagi ppkm</t>
  </si>
  <si>
    <t>@kumparan @PutraWadapi Yang masih ijinkan masuk cina dimasa PPKM semua setan..</t>
  </si>
  <si>
    <t>Yang masih ijinkan masuk cina dimasa PPKM semua setan..</t>
  </si>
  <si>
    <t>PPKM = PEMBUMKAMAN PENDAPAT dan KRITIK MASYARAKAT
 ngerti ora</t>
  </si>
  <si>
    <t>PPKM = PEMBUMKAMAN PENDAPAT dan KRITIK MASYARAKATngerti ora</t>
  </si>
  <si>
    <t>@OposisiCerdas Cat Pesawat pada waktu rakyat menderita di isoman sama PPKM,</t>
  </si>
  <si>
    <t>Cat Pesawat pada waktu rakyat menderita di isoman sama PPKM,</t>
  </si>
  <si>
    <t>Udah ada aturan anak dibawah umur gak boleh naik pesawat lho bu di masa ppkm, kok ya masih ngeyel</t>
  </si>
  <si>
    <t>@bewoking Wew
 Gara2 positif disuruh PPKM
 Gara2 PPKM malah jadi positif 
 Piye jal???🤔😂😂😂 https://t.co/U4szWLESi0</t>
  </si>
  <si>
    <t>WewGara2 positif disuruh PPKMGara2 PPKM malah jadi positif Piye jal???</t>
  </si>
  <si>
    <t>Karena lagi PPKM, aku harus menjaga keimutan tubuh</t>
  </si>
  <si>
    <t>@TanteBeby Tp masih PPKM gitu</t>
  </si>
  <si>
    <t>Tp masih PPKM gitu</t>
  </si>
  <si>
    <t>@OposisiCerdas Padahal aneh aj geser2 hari libur di masa PPKM. ..org jg ngga ada yg krj ke kntr, pd WFH, sekolah jg Online. Pd ngga mikir yah pake otak. Yg jls...ini menunjukan ISLAM mmg sdh lemah di negara mayoritas muslim. Trm ksh bang sdh wakili kami.</t>
  </si>
  <si>
    <t>Padahal aneh aj geser2 hari libur di masa PPKM. ..org jg ngga ada yg krj ke kntr, pd WFH, sekolah jg Online. Pd ngga mikir yah pake otak. Yg jls...ini menunjukan ISLAM mmg sdh lemah di negara mayoritas muslim. Trm ksh bang sdh wakili kami.</t>
  </si>
  <si>
    <t>@guvvmball @bertanyarl Ppkm euy ngapain keluar kalau ga penting</t>
  </si>
  <si>
    <t>Ppkm euy ngapain keluar kalau ga penting</t>
  </si>
  <si>
    <t>PPKM sampai kapan? Sampai akhir menutup mata. https://t.co/Nu7xfVZKLS</t>
  </si>
  <si>
    <t>PPKM sampai kapan? Sampai akhir menutup mata.</t>
  </si>
  <si>
    <t>@rizraharyan info bursa ppkm gan</t>
  </si>
  <si>
    <t>info bursa ppkm gan</t>
  </si>
  <si>
    <t>@erzavindaf @firaindahh_ Ppkm mbakkk</t>
  </si>
  <si>
    <t>Ppkm mbakkk</t>
  </si>
  <si>
    <t>@aispermadani Hihi ok kaaa but kurasa sdh ga ditutup sih, terakhir ppkm pertama mmg ditutup kaya SKH jd kudu muter dikit.</t>
  </si>
  <si>
    <t>Hihi ok kaaa but kurasa sdh ga ditutup sih, terakhir ppkm pertama mmg ditutup kaya SKH jd kudu muter dikit.</t>
  </si>
  <si>
    <t>@HajarrudinAhmad @kompascom @alitalit_ Kalau berkerumun memang sementara PPKm dilarang apa lagi tidak gunakan protokol kesehatan. Masy perlu tahu larangan darurat covid ini untuk keselamatan masy juga.
 Pesta boleh ditunda dulu. 
 Nikah Syah kalau SDH aqad. Dan bisa dilakukan dgn ada saksi saja dan kedua org tua masing</t>
  </si>
  <si>
    <t>Kalau berkerumun memang sementara PPKm dilarang apa lagi tidak gunakan protokol kesehatan. Masy perlu tahu larangan darurat covid ini untuk keselamatan masy juga.Pesta boleh ditunda dulu. Nikah Syah kalau SDH aqad. Dan bisa dilakukan dgn ada saksi saja dan kedua org tua masing</t>
  </si>
  <si>
    <t>ppkm berlaku</t>
  </si>
  <si>
    <t>@amertabinar gk dlu aku mau memperpanjang masa jomblomu kayak pemerintah memperpanjang ppkm AHAHAHAH</t>
  </si>
  <si>
    <t>gk dlu aku mau memperpanjang masa jomblomu kayak pemerintah memperpanjang ppkm AHAHAHAH</t>
  </si>
  <si>
    <t>@sociotalker PPKM dibuat tak menentu, sudah landai bikin keramaian cerdasnya apa coba</t>
  </si>
  <si>
    <t>PPKM dibuat tak menentu, sudah landai bikin keramaian cerdasnya apa coba</t>
  </si>
  <si>
    <t>ppkm efektif banget dalam memutus rantai penyebaran rezeki.</t>
  </si>
  <si>
    <t>@tubirfess Jadi inget temenku yang baru2 ini nikah. Udah DP gedung dan segala macem, tiba2 ppkm. Jadi deh mereka cuma pemberkatan sama acara selamatan di rumah kayak yaudah tamu datang nyelamatin lalu pulang disuruh bawa makanan. Gitu doang</t>
  </si>
  <si>
    <t>Jadi inget temenku yang baru2 ini nikah. Udah DP gedung dan segala macem, tiba2 ppkm. Jadi deh mereka cuma pemberkatan sama acara selamatan di rumah kayak yaudah tamu datang nyelamatin lalu pulang disuruh bawa makanan. Gitu doang</t>
  </si>
  <si>
    <t>@_ekokuntadhi Buat apa PPKM level-4 diperpanjang.🤔
 Kalau Mukidi Sendiri mencetak Kerumunan.🤭
 Otak mana Otak</t>
  </si>
  <si>
    <t>Buat apa PPKM level-4 diperpanjang.Kalau Mukidi Sendiri mencetak Kerumunan.Otak mana Otak</t>
  </si>
  <si>
    <t>@bonngbudi @cehlos Aku sempet jualan tahu tagar uncle cman bertahan 5 bulanan gara gara ppkm berjilid jilid jadi sepi yg beli</t>
  </si>
  <si>
    <t>Aku sempet jualan tahu tagar uncle cman bertahan bulanan gara gara ppkm berjilid jilid jadi sepi yg beli</t>
  </si>
  <si>
    <t>@edy_siregar_77 Citylink dan Lion air ya om harus ditindak krn memfasilitasi pelanggaran PPKM</t>
  </si>
  <si>
    <t>Citylink dan Lion air ya om harus ditindak krn memfasilitasi pelanggaran PPKM</t>
  </si>
  <si>
    <t>@Tasykur_Ibrahim @NOTASLIMBOY udah ga kuat ppkm pak,usahanya merosot</t>
  </si>
  <si>
    <t>udah ga kuat ppkm pak,usahanya merosot</t>
  </si>
  <si>
    <t>@detikcom Ditengah pandemi rakyat semua berjuang melawan covid19 adaTV yg akn siarkan acara kek gini unt apa jgn sok2anlah?apa edukasinya apa manfaatnya apa urgensinya unt pemirsa TV katanya artis yah biasa aja,contoh tuh Wagiran&amp;amp; Wagirin bebesanan mo rame2 dibatalkan krn menghormati PPKM</t>
  </si>
  <si>
    <t>Ditengah pandemi rakyat semua berjuang melawan covid19 adaTV yg akn siarkan acara kek gini unt apa jgn sok2anlah?apa edukasinya apa manfaatnya apa urgensinya unt pemirsa TV katanya artis yah biasa aja,contoh tuh Wagiran&amp;amp; Wagirin bebesanan mo rame2 dibatalkan krn menghormati PPKM</t>
  </si>
  <si>
    <t>Ini salah satu contoh kita tak berdaya dg China, disaat PPKM rakyat disuruh patuh dan taat tapi dg TKA China tetap masuk dan tdk dilarang walaupun sudah dibikin peraturannya oleh Menkumham semua TKA dilarang masuk tapi kenyataanya ...
 .jadi ini peraturan memuakkan https://t.co/qtpfFMy0Ap</t>
  </si>
  <si>
    <t>Ini salah satu contoh kita tak berdaya dg China, disaat PPKM rakyat disuruh patuh dan taat tapi dg TKA China tetap masuk dan tdk dilarang walaupun sudah dibikin peraturannya oleh Menkumham semua TKA dilarang masuk tapi kenyataanya ....jadi ini peraturan memuakkan</t>
  </si>
  <si>
    <t>@FWBESS ngomongin ppkm yu</t>
  </si>
  <si>
    <t>ngomongin ppkm yu</t>
  </si>
  <si>
    <t>Libur telah tiba, libur telah tiba.. 
 Tapi ppkm..... 
 #PpkmDiperpanjang https://t.co/epLRR8J5zz</t>
  </si>
  <si>
    <t>Libur telah tiba, libur telah tiba.. Tapi ppkm.....</t>
  </si>
  <si>
    <t>ppkm tutup jam berapa</t>
  </si>
  <si>
    <t>Yukkk ppkm udahan, karena diriku sudah sangat sangat butuh udara sejuk😶‍🌫️ https://t.co/wa6yxjtvxv</t>
  </si>
  <si>
    <t>Yukkk ppkm udahan, karena diriku sudah sangat sangat butuh udara sejuk</t>
  </si>
  <si>
    <t>@FaldoMaldini Yg sewenang2 itu mengurung rwkyat dengna PPKM, mensyaratkan vaksin sbg dysrat ini itu tapi stok vaksinnya eibayk tempt habis,kasian rakyat berkerumun,berjemur dan ujung2x tidak dapat jatah vaksin.</t>
  </si>
  <si>
    <t>Yg sewenang2 itu mengurung rwkyat dengna PPKM, mensyaratkan vaksin sbg dysrat ini itu tapi stok vaksinnya eibayk tempt habis,kasian rakyat berkerumun,berjemur dan ujung2x tidak dapat jatah vaksin.</t>
  </si>
  <si>
    <t>balikin duit gw woi astaga
 sumpah tega banget yg nipuuu mah😭
 lu kaga mikir ppkm gw tu duit buat bayar kosan😭😭😭😭😭😭😭</t>
  </si>
  <si>
    <t>balikin duit gw woi astagasumpah tega banget yg nipuuu mahlu kaga mikir ppkm gw tu duit buat bayar kosan</t>
  </si>
  <si>
    <t>@desymanolongg Wkwkwk gara2 ppkm itu</t>
  </si>
  <si>
    <t>Wkwkwk gara2 ppkm itu</t>
  </si>
  <si>
    <t>@d3vilicious @PartBurungGalak @PDI_Perjuangan @DPD_PDIP_JATENG Saat pemerintah sibuk dgn covid19, rakyat dicekam ketakutan, PPKM imbasnya kemana mana, mereka malah koplak !</t>
  </si>
  <si>
    <t>Saat pemerintah sibuk dgn covid19, rakyat dicekam ketakutan, PPKM imbasnya kemana mana, mereka malah koplak !</t>
  </si>
  <si>
    <t>@VIVAcoid Kenapa uang baliho2 para politisi tidak dipakai buat masyarakat yg terdampak ppkm?</t>
  </si>
  <si>
    <t>Kenapa uang baliho2 para politisi tidak dipakai buat masyarakat yg terdampak ppkm?</t>
  </si>
  <si>
    <t>Habis PPKM terbitlah hujan.</t>
  </si>
  <si>
    <t>@BossTemlen @d_moristo PPKM berjilid jilid bubar jalan akibat tugas pak RT di ambil Mukidi....!!!</t>
  </si>
  <si>
    <t>PPKM berjilid jilid bubar jalan akibat tugas pak RT di ambil Mukidi....!!!</t>
  </si>
  <si>
    <t>@AdalardBanim Kok bisa-bisanya di Eropa dibilang "berdamai" sama covid, justru disana mereka ikhtiarnya tinggi dari prokes terus angka vaksinasinya, makanya bisa terbebas dari lockdown, psbb, atau ppkm 😭</t>
  </si>
  <si>
    <t>Kok bisa-bisanya di Eropa dibilang "berdamai" sama covid, justru disana mereka ikhtiarnya tinggi dari prokes terus angka vaksinasinya, makanya bisa terbebas dari lockdown, psbb, atau ppkm</t>
  </si>
  <si>
    <t>@hendriulhe @negatifpipel @Stevaniehuangg maksudnya efek ppkm jadi nya pengangguran?? 😆😆</t>
  </si>
  <si>
    <t>maksudnya efek ppkm jadi nya pengangguran??</t>
  </si>
  <si>
    <t>PPKM DIPERPANJANG SAMPAI ARSENAL JUARA</t>
  </si>
  <si>
    <t>@pelangipg10 Zabar ppkm pasti berlalu wkwkwk</t>
  </si>
  <si>
    <t>Zabar ppkm pasti berlalu wkwkwk</t>
  </si>
  <si>
    <t>"..peraturan ppkm tidak jelas bla bla bla.." 
 Ya menurut L??</t>
  </si>
  <si>
    <t>"..peraturan ppkm tidak jelas bla bla bla.." Ya menurut L??</t>
  </si>
  <si>
    <t>@bubbleteasky iya ih, semoga ppkm dan pandemi cepat kelar 😔</t>
  </si>
  <si>
    <t>iya ih, semoga ppkm dan pandemi cepat kelar</t>
  </si>
  <si>
    <t>@yasyourbaee Tutup abang. Ppkm</t>
  </si>
  <si>
    <t>Tutup abang. Ppkm</t>
  </si>
  <si>
    <t>PPKM - Pengen Peluk KaMu - dan akan terus berlanjut
 .
 .
 .
 🌻</t>
  </si>
  <si>
    <t>PPKM - Pengen Peluk KaMu - dan akan terus berlanjut...</t>
  </si>
  <si>
    <t>@jokowi Untuk pelajar SMA yg terpilih menjadi paskibraka,tetap jaga kesehatan. Jangan sampai sekembalinya kalian ke daerah masing2 mlah membawa virus. Ppkm memang libur sehari, tapi Corona Wallahu a'lam. Untuk bpk @Jokowi jaga kesehatannya pak.Jangan sampai anda ambruk setelah berpidato.</t>
  </si>
  <si>
    <t>Untuk pelajar SMA yg terpilih menjadi paskibraka,tetap jaga kesehatan. Jangan sampai sekembalinya kalian ke daerah masing2 mlah membawa virus. Ppkm memang libur sehari, tapi Corona Wallahu a'lam. Untuk bpk jaga kesehatannya pak.Jangan sampai anda ambruk setelah berpidato.</t>
  </si>
  <si>
    <t>gue yang magang cuma di satu tempat dan itu pun ngga efektif karena ppkm jadi kudu wfh cuma bisa nepis nepis nethink tiap liat anak seangkatan ngepost kerjaan dari abcdefg</t>
  </si>
  <si>
    <t>Pacaran 20 menit rasa makan pas ppkm. Diburu buru &amp;amp; dipantau.</t>
  </si>
  <si>
    <t>Pacaran menit rasa makan pas ppkm. Diburu buru &amp;amp; dipantau.</t>
  </si>
  <si>
    <t>@PrakasitaMS Hi kak, mohon maaf yaah, aku infoin untuk pengiriman ada keterlambatan dikarenakan PPKM, kuy infoin di DM username sama nomor pesanannya biar aku bantu cek, terima kasih. ^UB</t>
  </si>
  <si>
    <t>Hi kak, mohon maaf yaah, aku infoin untuk pengiriman ada keterlambatan dikarenakan PPKM, kuy infoin di DM username sama nomor pesanannya biar aku bantu cek, terima kasih. ^UB</t>
  </si>
  <si>
    <t>@BudeSumiyati kita pernah sejalan sebelum ppkm</t>
  </si>
  <si>
    <t>kita pernah sejalan sebelum ppkm</t>
  </si>
  <si>
    <t>@diiaphanouss ppkm je</t>
  </si>
  <si>
    <t>ppkm je</t>
  </si>
  <si>
    <t>@detikcom Salut deh sama pemerintah India yg tidak main2 utk penanganan covid. Dibandingkan pemerintah Indonesia yg cuma fokus sama PPKM n bansos melulu tanpa ada kebijakan tes PCR yg harganya selangit n sangat mencekik rakyat. Kasihan rakyat dipermainkan demi keuntungan mereka</t>
  </si>
  <si>
    <t>Salut deh sama pemerintah India yg tidak main2 utk penanganan covid. Dibandingkan pemerintah Indonesia yg cuma fokus sama PPKM n bansos melulu tanpa ada kebijakan tes PCR yg harganya selangit n sangat mencekik rakyat. Kasihan rakyat dipermainkan demi keuntungan mereka</t>
  </si>
  <si>
    <t>PPKM=PERLAHAN PASTI KESEDIHAN MENGHILANG https://t.co/HMZm6gOxkH</t>
  </si>
  <si>
    <t>PPKMERLAHAN PASTI KESEDIHAN MENGHILANG</t>
  </si>
  <si>
    <t>(Mngkin) mnrt saya, kepuasan menurun slh satunya akibat PPKM yg diperpanjang scr berulang. Tp seiring dgn waktu, dgn mulai diberikannya kelonggaran2, saya ykn, kepercayaan /kepuasan akn meningkat dgn sendirinya. (Tp ttp ditentukan kebijakan Pemerintah berikutnya). https://t.co/cHQt91QEHR</t>
  </si>
  <si>
    <t>(Mngkin) mnrt saya, kepuasan menurun slh satunya akibat PPKM yg diperpanjang scr berulang. Tp seiring dgn waktu, dgn mulai diberikannya kelonggaran2, saya ykn, kepercayaan /kepuasan akn meningkat dgn sendirinya. (Tp ttp ditentukan kebijakan Pemerintah berikutnya).</t>
  </si>
  <si>
    <t>@raisanovaaa Bm aja, tapi ppkm diperpanjang katanya</t>
  </si>
  <si>
    <t>Bm aja, tapi ppkm diperpanjang katanya</t>
  </si>
  <si>
    <t>@txtdrbekasi Lagi Bingung naro lamaran kemana" kaga ada panggilan pisan semenjak ppkm</t>
  </si>
  <si>
    <t>Lagi Bingung naro lamaran kemana" kaga ada panggilan pisan semenjak ppkm</t>
  </si>
  <si>
    <t>Bukti nyata bila pembatasan aktifitas penduduk dapat menekan laju penularan Covid-19. Kasus di Jawa-Bali menurun dan di LUAR Jawa-Bali meningkat. Kenapa luar Jawa-Bali PPKM belum berhasil? @jokowi https://t.co/TePlLW7aaJ</t>
  </si>
  <si>
    <t>Bukti nyata bila pembatasan aktifitas penduduk dapat menekan laju penularan Covid-19. Kasus di Jawa-Bali menurun dan di LUAR Jawa-Bali meningkat. Kenapa luar Jawa-Bali PPKM belum berhasil?</t>
  </si>
  <si>
    <t>@alverswife dia ngadain sweet 17 bday party pas ppkm ning, langsung diserang lah sama netijen. terus dia bikin video permintaan maafnya kaga jelas lagi hhh followers tiktoknya 16juta🤡</t>
  </si>
  <si>
    <t>dia ngadain sweet bday party pas ppkm ning, langsung diserang lah sama netijen. terus dia bikin video permintaan maafnya kaga jelas lagi hhh followers tiktoknya juta</t>
  </si>
  <si>
    <t>Aku setuju dgn ppkm = pelan pelan kena mental HAHAHAHA</t>
  </si>
  <si>
    <t>Yg bener kalo rakyat lapar ya bantuan yg bener. Jalankan UU Karantina Kesehatan, bukan PPKM tanpa jaminan. Ngomong kalo lapar jangan beli cat mah gampang. Situ di eksekutif bro.
 Oh ya sbg mantan aktivis tentu harusnya paham penting isi pesan mural drpd muralnya sendiri https://t.co/xRYjIHH8IS</t>
  </si>
  <si>
    <t>Yg bener kalo rakyat lapar ya bantuan yg bener. Jalankan UU Karantina Kesehatan, bukan PPKM tanpa jaminan. Ngomong kalo lapar jangan beli cat mah gampang. Situ di eksekutif bro.Oh ya sbg mantan aktivis tentu harusnya paham penting isi pesan mural drpd muralnya sendiri</t>
  </si>
  <si>
    <t>Kalo telat makan karena menghemat pengeluaran bagaimana? Smntra masih ppkm nih https://t.co/IOYs4ZtS3F</t>
  </si>
  <si>
    <t>Kalo telat makan karena menghemat pengeluaran bagaimana? Smntra masih ppkm nih</t>
  </si>
  <si>
    <t>@PT_Transjakarta @aniesbaswedan Ppkm pak, dibantu support nya pak ☺️🙏 https://t.co/8dEpsDH1Ly</t>
  </si>
  <si>
    <t>Ppkm pak, dibantu support nya pak</t>
  </si>
  <si>
    <t>Ppkm diperpanjang terus.</t>
  </si>
  <si>
    <t>cape anj dikasih hrpn mulu, ga PPKM ga doi sm aja</t>
  </si>
  <si>
    <t>Pengen buru" ada pemilu biar dapet serangan fajar, biar bisa buat bisnis. Ga taunya Ppkm diperpanjang lg akhirnya bisnis berantakan, bangkrut dan gajadi nglamar kamo, 
 apalanekokcinta#
 #shilett</t>
  </si>
  <si>
    <t>Pengen buru" ada pemilu biar dapet serangan fajar, biar bisa buat bisnis. Ga taunya Ppkm diperpanjang lg akhirnya bisnis berantakan, bangkrut dan gajadi nglamar kamo, apalanekokcinta</t>
  </si>
  <si>
    <t>Couple session setelah ppkm yuk</t>
  </si>
  <si>
    <t>@zuhrasafitrii halu level ppkm</t>
  </si>
  <si>
    <t>halu level ppkm</t>
  </si>
  <si>
    <t>ga terasa udh 2 thn sering nyium bau mulut sendiri..PPKM</t>
  </si>
  <si>
    <t>ga terasa udh thn sering nyium bau mulut sendiri..PPKM</t>
  </si>
  <si>
    <t>@LAUCY Lagi ppkm kok salaman, diobrak satpol pp lu yang ada.</t>
  </si>
  <si>
    <t>Lagi ppkm kok salaman, diobrak satpol pp lu yang ada.</t>
  </si>
  <si>
    <t>@lthurtme @FFOODFESS Maunya sih gitu. Cuma lg masa ppkm jadi gabisa ketemu buat betot palanya😂</t>
  </si>
  <si>
    <t>Maunya sih gitu. Cuma lg masa ppkm jadi gabisa ketemu buat betot palanya</t>
  </si>
  <si>
    <t>Kenapa dengan Indonesia? Sekolah diliburkan berdampak pada kualitas siswa penerus Bangsa, apakah PPKM yang terus Update dan Vaksin itu masih belum cukup?, apa mungkin ada maksud lain dari para petinggi pemerintah? Ataukah hanya aku saja yang masih belum cukup paham?.</t>
  </si>
  <si>
    <t>@forgyet ppkm bodor</t>
  </si>
  <si>
    <t>ppkm bodor</t>
  </si>
  <si>
    <t>Kenapa pada julidin ibas dah, julidin mah kebijakan pemrenta noh. Gajelas bener, panjangin ppkm mulu tapi gak kasi penghidupan.</t>
  </si>
  <si>
    <t>Parah asli, kayak di rumah aja krn ppkm tp cape dan stres.
 Ga kebayang kalo ada orang diatas sana yg msh bisa santai ga mikir besok mau makan apa atau bayar tagihan bulanan gimana.</t>
  </si>
  <si>
    <t>Parah asli, kayak di rumah aja krn ppkm tp cape dan stres.Ga kebayang kalo ada orang diatas sana yg msh bisa santai ga mikir besok mau makan apa atau bayar tagihan bulanan gimana.</t>
  </si>
  <si>
    <t>@cakkweee Tunggu PPKM selesai!</t>
  </si>
  <si>
    <t>Tunggu PPKM selesai!</t>
  </si>
  <si>
    <t>Mungkin akan ada saat dimana status pandemi covid-19 dicabut WHO.
 Namun Indonesia masih sibuk testing, tracing, nyocokin data, rebutan vaksin dan PPKM (klo namanya ga diubah lagi).</t>
  </si>
  <si>
    <t>Mungkin akan ada saat dimana status pandemi covid-19 dicabut WHO.Namun Indonesia masih sibuk testing, tracing, nyocokin data, rebutan vaksin dan PPKM (klo namanya ga diubah lagi).</t>
  </si>
  <si>
    <t>Pengen nonton antares tapi lagi ppkm hmmm</t>
  </si>
  <si>
    <t>@rxceu gue kadoin sembako, hadiah versi ppkm 🙂👍🏻</t>
  </si>
  <si>
    <t>gue kadoin sembako, hadiah versi ppkm</t>
  </si>
  <si>
    <t>@Sug4rJunior Gila Ki 😂 Efek di Kosan kelamaan kagak jadi kerja mulu gara² PPKM diperpanjang terus 😂 Gini nih jadinya https://t.co/XmTMqt50SE</t>
  </si>
  <si>
    <t>Gila Ki Efek di Kosan kelamaan kagak jadi kerja mulu gara PPKM diperpanjang terus Gini nih jadinya</t>
  </si>
  <si>
    <t>@luv_yuuuu ntr abis PPKM ya, bilangin ke mama</t>
  </si>
  <si>
    <t>ntr abis PPKM ya, bilangin ke mama</t>
  </si>
  <si>
    <t>@sayname___ tp setelah psbb dan ppkm menyerang, semuanya berubah :"</t>
  </si>
  <si>
    <t>tp setelah psbb dan ppkm menyerang, semuanya berubah :"</t>
  </si>
  <si>
    <t>@detikcom Setan aja protes 'aaaakhh kami lapaaaar.....kapan ppkm kelaaaaarrr'</t>
  </si>
  <si>
    <t>Setan aja protes 'aaaakhh kami lapaaaar.....kapan ppkm kelaaaaarrr'</t>
  </si>
  <si>
    <t>Yokk ppkm cepet selesai biar bisa travelling sblm menghadapi dunia nyata setelah lulus</t>
  </si>
  <si>
    <t>PPKM nih kapan ya selesai. Udah tiga bulan belum manicure dan pedicure, huft.</t>
  </si>
  <si>
    <t>gatau sama pikiran mereka bisa bisanya lagi ppkm malah ngajak buat kumpul</t>
  </si>
  <si>
    <t>Gmn min @DKIJakarta warga sudah resah,ppkm di perpanjang tapi hiburan malam bebas,apa mekang benar ada oknum yg backup ? https://t.co/DWGseJpzab</t>
  </si>
  <si>
    <t>Gmn min warga sudah resah,ppkm di perpanjang tapi hiburan malam bebas,apa mekang benar ada oknum yg backup ?</t>
  </si>
  <si>
    <t>ppkm dilanjut trs, hubungan kita yg selesai</t>
  </si>
  <si>
    <t>@AREAJULID w mau takabur ..setelah ppkm level 4 ini pasti ada ppkm lagi</t>
  </si>
  <si>
    <t>w mau takabur ..setelah ppkm level ini pasti ada ppkm lagi</t>
  </si>
  <si>
    <t>ini ppkm cepetan kelar dahh biar bisa kerja lagi trus bisa bayar utang</t>
  </si>
  <si>
    <t>@apalagijuni Efek ppkm</t>
  </si>
  <si>
    <t>Efek ppkm</t>
  </si>
  <si>
    <t>ppkm kapan berakhirnya sih? w mo vaksin kedua aja susah bgt gegara vaksinnya di luar kota</t>
  </si>
  <si>
    <t>@doyoungwow PPKM bunga 😎👍🏻✨</t>
  </si>
  <si>
    <t>PPKM bunga</t>
  </si>
  <si>
    <t>@rainjbow_ @nabilfikran10 @sebelsaya kelamaan jomblo+ppkm bikin halu🤣🤣🤣</t>
  </si>
  <si>
    <t>kelamaan jomblo+ppkm bikin halu</t>
  </si>
  <si>
    <t>Karena PPKM Suro ini gk bisa kumpul dulur2 😔 https://t.co/XaMrhEcEyi</t>
  </si>
  <si>
    <t>Karena PPKM Suro ini gk bisa kumpul dulur2</t>
  </si>
  <si>
    <t>PPKM diperpanjang sampai JOT tiba2 upload dvd tadaima renaichuu</t>
  </si>
  <si>
    <t>@Captainmorkk PPKM dipa 😎👍🏻✨</t>
  </si>
  <si>
    <t>PPKM dipa</t>
  </si>
  <si>
    <t>Akibat PPKM,Dugemnya di rumah aja ya mam… toh hanya kita aja, anak2 dah di ungsikan 🤙 https://t.co/MC1zogQWpR</t>
  </si>
  <si>
    <t>Akibat PPKM,Dugemnya di rumah aja ya mam toh hanya kita aja, anak2 dah di ungsikan</t>
  </si>
  <si>
    <t>Tapi masih ppkm, jadi me timenya lari aja ke lapangan Siliwangi smpe capek</t>
  </si>
  <si>
    <t>@milkiewayf karna masi ppkm kita dirumah aja😔</t>
  </si>
  <si>
    <t>karna masi ppkm kita dirumah aja</t>
  </si>
  <si>
    <t>@po_honhijau Selesai ppkm</t>
  </si>
  <si>
    <t>Selesai ppkm</t>
  </si>
  <si>
    <t>Msh d perpanjang PPKM nya bro</t>
  </si>
  <si>
    <t>Rinduku terhalang PPKM</t>
  </si>
  <si>
    <t>@wiriantowidjaya @msaid_didu Yg jelasnya dealnya menguntungkan Cina dan kelompoknya sendiri, tapi merugikan rakyat... 
 Disaat PPKM pun TKA Cina bebas sekali tanpa terikat aturan...</t>
  </si>
  <si>
    <t>Yg jelasnya dealnya menguntungkan Cina dan kelompoknya sendiri, tapi merugikan rakyat... Disaat PPKM pun TKA Cina bebas sekali tanpa terikat aturan...</t>
  </si>
  <si>
    <t>Bau bau ppkm diperpanjang lagi nih 😮‍💨</t>
  </si>
  <si>
    <t>Bau bau ppkm diperpanjang lagi nih</t>
  </si>
  <si>
    <t>@VICE_ID Taken pas ppkm</t>
  </si>
  <si>
    <t>Taken pas ppkm</t>
  </si>
  <si>
    <t>ada nya PPKM bkn nambah bagus ke imun makin kelaparaan Ajen nyari makn susah. hede
 #PresidenMustiDiganti
 #PresidenMustiDiganti https://t.co/ueIAZ0Cbdr</t>
  </si>
  <si>
    <t>ada nya PPKM bkn nambah bagus ke imun makin kelaparaan Ajen nyari makn susah. hede</t>
  </si>
  <si>
    <t>@rainbowdashpp @dzatisofwah @traveloka Ppkm aslinya 1 tahun, cuma dicicil per minggu, (": 🙏</t>
  </si>
  <si>
    <t>Ppkm aslinya tahun, cuma dicicil per minggu, (":</t>
  </si>
  <si>
    <t>Isolasi, ppkm, jaga jarak adalah hal yg sangat menguntungkan banget buat introvert gak si?</t>
  </si>
  <si>
    <t>Ketika yang teriak khawatir ppkm ppkm tapi dia yang suka mondar mandir sana sini. Suka ikut tersenyum lihat orang jenis ini</t>
  </si>
  <si>
    <t>@dokimhwang @moviemenfes Rencana taun ini bisa rilis ehhh ppkm mkin ngeri</t>
  </si>
  <si>
    <t>Rencana taun ini bisa rilis ehhh ppkm mkin ngeri</t>
  </si>
  <si>
    <t>Daripada pusing ppkm terus.lebih baking goyang tingkatkan imun. https://t.co/LlVzveoPAu</t>
  </si>
  <si>
    <t>Daripada pusing ppkm terus.lebih baking goyang tingkatkan imun.</t>
  </si>
  <si>
    <t>@matchauwuu Nnti klo km nikah pasti udahann ni ppkm</t>
  </si>
  <si>
    <t>Nnti klo km nikah pasti udahann ni ppkm</t>
  </si>
  <si>
    <t>Alhamdulillah ayam bertelur semua, bisa untuk mencukupi kehidupan di tengah PPKM tanpa meminta ke pemerintah.
 #Harvestmoon https://t.co/Xo0bGsnMIF</t>
  </si>
  <si>
    <t>Alhamdulillah ayam bertelur semua, bisa untuk mencukupi kehidupan di tengah PPKM tanpa meminta ke pemerintah.</t>
  </si>
  <si>
    <t>PPKM kapan berakhir😫😭</t>
  </si>
  <si>
    <t>PPKM kapan berakhir</t>
  </si>
  <si>
    <t>@dwiki_411 Makanya PPKM diakhiri tgl 16 agustus
 Biar pas 17 agustus, bisa teriak merdeka</t>
  </si>
  <si>
    <t>Makanya PPKM diakhiri tgl agustusBiar pas agustus, bisa teriak merdeka</t>
  </si>
  <si>
    <t>Nnti klo ppkm selesai yuk kita buat risol🤗
 @jiaerluhv @euphyetf @MisakiiHana 
 Klo qm nnti berenang sj y yank🥰 @fairyshyunjin https://t.co/HoVmb3SbWV</t>
  </si>
  <si>
    <t>Nnti klo ppkm selesai yuk kita buat risol Klo qm nnti berenang sj y yank</t>
  </si>
  <si>
    <t>Pak @jokowi Saya Lapar Pak
 Saya belum makan karena PPKM nya terus berlanjut. Nasib oh nasib
 #PPKM 
 #Jokowi404NotFound 
 #JokowiMusibahBangsa</t>
  </si>
  <si>
    <t>Pak Saya Lapar PakSaya belum makan karena PPKM nya terus berlanjut. Nasib oh nasib</t>
  </si>
  <si>
    <t>@convomfs Tempat ku sebenernya udh offline tapi karena ppkm dan gereja ku ketat bgt protokolnya jadi gaboleh gereja dulu. Kalo misal ada tetangga yg kena covid jga gaboleh gereja dua minggu 😃🙌</t>
  </si>
  <si>
    <t>Tempat ku sebenernya udh offline tapi karena ppkm dan gereja ku ketat bgt protokolnya jadi gaboleh gereja dulu. Kalo misal ada tetangga yg kena covid jga gaboleh gereja dua minggu</t>
  </si>
  <si>
    <t>hayoo ppkm diperpanjang lg apa enggaaa wakakakaka</t>
  </si>
  <si>
    <t>@whyrsnd Ppkm ah</t>
  </si>
  <si>
    <t>@FaldoMaldini Cari makan dilarang kan lagi PPKM.yang ASN mah enak nunggu duit lah yang pedagang dll.
 Argumen yang jelas lah itu cat kan uang rakyat daripada pake buat ngecat mending buat masker atau APD kan manfaatnya lebih besar.
 @FaldoMaldini kek Ngabalin awokawok</t>
  </si>
  <si>
    <t>Cari makan dilarang kan lagi PPKM.yang ASN mah enak nunggu duit lah yang pedagang dll.Argumen yang jelas lah itu cat kan uang rakyat daripada pake buat ngecat mending buat masker atau APD kan manfaatnya lebih besar. kek Ngabalin awokawok</t>
  </si>
  <si>
    <t>Cah, ada yg pernah kirim paket dari kdr ke mlg yg sehari lsg sampai nggak selama ppkm ini? Kalo ada, krim pake apa?</t>
  </si>
  <si>
    <t>@poseidonzeuss mungkin jodoh mu tertunda di airport bestie karena ppkm</t>
  </si>
  <si>
    <t>mungkin jodoh mu tertunda di airport bestie karena ppkm</t>
  </si>
  <si>
    <t>@OposisiCerdas Meroket sekarang semua pasti setuju. Keburu mati ppkm levet 11 ribu T</t>
  </si>
  <si>
    <t>Meroket sekarang semua pasti setuju. Keburu mati ppkm levet ribu T</t>
  </si>
  <si>
    <t>@wisatasemarang Wealah... Malah kangen rumah orang tua yang di Ngesrep.... Kondisi PPKM kelihatan nya kurang memungkinkan....</t>
  </si>
  <si>
    <t>Wealah... Malah kangen rumah orang tua yang di Ngesrep.... Kondisi PPKM kelihatan nya kurang memungkinkan....</t>
  </si>
  <si>
    <t>@baihaqisuhaeri1 @cheapwordx @noty0urmine ppkm tokyo tuttup deh keknyee</t>
  </si>
  <si>
    <t>ppkm tokyo tuttup deh keknyee</t>
  </si>
  <si>
    <t>@detikcom Merdeka ? Koruptor didiskon hukuman, protes mural dihapus, tka masuk saat ppkm, elit sibuk promosi baliho saat pandemi, vaksin diduitin (meski dibatalin), harga pcr mirip gaji pokok sebulan... apa itu merdeka ?</t>
  </si>
  <si>
    <t>Merdeka ? Koruptor didiskon hukuman, protes mural dihapus, tka masuk saat ppkm, elit sibuk promosi baliho saat pandemi, vaksin diduitin (meski dibatalin), harga pcr mirip gaji pokok sebulan... apa itu merdeka ?</t>
  </si>
  <si>
    <t>@hipohan Memperpanjang PPKM 
 Dari Sudut Agama</t>
  </si>
  <si>
    <t>Memperpanjang PPKM Dari Sudut Agama</t>
  </si>
  <si>
    <t>@fafifuwaswessws @sbyfess Waduh kurang tau ya mbak, menurut info selama ppkm beberapa pendakian ditutup soalnya seh</t>
  </si>
  <si>
    <t>Waduh kurang tau ya mbak, menurut info selama ppkm beberapa pendakian ditutup soalnya seh</t>
  </si>
  <si>
    <t>@fadlizon Harusnya Polisi Tangkap Yang Membuat Kerumunan Di Grogol Bagi Sembako Pada Waktu PPKM, Bukti Nyata Melanggar</t>
  </si>
  <si>
    <t>Harusnya Polisi Tangkap Yang Membuat Kerumunan Di Grogol Bagi Sembako Pada Waktu PPKM, Bukti Nyata Melanggar</t>
  </si>
  <si>
    <t>Allhamdulillah seneng banget pasien covid udah mulai menurun, seenggaknya PPKM dan pelevelan PPKM udah tepat sih. Ada hikmah lah ya</t>
  </si>
  <si>
    <t>Mon maap pak Wi napa mesti tanya soal periodesasi masa jab klo emang lw ga stuju perub itu 😤 rakyatmu baru sja siuman akibat ppkm dan pandemi. Muke gile 
 https://t.co/IMecQ1a263</t>
  </si>
  <si>
    <t>Mon maap pak Wi napa mesti tanya soal periodesasi masa jab klo emang lw ga stuju perub itu rakyatmu baru sja siuman akibat ppkm dan pandemi. Muke gile</t>
  </si>
  <si>
    <t>@Alfarda2 Yuk boleh yukk 
 Ntar ppkm kelar kita party 😂</t>
  </si>
  <si>
    <t>Yuk boleh yukk Ntar ppkm kelar kita party</t>
  </si>
  <si>
    <t>@Hffftbgt Ohh ppkm taunya ppkn.</t>
  </si>
  <si>
    <t>Ohh ppkm taunya ppkn.</t>
  </si>
  <si>
    <t>@geffanya strict parents+ppkm jdi gtau dunia wkwk</t>
  </si>
  <si>
    <t>strict parents+ppkm jdi gtau dunia wkwk</t>
  </si>
  <si>
    <t>Gak ngerti saya.... seperti di biarkan oleh satgas covid19..jadi sepertinya TEGAS itu Ketika sedang di soroti dan sudah terjadi, ya harusnya di antisipasi sebelumnya.turunkan dulu PPKM levelnya, baru kegiatan bisa di longgarkan, ini kok seperti menjebak pelaku usaha nantinya https://t.co/jpJcSdwtlF</t>
  </si>
  <si>
    <t>Gak ngerti saya.... seperti di biarkan oleh satgas covid19..jadi sepertinya TEGAS itu Ketika sedang di soroti dan sudah terjadi, ya harusnya di antisipasi sebelumnya.turunkan dulu PPKM levelnya, baru kegiatan bisa di longgarkan, ini kok seperti menjebak pelaku usaha nantinya</t>
  </si>
  <si>
    <t>Agustusan kali ini Tidak ada lomba makan kerupuk, panjat pinang bahkan sepakbola. Lombanya cuma BERTAHAN HIDUP !!! #Indonesia #ppkm #merdeka https://t.co/ixqUOlPAMi</t>
  </si>
  <si>
    <t>Agustusan kali ini Tidak ada lomba makan kerupuk, panjat pinang bahkan sepakbola. Lombanya cuma BERTAHAN HIDUP !!!</t>
  </si>
  <si>
    <t>pgn jalan jalan deh, tp msh ppkm:)</t>
  </si>
  <si>
    <t>pgn jalan jalan deh, tp msh ppkm</t>
  </si>
  <si>
    <t>Grgr luyaa ppkm diperpanjang terus. https://t.co/D6jCJqu87E</t>
  </si>
  <si>
    <t>Grgr luyaa ppkm diperpanjang terus.</t>
  </si>
  <si>
    <t>Modarrrr mau krj g bs kena aturan ppkm STRP g bs naik transportasi umum modarrrr modarrrrrr</t>
  </si>
  <si>
    <t>@bertanyarl ppkm heh</t>
  </si>
  <si>
    <t>ppkm heh</t>
  </si>
  <si>
    <t>@muqomsita Lg ppkm tadz d rmh aja</t>
  </si>
  <si>
    <t>Lg ppkm tadz d rmh aja</t>
  </si>
  <si>
    <t>@bertanyarl Inget ppkm</t>
  </si>
  <si>
    <t>Inget ppkm</t>
  </si>
  <si>
    <t>Lihat stadion full.....rasanya...
 ehm,masih sibuk ppkm ama sekat sana sekat sini https://t.co/HBg5fa8wyc</t>
  </si>
  <si>
    <t>Lihat stadion full.....rasanya...ehm,masih sibuk ppkm ama sekat sana sekat sini</t>
  </si>
  <si>
    <t>ppkm selesai mau ke perpusnas, udah gila gw lama lama di rumah</t>
  </si>
  <si>
    <t>Balada kuliah offline. Ppkm. Kampus tutup. Regist lamban. Hotline lamban. Dosen susah dihubungi. Ya Allah sidangku piyeee</t>
  </si>
  <si>
    <t>@piyuueo ppkm jg gajelas da, udah gaada penyekatan dmn2 yg di Panasonic jln raya Bogor aja udah gaada pager2 nya</t>
  </si>
  <si>
    <t>ppkm jg gajelas da, udah gaada penyekatan dmn2 yg di Panasonic jln raya Bogor aja udah gaada pager2 nya</t>
  </si>
  <si>
    <t>@PutraWadapi Ente jika ada PPKM berjilid jilid ente juga akan nyiyir berjilid jilid, ppkm finish ente sakit otak berjilid jilid dr 2014 -2021 belum sembuh sembuh hahahaha</t>
  </si>
  <si>
    <t>Ente jika ada PPKM berjilid jilid ente juga akan nyiyir berjilid jilid, ppkm finish ente sakit otak berjilid jilid dr belum sembuh sembuh hahahaha</t>
  </si>
  <si>
    <t>ppkm besok masih lanjut gak yaaa</t>
  </si>
  <si>
    <t>@ElokNurie sini lah maen. Jakarta mah masih rame aja. PPKM tiada pengaruhnya 🤭 Tj.Duren, Kemanggisan msh pada rame tukang² makanan/minumannya.</t>
  </si>
  <si>
    <t>sini lah maen. Jakarta mah masih rame aja. PPKM tiada pengaruhnya Tj.Duren, Kemanggisan msh pada rame tukang makanan/minumannya.</t>
  </si>
  <si>
    <t>PPKM diperpanjang ngasi koe peka</t>
  </si>
  <si>
    <t>ppkm kesekian kalinya berakhir besok, tebak tebakan diperpanjang lg atau tidak</t>
  </si>
  <si>
    <t>@bunga_lao waalaikumussalam... Malmingnya masih rebahan... Masih PPKM... 😁</t>
  </si>
  <si>
    <t>waalaikumussalam... Malmingnya masih rebahan... Masih PPKM...</t>
  </si>
  <si>
    <t>PPKM (pernah pacaran kemudian melupakan) Hahaha</t>
  </si>
  <si>
    <t>ppkm ganjil genap jakarta</t>
  </si>
  <si>
    <t>Lagi kena PPKM
 🤭🤭 https://t.co/vAeBX30MI2</t>
  </si>
  <si>
    <t>Lagi kena PPKM</t>
  </si>
  <si>
    <t>@sunizflou lg ppkm</t>
  </si>
  <si>
    <t>Ya allah aku pengen ppkm ini cepet selesai😭😭😭😭😭😭</t>
  </si>
  <si>
    <t>Ya allah aku pengen ppkm ini cepet selesai</t>
  </si>
  <si>
    <t>@17xtcyy @FWBESS Mending di rumah aja, kan ppkm.</t>
  </si>
  <si>
    <t>Mending di rumah aja, kan ppkm.</t>
  </si>
  <si>
    <t>@notyourexpectt @FWBESS Gak dlu. Ppkm.</t>
  </si>
  <si>
    <t>Gak dlu. Ppkm.</t>
  </si>
  <si>
    <t>@tawajkt Waduhh ternyata PPKM mpe medsos tah 😁😁😁</t>
  </si>
  <si>
    <t>Waduhh ternyata PPKM mpe medsos tah</t>
  </si>
  <si>
    <t>Kurangajar Liga Inggris ga Prokes. 
 Ga tahu apa lagi PPKM https://t.co/MdkL1CankZ</t>
  </si>
  <si>
    <t>Kurangajar Liga Inggris ga Prokes. Ga tahu apa lagi PPKM</t>
  </si>
  <si>
    <t>-Masa PPKM -
 Influencer (food blogger) : Makan² dan kumpul² di luar, sekalian shoping, alesan uda swab dll, dengan berkedok membantu umkm karena program pemerintah. Ngomong ae golek duit utk pribadi dg embel² bantu umkm.
 Kntl</t>
  </si>
  <si>
    <t>-Masa PPKM -Influencer (food blogger) : Makan dan kumpul di luar, sekalian shoping, alesan uda swab dll, dengan berkedok membantu umkm karena program pemerintah. Ngomong ae golek duit utk pribadi dg embel bantu umkm.Kntl</t>
  </si>
  <si>
    <t>@Rockslashjeffry Pagi, Jeff.. Smg dirimu &amp;amp; keluarga sehat selalu ya 🙏🌹💕
 Benar, bahwa gereja dalam masa PPKM ini belum bisa utk kegiatan ibadah tatap muka, jd kita harus online saja. Kita ikuti peraturannya 🙏👍</t>
  </si>
  <si>
    <t>Pagi, Jeff.. Smg dirimu &amp;amp; keluarga sehat selalu ya Benar, bahwa gereja dalam masa PPKM ini belum bisa utk kegiatan ibadah tatap muka, jd kita harus online saja. Kita ikuti peraturannya</t>
  </si>
  <si>
    <t>Setiap orang punya cara sendiri
 Untuk bahagia...
 Efek ppkm
 Lekas sembuh teteh cantik https://t.co/1fG7nziUlg</t>
  </si>
  <si>
    <t>Setiap orang punya cara sendiriUntuk bahagia...Efek ppkmLekas sembuh teteh cantik</t>
  </si>
  <si>
    <t>ppkm ppkm bcit</t>
  </si>
  <si>
    <t>@bukanespe Mo pergi kemana sihhh, kan lagi ppkm... 😌</t>
  </si>
  <si>
    <t>Mo pergi kemana sihhh, kan lagi ppkm...</t>
  </si>
  <si>
    <t>@Sintamahalona Selamat pagi bunda Sinta apa kabarnya ? Di masa ppkm gereja saya tidak ada ibadah tatap muka tapi online saja.
 Happy sunday bunda beserta keluarga dan salam sehat 🙏</t>
  </si>
  <si>
    <t>Selamat pagi bunda Sinta apa kabarnya ? Di masa ppkm gereja saya tidak ada ibadah tatap muka tapi online saja.Happy sunday bunda beserta keluarga dan salam sehat</t>
  </si>
  <si>
    <t>@jogjamf Ada yg 24 jam. Tp mungkin ga banyak krn ppkm ini.</t>
  </si>
  <si>
    <t>Ada yg jam. Tp mungkin ga banyak krn ppkm ini.</t>
  </si>
  <si>
    <t>padahal kalo mau nongkrong gausah di update, kaya ga ngehargain orang yg bnrn ppkm biar corona ga meningkat, trs apa fungsinya mereka bikin igs ngeluh ppkm mulu tapi ttp nongkrong?? padahal harusnya sama aja hahaha.</t>
  </si>
  <si>
    <t>@RcRudy_cakra Muup
 Lg ppkm Om</t>
  </si>
  <si>
    <t>MuupLg ppkm Om</t>
  </si>
  <si>
    <t>semaleman ga buka ig, pas pagi-pagi bingung banget pas buka ig, loh ini lagi ppkm? tmn-tmn gua pada nongkrong semua anjir😭 padahal mereka misuh ppkm di perpanjang kmrn, tapi gaada seminggu tuh igs nya isinya nongki ehe ((:</t>
  </si>
  <si>
    <t>semaleman ga buka ig, pas pagi-pagi bingung banget pas buka ig, loh ini lagi ppkm? tmn-tmn gua pada nongkrong semua anjir padahal mereka misuh ppkm di perpanjang kmrn, tapi gaada seminggu tuh igs nya isinya nongki ehe ((:</t>
  </si>
  <si>
    <t>Sumpah benci banget sama mereka yang kerjaannya nongki + upload, travelling+ upload, main + upload, yg gak pake masker, yang gak bisa diem aja di rumah, yang ngeremehin korona, yg gabisa social distancing, yg ngeluh ppkm tp dianya nongki, traveling,
 FUCK OFF!</t>
  </si>
  <si>
    <t>Sumpah benci banget sama mereka yang kerjaannya nongki + upload, travelling+ upload, main + upload, yg gak pake masker, yang gak bisa diem aja di rumah, yang ngeremehin korona, yg gabisa social distancing, yg ngeluh ppkm tp dianya nongki, traveling,FUCK OFF!</t>
  </si>
  <si>
    <t>@andihiyat PPKM lama banget sampai ga sadar gue sama pacar gue duluan putus</t>
  </si>
  <si>
    <t>PPKM lama banget sampai ga sadar gue sama pacar gue duluan putus</t>
  </si>
  <si>
    <t>@inikalulaa @seokjinjuseyyo ppkm ini udah modusin berapa orang di kelas online dan google meet? gaada ppkm ini malah jatuh cinta sama au 🙂</t>
  </si>
  <si>
    <t>ppkm ini udah modusin berapa orang di kelas online dan google meet? gaada ppkm ini malah jatuh cinta sama au</t>
  </si>
  <si>
    <t>@tvOneNews Emang bener di undang undang memang tidak ada istilah PPKM yang ada karantina kesehatan tapi mo gemana lagi semua lini sudah dibungkam bikin MANDUL</t>
  </si>
  <si>
    <t>Emang bener di undang undang memang tidak ada istilah PPKM yang ada karantina kesehatan tapi mo gemana lagi semua lini sudah dibungkam bikin MANDUL</t>
  </si>
  <si>
    <t>@RBTHIndonesia Apa di Wakanda ga Ngerti seni, Ngertinya Hanya Maksa Vaksin PCR PPKM terus di Perpnjng Sedngkat Rkyat Hidup Sush, TKA di Berikan Karpet Merah....Hancurnya Wkanda..</t>
  </si>
  <si>
    <t>Apa di Wakanda ga Ngerti seni, Ngertinya Hanya Maksa Vaksin PCR PPKM terus di Perpnjng Sedngkat Rkyat Hidup Sush, TKA di Berikan Karpet Merah....Hancurnya Wkanda..</t>
  </si>
  <si>
    <t>Semoga ppkm cepat selesai , biar bisa scene lagi</t>
  </si>
  <si>
    <t>Ppkm = para penonton kegirangan melihat. https://t.co/AW9hHIFtIN</t>
  </si>
  <si>
    <t>Ppkm = para penonton kegirangan melihat.</t>
  </si>
  <si>
    <t>pembayaran semester keluar pas lagi ppkm,bisa mikir teu sih kampus teh</t>
  </si>
  <si>
    <t>Kapan ppkm kelar yah https://t.co/oEt96nE9pl</t>
  </si>
  <si>
    <t>Kapan ppkm kelar yah</t>
  </si>
  <si>
    <t>yaAllah ingin ke salon tapi ppkm gak udah2😤</t>
  </si>
  <si>
    <t>yaAllah ingin ke salon tapi ppkm gak udah2</t>
  </si>
  <si>
    <t>@WongYenita @detikcom Mau ppkm atau enggak kayaknya sama aja deh, dimana2 juga rame sama aja. Yg beda cuma jam buka aja.</t>
  </si>
  <si>
    <t>Mau ppkm atau enggak kayaknya sama aja deh, dimana2 juga rame sama aja. Yg beda cuma jam buka aja.</t>
  </si>
  <si>
    <t>Mulai makin terasa nih efek kelamaan ppkm, mungkin warga sekitaran rumah gua mulai menghemat dengan ngepress budget makannya buat bertahan hidup lebih lama. Akhirnya, guapun kena imbasnya juga pendapatan jadi berkurang trus rugi karna barang banyak kebuang🥴</t>
  </si>
  <si>
    <t>Mulai makin terasa nih efek kelamaan ppkm, mungkin warga sekitaran rumah gua mulai menghemat dengan ngepress budget makannya buat bertahan hidup lebih lama. Akhirnya, guapun kena imbasnya juga pendapatan jadi berkurang trus rugi karna barang banyak kebuang</t>
  </si>
  <si>
    <t>Gw mimpi kena razia ppkm, trus pcr ditempat, eh positif. Wkwkwwk random amat</t>
  </si>
  <si>
    <t>Kritik di Medsos : Kena UU ITE
 Kritik di Tembok/Mural : Kena pasal KUHP
 Protes PPKM ditrotoar pakai bikini : Kena Hukuman 10 tahun penjara.
 Giliran artis yang ngentod sembarangan padahal udah punya suami aja dibiarin udah tuh nobar satu kantor penyelidikan🤣🤣</t>
  </si>
  <si>
    <t>Kritik di Medsos : Kena UU ITEKritik di Tembok/Mural : Kena pasal KUHPProtes PPKM ditrotoar pakai bikini : Kena Hukuman tahun penjara.Giliran artis yang ngentod sembarangan padahal udah punya suami aja dibiarin udah tuh nobar satu kantor penyelidikan</t>
  </si>
  <si>
    <t>@jenismyfav udh ldr, corona + ppkm pula. Hampir 3 bulan tak berjumpa :') https://t.co/ENRn7BUF7m</t>
  </si>
  <si>
    <t>udh ldr, corona + ppkm pula. Hampir bulan tak berjumpa :')</t>
  </si>
  <si>
    <t>liat story tmen ngopi pgn bgt ikutan, tp smenjak ppkm apalgi udh kls 12 stop ngopi dluu. ya allah kgn, huhh nangis😭</t>
  </si>
  <si>
    <t>liat story tmen ngopi pgn bgt ikutan, tp smenjak ppkm apalgi udh kls stop ngopi dluu. ya allah kgn, huhh nangis</t>
  </si>
  <si>
    <t>Wkwkwkwkwk sepertinyaaa bsk dah ga dilanjut ppkm. We'll see 👁👄👁 https://t.co/i7TsWtWLMc</t>
  </si>
  <si>
    <t>Wkwkwkwkwk sepertinyaaa bsk dah ga dilanjut ppkm. We'll see</t>
  </si>
  <si>
    <t>/wal taman di tahura tu masuknya bayar kah? buka lah musim ppkm kaini taman nya?</t>
  </si>
  <si>
    <t>@TinkyNad99 Siapa sih yang ingin sengsara? Pemerintah juga maunya rakyat sehat sejahtera maju bersama. Jangan salahkan pemerintah kalau PPKM di tambah2 lagi, rakyat juga harus mau mengerti dengan cara disiplin prokes dan vaksinasi agar pandemi berlalu.</t>
  </si>
  <si>
    <t>Siapa sih yang ingin sengsara? Pemerintah juga maunya rakyat sehat sejahtera maju bersama. Jangan salahkan pemerintah kalau PPKM di tambah2 lagi, rakyat juga harus mau mengerti dengan cara disiplin prokes dan vaksinasi agar pandemi berlalu.</t>
  </si>
  <si>
    <t>Libur mudik tapi ppkm, jalan - jalan pagi adalah solusinya... 😆 https://t.co/ZuENzPhoDj</t>
  </si>
  <si>
    <t>Libur mudik tapi ppkm, jalan - jalan pagi adalah solusinya...</t>
  </si>
  <si>
    <t>kyk stop ngeluh ttg ppkm ga kelar2 kalo lo aja kerjaannya cabut mulu?!😌</t>
  </si>
  <si>
    <t>kyk stop ngeluh ttg ppkm ga kelar2 kalo lo aja kerjaannya cabut mulu?!</t>
  </si>
  <si>
    <t>@FKadrun Waah bisa2 mereka merasa terancam, maka PPKM akan terus meningkat level kepedasannya dari 1-4 menjadi 1-10 dan itu diperpanjang tiap sebulan, minimal sampe 2024 😀😀</t>
  </si>
  <si>
    <t>Waah bisa2 mereka merasa terancam, maka PPKM akan terus meningkat level kepedasannya dari $NUMBER$ menjadi $NUMBER$ dan itu diperpanjang tiap sebulan, minimal sampe</t>
  </si>
  <si>
    <t>Melangsungkan perjalanan ditengah ppkm gini emg dituntut lebih sabar dan lebih cermat. Teledor dikit, waktu dan materil bisa melayang cuma2</t>
  </si>
  <si>
    <t>@iamtryshb1 Kirain minta ppkm selesai 😭</t>
  </si>
  <si>
    <t>Kirain minta ppkm selesai</t>
  </si>
  <si>
    <t>Dia yg umumkan PPKM berjilid-jilid, 
 Dia pula yg buat kerumunan berjilid-jilid. 
 ITULAH PEMIMPIN YANG INKONSISTEN. 
 #Jokowi404NotFound 
 #Jokowi404NotFound https://t.co/uUdS7QTR2G</t>
  </si>
  <si>
    <t>Dia yg umumkan PPKM berjilid-jilid, Dia pula yg buat kerumunan berjilid-jilid. ITULAH PEMIMPIN YANG INKONSISTEN.</t>
  </si>
  <si>
    <t>@FaldoMaldini Ngatasi Pake PPKM berjilid2 tp hasilnya cuma menghapus data kematian karna Covid. Qt bukan hidup di negara otoriter bro jd klw pemimpin gak becus maka siilahkan rakyat sampaikan kritik karna itu sudah hak mereka</t>
  </si>
  <si>
    <t>Ngatasi Pake PPKM berjilid2 tp hasilnya cuma menghapus data kematian karna Covid. Qt bukan hidup di negara otoriter bro jd klw pemimpin gak becus maka siilahkan rakyat sampaikan kritik karna itu sudah hak mereka</t>
  </si>
  <si>
    <t>Kl sejak awal pake UU karantina + kewajibannya, gw berani dah wasweswos dukung vaksin... lah ini ppkm aja stop tgl 16, dan yakin bakal lanjut mulai tgl 18... kl gak percaya, ya udah gak percaya... haha....
 ppkm psbb apalah itu, lah lgsg aja lokdon aka karantina, kirim bansos...</t>
  </si>
  <si>
    <t>Kl sejak awal pake UU karantina + kewajibannya, gw berani dah wasweswos dukung vaksin... lah ini ppkm aja stop tgl , dan yakin bakal lanjut mulai tgl ... kl gak percaya, ya udah gak percaya... haha....ppkm psbb apalah itu, lah lgsg aja lokdon aka karantina, kirim bansos...</t>
  </si>
  <si>
    <t>@convomf lagi mikir buat ke psikolog pas ppkm boleh atau nunggu selesai dulu...
 jawab pls help #.bingung</t>
  </si>
  <si>
    <t>lagi mikir buat ke psikolog pas ppkm boleh atau nunggu selesai dulu...jawab pls help .bingung</t>
  </si>
  <si>
    <t>@ajengcute16__ Ok, slsaii PPKM dibelikan., sklian mmpir ke rumah Bpk</t>
  </si>
  <si>
    <t>Ok, slsaii PPKM dibelikan., sklian mmpir ke rumah Bpk</t>
  </si>
  <si>
    <t>semoga nanti sama besok gaada pengumuman ppkm diperpanjang....</t>
  </si>
  <si>
    <t>@HabisNontonFilm alhamdulillah pertahankan y na-bi jangan sampe diperpanjang lagi nih ppkm👍🏼</t>
  </si>
  <si>
    <t>alhamdulillah pertahankan y na-bi jangan sampe diperpanjang lagi nih ppkm</t>
  </si>
  <si>
    <t>@NandoMahamadou @FaldoMaldini Wkwk kocak ni orang, giliran udah jd stafsus akalnya kebalik. Lo ppkm, psbb 3 tahun juga masih terima gaji utuh, THR, gaji 13, tunjangan kinerja. Lo berani resign gak? Biar rasain rasanya cari kesejahteraan di masa kyak gini.</t>
  </si>
  <si>
    <t>Wkwk kocak ni orang, giliran udah jd stafsus akalnya kebalik. Lo ppkm, psbb tahun juga masih terima gaji utuh, THR, gaji , tunjangan kinerja. Lo berani resign gak? Biar rasain rasanya cari kesejahteraan di masa kyak gini.</t>
  </si>
  <si>
    <t>Mulai terbiasa, semenjak ppkm jam tidur gua rusak.</t>
  </si>
  <si>
    <t>@keuangannews_id Kalau rakyat nya msh bertenaga setelah ppkm berjilid jilid tanpa dikasih tunjangan hidup ...</t>
  </si>
  <si>
    <t>Kalau rakyat nya msh bertenaga setelah ppkm berjilid jilid tanpa dikasih tunjangan hidup ...</t>
  </si>
  <si>
    <t>(PPKM)
 Para Pedagang Kembali Menangis https://t.co/tGWghuzPG1</t>
  </si>
  <si>
    <t>(PPKM)Para Pedagang Kembali Menangis</t>
  </si>
  <si>
    <t>@reska___ @diemlojelekkk Apa ini kumpul kumpul, ppkm</t>
  </si>
  <si>
    <t>Apa ini kumpul kumpul, ppkm</t>
  </si>
  <si>
    <t>kangen bgt holiday ahh ppkm babi</t>
  </si>
  <si>
    <t>@FKadrun Semoga aja 'People' nya msh punya 'power' setelah ppkm berjilid jilid tanpa dikasih tunjangan atau bantuan dasar hidup.</t>
  </si>
  <si>
    <t>Semoga aja 'People' nya msh punya 'power' setelah ppkm berjilid jilid tanpa dikasih tunjangan atau bantuan dasar hidup.</t>
  </si>
  <si>
    <t>ppkm ayo cepetan kelar aku kangen mcd 24 jam yang mengisi malem malem laper ku😩</t>
  </si>
  <si>
    <t>ppkm ayo cepetan kelar aku kangen mcd jam yang mengisi malem malem laper ku</t>
  </si>
  <si>
    <t>fuschia: cheerful selalu senang tak ada masalah ini adalah warna yg pling lucu soalnya bisa pake baju yg cute sayangnya ppkm
 biru: apa y kayak sok sokan cool city girl jalan di soho sendirian suka anime pake baju item semua gitu</t>
  </si>
  <si>
    <t>fuschia: cheerful selalu senang tak ada masalah ini adalah warna yg pling lucu soalnya bisa pake baju yg cute sayangnya ppkmbiru: apa y kayak sok sokan cool city girl jalan di soho sendirian suka anime pake baju item semua gitu</t>
  </si>
  <si>
    <t>Kalo ada orang ngelakuin prilaku yang di luar norma yang tidak biasanya, dengan alasan dia melakukan itu karena stres terhadap sesuatu yang berlarut larut seperti "PPKM", pertanyaan saya orang seperti ini lebih baik di bawa ke pendamping psikologis atau dikenai sanksi pidana?</t>
  </si>
  <si>
    <t>@eT3k3WeR_ Namanya the power of ketua DPR RI. NO masker...no jaga jarak. Alias...berkerumun tanpa masker. Terbukti tak ada PPKM kan buat pejabat tinggi negara....?</t>
  </si>
  <si>
    <t>Namanya the power of ketua DPR RI. NO masker...no jaga jarak. Alias...berkerumun tanpa masker. Terbukti tak ada PPKM kan buat pejabat tinggi negara....?</t>
  </si>
  <si>
    <t>Krucil2 ini kalo dijajarin kenapa jadi kaya pembatas ppkm 🥲 https://t.co/eiiqHBlOrY</t>
  </si>
  <si>
    <t>Krucil2 ini kalo dijajarin kenapa jadi kaya pembatas ppkm</t>
  </si>
  <si>
    <t>hadeh bisa bisanya lagi ppkm gini, banyak org yg di rugiin, tetep aja ga ada rasa pedulinya 😒😒 https://t.co/5v5mnAoO6W</t>
  </si>
  <si>
    <t>hadeh bisa bisanya lagi ppkm gini, banyak org yg di rugiin, tetep aja ga ada rasa pedulinya</t>
  </si>
  <si>
    <t>@KurniaK03882328 Ppkm bosku</t>
  </si>
  <si>
    <t>Ppkm bosku</t>
  </si>
  <si>
    <t>PPKM (para pengemis kembali menderita)</t>
  </si>
  <si>
    <t>Memang itu terjadi karena disaat petani panen, impor juga masuk, ada juga ditempat lain yg lg panen raya. Jadi harganya hancur. Apalagi ppkm begini daya konsumsi masyarakat juga pasti menurun.</t>
  </si>
  <si>
    <t>@imaqueennz Lomba bertahan hidup di masa ppkm 😄😄🤗</t>
  </si>
  <si>
    <t>Lomba bertahan hidup di masa ppkm</t>
  </si>
  <si>
    <t>@PutraWadapi Masts Allah hasil ppkm brlanjut teenyata Ada hsilnya...presiden Ku mang is the Best 👍👍👍👍💪💪</t>
  </si>
  <si>
    <t>Masts Allah hasil ppkm brlanjut teenyata Ada hsilnya...presiden Ku mang is the Best</t>
  </si>
  <si>
    <t>udahan yu ppkm, corona. kangen bgt mau main🥺</t>
  </si>
  <si>
    <t>udahan yu ppkm, corona. kangen bgt mau main</t>
  </si>
  <si>
    <t>2021.
 Yang bener cuma 2019 doang.
 Isinya ada si copit, si 5M, si PPKM dan si Vaksin.</t>
  </si>
  <si>
    <t>.Yang bener cuma doang.Isinya ada si copit, si M, si PPKM dan si Vaksin.</t>
  </si>
  <si>
    <t>Masa ppkm ini pd ngapain aja? — Kerja https://t.co/q3wb0qeRe1</t>
  </si>
  <si>
    <t>Masa ppkm ini pd ngapain aja? Kerja</t>
  </si>
  <si>
    <t>@ibbyza Wait kan ppkm...</t>
  </si>
  <si>
    <t>Wait kan ppkm...</t>
  </si>
  <si>
    <t>Panjangggggggg.
 Kaya PPKM</t>
  </si>
  <si>
    <t>Panjangggggggg.Kaya PPKM</t>
  </si>
  <si>
    <t>Kok gak sekalian ke liga 1? Aduh yg ku lupa liga 1 kan lagi ppkm jadi diundur. https://t.co/nLwyu1wYqf</t>
  </si>
  <si>
    <t>Kok gak sekalian ke liga ? Aduh yg ku lupa liga kan lagi ppkm jadi diundur.</t>
  </si>
  <si>
    <t>@dustywine @nabilfikran10 Ppkm+jomblo+skripsi</t>
  </si>
  <si>
    <t>Ppkm+jomblo+skripsi</t>
  </si>
  <si>
    <t>Ada beberapa restoran di jkt yg udah bisa dine in. Ya semoga aja ppkm kagak di perpanjang lagi.</t>
  </si>
  <si>
    <t>@separogarangan Tolong dong ppkm lama bgt selesainya WKWWK</t>
  </si>
  <si>
    <t>Tolong dong ppkm lama bgt selesainya WKWWK</t>
  </si>
  <si>
    <t>@FOODFESS2 ppkm? mudah2an udah terkontrol</t>
  </si>
  <si>
    <t>ppkm? mudah2an udah terkontrol</t>
  </si>
  <si>
    <t>Efek ppkm di perpanjang🙏 https://t.co/RIqZgEYbY3</t>
  </si>
  <si>
    <t>Efek ppkm di perpanjang</t>
  </si>
  <si>
    <t>jaga jarak ppkm https://t.co/168nuWZ6mU</t>
  </si>
  <si>
    <t>jaga jarak ppkm</t>
  </si>
  <si>
    <t>Biar ppkm ga kebanyakan ngeluh sana sini, mending buat kegiatan sebermanfaat mungkin 😌</t>
  </si>
  <si>
    <t>Biar ppkm ga kebanyakan ngeluh sana sini, mending buat kegiatan sebermanfaat mungkin</t>
  </si>
  <si>
    <t>@lhaechanie_ baru-baru ini, pas blum ppkm 😁</t>
  </si>
  <si>
    <t>baru-baru ini, pas blum ppkm</t>
  </si>
  <si>
    <t>Lagi pengen main bulutangkis .abis main sama km jauh ppkm pula😀</t>
  </si>
  <si>
    <t>Lagi pengen main bulutangkis .abis main sama km jauh ppkm pula</t>
  </si>
  <si>
    <t>@siapawaelah ga kena ppkm?</t>
  </si>
  <si>
    <t>ga kena ppkm?</t>
  </si>
  <si>
    <t>Susaah kalau laper pas lagi shift malem dan masih ppkm, pada tutup semuaaaa 😶</t>
  </si>
  <si>
    <t>Susaah kalau laper pas lagi shift malem dan masih ppkm, pada tutup semuaaaa</t>
  </si>
  <si>
    <t>@convomf tp yg 24 jam setau gue mcd, tp gatau juga soalnya kam skrg ppkm masih kan ya?</t>
  </si>
  <si>
    <t>tp yg jam setau gue mcd, tp gatau juga soalnya kam skrg ppkm masih kan ya?</t>
  </si>
  <si>
    <t>akhirnya pinteran na bi,ppkm beres ni bentar lagi</t>
  </si>
  <si>
    <t>ppkm dki jakarta 2021</t>
  </si>
  <si>
    <t>ppkm dki jakarta</t>
  </si>
  <si>
    <t>@lilprincess09_ mau gimna lagi kak. ppkm pemasukan gak ada pengeluaran banyak . ya gratis gratis aja kak</t>
  </si>
  <si>
    <t>mau gimna lagi kak. ppkm pemasukan gak ada pengeluaran banyak . ya gratis gratis aja kak</t>
  </si>
  <si>
    <t>@qyutkat emmm, dari psbb sampe ke ppkm sieee ya 😌😌😌</t>
  </si>
  <si>
    <t>emmm, dari psbb sampe ke ppkm sieee ya</t>
  </si>
  <si>
    <t>Ppkm diperpanjang lagi
 Kazutora : ini semua karna salahmu mikey</t>
  </si>
  <si>
    <t>Ppkm diperpanjang lagiKazutora : ini semua karna salahmu mikey</t>
  </si>
  <si>
    <t>@tirta_hudhi Hiburan yg sangat lucu saat ppkm</t>
  </si>
  <si>
    <t>Hiburan yg sangat lucu saat ppkm</t>
  </si>
  <si>
    <t>Gimana mau mengembara paman. Kan masih ppkm https://t.co/0xfb8bBMdw</t>
  </si>
  <si>
    <t>Gimana mau mengembara paman. Kan masih ppkm</t>
  </si>
  <si>
    <t>Bioskop kapan buka si anjir 😠 ppkm mulu dah</t>
  </si>
  <si>
    <t>Bioskop kapan buka si anjir ppkm mulu dah</t>
  </si>
  <si>
    <t>@radenrauf Iya, 2 bulan ketunda grgr ppkm ;)) naik KRL ada syaratnya.
 Pfff ~</t>
  </si>
  <si>
    <t>Iya, bulan ketunda grgr ppkm naik KRL ada syaratnya.Pfff ~</t>
  </si>
  <si>
    <t>ppkm berkonsep temen ditagih utang, minggu depan minggu depan mulu.</t>
  </si>
  <si>
    <t>@Citraaahhh Dmn aja sepi karna ppkm kak</t>
  </si>
  <si>
    <t>Dmn aja sepi karna ppkm kak</t>
  </si>
  <si>
    <t>@PIJATMAKASSAR05 Kak Cariin aku Top dong yg mau Boking akuu.. Lagi sepi.nii di masa" PpKm.. panggilan Boking Bot.</t>
  </si>
  <si>
    <t>Kak Cariin aku Top dong yg mau Boking akuu.. Lagi sepi.nii di masa" PpKm.. panggilan Boking Bot.</t>
  </si>
  <si>
    <t>(( ppkm boleh car free day gasih? ))</t>
  </si>
  <si>
    <t>Jomblo di masa PPKM</t>
  </si>
  <si>
    <t>PPKM keknya ga diperpanjang nih soalnya Na-bi sudah ada aura sadar🙏 saatnya bobo nyenyak</t>
  </si>
  <si>
    <t>PPKM keknya ga diperpanjang nih soalnya Na-bi sudah ada aura sadar saatnya bobo nyenyak</t>
  </si>
  <si>
    <t>@halahmboo Buka di sidoarjo kota mas, daerah taman pinang loh rame tp klo ppkm gini bahaya sih daerah situ</t>
  </si>
  <si>
    <t>Buka di sidoarjo kota mas, daerah taman pinang loh rame tp klo ppkm gini bahaya sih daerah situ</t>
  </si>
  <si>
    <t>kpan y ke heha lagi, kgn bngt asw ppkm udahan ayo😔</t>
  </si>
  <si>
    <t>kpan y ke heha lagi, kgn bngt asw ppkm udahan ayo</t>
  </si>
  <si>
    <t>💙 ppkm ga boleh keseringan kontak fisik nih, jadi kontak wa kmu bleh, ?</t>
  </si>
  <si>
    <t>ppkm ga boleh keseringan kontak fisik nih, jadi kontak wa kmu bleh, ?</t>
  </si>
  <si>
    <t>@yeecjii ppkm cil</t>
  </si>
  <si>
    <t>ppkm cil</t>
  </si>
  <si>
    <t>@ooyunseong albatros nya ppkm gabisa terbang jadinya gabisa nyusruk</t>
  </si>
  <si>
    <t>albatros nya ppkm gabisa terbang jadinya gabisa nyusruk</t>
  </si>
  <si>
    <t>@AndreVerdian3 PPKM mas :)</t>
  </si>
  <si>
    <t>PPKM mas</t>
  </si>
  <si>
    <t>@iKithDrama bismillah smoga nabi sadar beneran biar ppkm gak diperpanjang👍 https://t.co/ljvgBtkNrU</t>
  </si>
  <si>
    <t>bismillah smoga nabi sadar beneran biar ppkm gak diperpanjang</t>
  </si>
  <si>
    <t>@mdverah Jakarta Masih PPKM Gaes</t>
  </si>
  <si>
    <t>Jakarta Masih PPKM Gaes</t>
  </si>
  <si>
    <t>PPKM apa kabar? it ends?</t>
  </si>
  <si>
    <t>@Jayabay19479190 Meneruskan ppkm</t>
  </si>
  <si>
    <t>Meneruskan ppkm</t>
  </si>
  <si>
    <t>@bareksacom Semoga aja ppkm berakhir bisa stabil lagi</t>
  </si>
  <si>
    <t>Semoga aja ppkm berakhir bisa stabil lagi</t>
  </si>
  <si>
    <t>@theletropicale @wonnoow BAWA MAKANAN NDIRI” LAGI PPKM!!!</t>
  </si>
  <si>
    <t>BAWA MAKANAN NDIRI LAGI PPKM!!!</t>
  </si>
  <si>
    <t>Jateng ppkm level berapa sih, pengen PTM 🥲</t>
  </si>
  <si>
    <t>Jateng ppkm level berapa sih, pengen PTM</t>
  </si>
  <si>
    <t>@seepiciway Ndk tergantung derahnya kayaknya kalau yang zona masih ppkm level 4 atau merah gitu belum offline ..</t>
  </si>
  <si>
    <t>Ndk tergantung derahnya kayaknya kalau yang zona masih ppkm level atau merah gitu belum offline ..</t>
  </si>
  <si>
    <t>@NurmaWa27 Dr ppkm stay at home seharian tv of cenderung main hp 😂</t>
  </si>
  <si>
    <t>Dr ppkm stay at home seharian tv of cenderung main hp</t>
  </si>
  <si>
    <t>Lampu jalan itu bukan dimatiin, tp emang gak dinyalain selama ppkm. Mungkin buat ngehemat listrik, anggarannya dialihkan ke yg lain.</t>
  </si>
  <si>
    <t>@hobigibah @Sasi_Pasha Sipp dirumah aja. Masih PPKM</t>
  </si>
  <si>
    <t>Sipp dirumah aja. Masih PPKM</t>
  </si>
  <si>
    <t>@otherblacktea Kan bisa: 
 PPKM 
 Pengen Pelukan Kalobole Mangku</t>
  </si>
  <si>
    <t>Kan bisa: PPKM Pengen Pelukan Kalobole Mangku</t>
  </si>
  <si>
    <t>Yes!!
 PPKM turunkan BOR di Jawa dan nasional..
 Presiden Jokowi tetap perintahkan untuk gencar vaksinasi dan testing.. https://t.co/HG3wfcNNbz</t>
  </si>
  <si>
    <t>Yes!!PPKM turunkan BOR di Jawa dan nasional..Presiden Jokowi tetap perintahkan untuk gencar vaksinasi dan testing..</t>
  </si>
  <si>
    <t>Hari senin, berarti waktunya nungguin pengumuman ppkm😂</t>
  </si>
  <si>
    <t>Hari senin, berarti waktunya nungguin pengumuman ppkm</t>
  </si>
  <si>
    <t>@jokowi Ppkm kelar 2024 sampe dia kelar !!! 2 periode cuma mau nyiksa sama meres rakyat !!!! Hebat bgt otak sama hati nya pak</t>
  </si>
  <si>
    <t>Ppkm kelar sampe dia kelar !!! periode cuma mau nyiksa sama meres rakyat !!!! Hebat bgt otak sama hati nya pak</t>
  </si>
  <si>
    <t>@studiechain PPKM masih bisa gofood :)</t>
  </si>
  <si>
    <t>PPKM masih bisa gofood</t>
  </si>
  <si>
    <t>Pliss ppkm cepet selesai dongg, kangen Bandung:(</t>
  </si>
  <si>
    <t>Pliss ppkm cepet selesai dongg, kangen Bandung</t>
  </si>
  <si>
    <t>besok bakal banyak diskon 17an ga ya lagi ppkm gini
 iKONICS MAKE iKON WIN
 @YG_iKONIC #iKON #아이콘</t>
  </si>
  <si>
    <t>besok bakal banyak diskon an ga ya lagi ppkm giniiKONICS MAKE iKON WIN</t>
  </si>
  <si>
    <t>Hari ini pasti perpanjangan ppkm smpe tgl 23 agustus</t>
  </si>
  <si>
    <t>Hari ini pasti perpanjangan ppkm smpe tgl agustus</t>
  </si>
  <si>
    <t>Ppkm mulai 7 hari,
 Lanjut 25 hari,lanjut lagi 40 hari,kada lawas menyeratus,imbahnya behaul</t>
  </si>
  <si>
    <t>Ppkm mulai hari,Lanjut hari,lanjut lagi hari,kada lawas menyeratus,imbahnya behaul</t>
  </si>
  <si>
    <t>Btw, PPKM udahan ni ? Apa ditunda dulu ?</t>
  </si>
  <si>
    <t>Semoga PPKM ga perpanjang
 Aamiin aamiin</t>
  </si>
  <si>
    <t>Semoga PPKM ga perpanjangAamiin aamiin</t>
  </si>
  <si>
    <t>@A100888 PPKM diperpanjang terus om hehe</t>
  </si>
  <si>
    <t>PPKM diperpanjang terus om hehe</t>
  </si>
  <si>
    <t>@siput_rii Padahal tiap hari nangisin skripsi yg ga kelar-kelar karna gabisa ambil data di kampus karna masih ppkm (dan berujung nambah semester)</t>
  </si>
  <si>
    <t>Padahal tiap hari nangisin skripsi yg ga kelar-kelar karna gabisa ambil data di kampus karna masih ppkm (dan berujung nambah semester)</t>
  </si>
  <si>
    <t>@igerible Ini mah kayak versi ppkm nntinya
 ada klarifikasi level 2 sama perpanjangan penangguhan😂
 @officialJKT48</t>
  </si>
  <si>
    <t>Ini mah kayak versi ppkm nntinyaada klarifikasi level sama perpanjangan penangguhan</t>
  </si>
  <si>
    <t>PPKM : pagi pagi kangen massungjin</t>
  </si>
  <si>
    <t>Ppkm gak diperpanjang nih?</t>
  </si>
  <si>
    <t>Perpanjang lgi ga nih ppkm??</t>
  </si>
  <si>
    <t>hari senin, berarti waktunya pengumuman perpanjangan ppkm 😂</t>
  </si>
  <si>
    <t>hari senin, berarti waktunya pengumuman perpanjangan ppkm</t>
  </si>
  <si>
    <t>Jangan sampe ppkm diperpanjang lagi dan aku lupa sensasi ketika ada orang disebelah aku!!!
 Iya, aku introvert emang. Tapi gatau kenapa berasa jadi "nothing important" aja kalo sendirian mulu.
 Teruntuk dunia yang sempat terabaikan dan tidak kuhormati
 Maaf dan tolong baik baik saja</t>
  </si>
  <si>
    <t>Jangan sampe ppkm diperpanjang lagi dan aku lupa sensasi ketika ada orang disebelah aku!!!Iya, aku introvert emang. Tapi gatau kenapa berasa jadi "nothing important" aja kalo sendirian mulu.Teruntuk dunia yang sempat terabaikan dan tidak kuhormatiMaaf dan tolong baik baik saja</t>
  </si>
  <si>
    <t>ceritanya bosen ppkm ga kelar kelar https://t.co/TBJev0E5ka</t>
  </si>
  <si>
    <t>ceritanya bosen ppkm ga kelar kelar</t>
  </si>
  <si>
    <t>PPKM SELESAI</t>
  </si>
  <si>
    <t>Harusnya liburan agak panjang, Bandung pilihan terbaks dikala ppkm.</t>
  </si>
  <si>
    <t>@CommuterLine @Silfi17936162 Baik,min. Terima kasih atas himbauannya. Semoga kalaupun ppkm masih diperpanjang, naik krl jg bisa dgn menunjukkan kartu vaksin, seperti TJ 🙏✨</t>
  </si>
  <si>
    <t>Baik,min. Terima kasih atas himbauannya. Semoga kalaupun ppkm masih diperpanjang, naik krl jg bisa dgn menunjukkan kartu vaksin, seperti TJ</t>
  </si>
  <si>
    <t>@sepatuboott gapaa gasemua kamu harus tau teh, enak sii cuma bosen bgt kalo udh libur semseter apalagi 2 bulan trus dibareni ppkm gini</t>
  </si>
  <si>
    <t>gapaa gasemua kamu harus tau teh, enak sii cuma bosen bgt kalo udh libur semseter apalagi bulan trus dibareni ppkm gini</t>
  </si>
  <si>
    <t>smoga tudey ga diperpanjang lgi ppkm 😭🙏🏻</t>
  </si>
  <si>
    <t>smoga tudey ga diperpanjang lgi ppkm</t>
  </si>
  <si>
    <t>Euy maraneh terlalu sibuk sama lord adi,kane sma grealish,sampe lupa klo sekarang hari terakhir PPKM😆</t>
  </si>
  <si>
    <t>Euy maraneh terlalu sibuk sama lord adi,kane sma grealish,sampe lupa klo sekarang hari terakhir PPKM</t>
  </si>
  <si>
    <t>Berita menarik hari ini = apakah ppkm masih dilanjut terus? 😁</t>
  </si>
  <si>
    <t>Berita menarik hari ini = apakah ppkm masih dilanjut terus?</t>
  </si>
  <si>
    <t>Lagi nungguin berita PPKM di lanjut apa ngga.</t>
  </si>
  <si>
    <t>PPKM meski belum sukses 100%, tapi haailnya telah menunjukkan capaian yang cukup signifikan. Penerintah melakukan kebijakan yang tepat dan terkendali.
 Spy sukses makin besar, perlu kesadaran kita sbg rakyat utk taat Prokes dan Vaksin segera..!!
  https://t.co/NoLeG2Tdoi</t>
  </si>
  <si>
    <t>PPKM meski belum sukses %, tapi haailnya telah menunjukkan capaian yang cukup signifikan. Penerintah melakukan kebijakan yang tepat dan terkendali.Spy sukses makin besar, perlu kesadaran kita sbg rakyat utk taat Prokes dan Vaksin segera..!!</t>
  </si>
  <si>
    <t>Dampak ppkm mulai terasa,
 Ga ada side job, ga ada tambahan masuk.
 Proyek mangkrak, nunggu ppkm kelar.
 Negara tidak lupa, bahwa kita tidak boleh mati karna virus.
 Tp mungkin negara lupa, kita bisa mati karna kelaparan...</t>
  </si>
  <si>
    <t>Dampak ppkm mulai terasa,Ga ada side job, ga ada tambahan masuk.Proyek mangkrak, nunggu ppkm kelar.Negara tidak lupa, bahwa kita tidak boleh mati karna virus.Tp mungkin negara lupa, kita bisa mati karna kelaparan...</t>
  </si>
  <si>
    <t>@DairiFM_Cirebon Belom, sebenernya tahun ini tapi ppkm maybe gajdi wkwk
 Request Terlukis indah dr Rizky Febian ft Ziva Magnolya dongg makasih 🙏</t>
  </si>
  <si>
    <t>Belom, sebenernya tahun ini tapi ppkm maybe gajdi wkwkRequest Terlukis indah dr Rizky Febian ft Ziva Magnolya dongg makasih</t>
  </si>
  <si>
    <t>@jokowi Pak,450 rb penghasilan krywan sy sebulan yg sy rumahkan,sy rmhkan krn sy slm ppkm tdk bs produksi apapun,trus klo itu utk PCR, mrk makan apa coba? Smntr itu, jitaan rkyt lain, bsok makan apa msh bingung, kok mikir PCR</t>
  </si>
  <si>
    <t>Pak,450 rb penghasilan krywan sy sebulan yg sy rumahkan,sy rmhkan krn sy slm ppkm tdk bs produksi apapun,trus klo itu utk PCR, mrk makan apa coba? Smntr itu, jitaan rkyt lain, bsok makan apa msh bingung, kok mikir PCR</t>
  </si>
  <si>
    <t>@fullshan_ Renjun adalah tipe orang yg udah stress pas kena ppkm level seblak😭</t>
  </si>
  <si>
    <t>Renjun adalah tipe orang yg udah stress pas kena ppkm level seblak</t>
  </si>
  <si>
    <t>Kangen dengan Eyang Presiden Soeharto...??? Eyang ketawa geli PPKM diperpanjang...😀😀👍
 Lihat video Anne! #TikTok https://t.co/qD1UoskniO</t>
  </si>
  <si>
    <t>Kangen dengan Eyang Presiden Soeharto...??? Eyang ketawa geli PPKM diperpanjang...Lihat video Anne!</t>
  </si>
  <si>
    <t>PPKM terbukti efektif untuk menurunkan angka penyebaran Covid-19 di Jatim. Hal ini terlihat dari data Kementerian Kesehatan yang dinilai dari laju pertumbuhan kasus maupun kapasitas respons penanganan Covid-19 di Jawa Timur</t>
  </si>
  <si>
    <t>@firedeyty Ayo ge, lagian gua juga masih ada jatah 2 show yang udah apply tapi ketunda gara gara ppkm</t>
  </si>
  <si>
    <t>Ayo ge, lagian gua juga masih ada jatah show yang udah apply tapi ketunda gara gara ppkm</t>
  </si>
  <si>
    <t>Makanya kalo pacaran jangan kaya PPKM di perpanjang mulu😂😂
 Kesalip ma orang lain baru mewek🙈 https://t.co/hu4BD7d6wo</t>
  </si>
  <si>
    <t>Makanya kalo pacaran jangan kaya PPKM di perpanjang muluKesalip ma orang lain baru mewek</t>
  </si>
  <si>
    <t>malah akhir" ppkm gini sering liat ambulance lewat</t>
  </si>
  <si>
    <t>@faramisop Alhamdulillah..tiap hari bantu tetangga yg lagi pada kesusahan akibat PPKM</t>
  </si>
  <si>
    <t>Alhamdulillah..tiap hari bantu tetangga yg lagi pada kesusahan akibat PPKM</t>
  </si>
  <si>
    <t>@rotikering22 kak mau tanya serius, rencana saya mau ke jogja akhir bulan (semoga ppkm ga diperpanjang) , utk tempat wisata di kota jogja misal kaya malioboro,alun" udh buka normal atau engga ,msih sepi kah?</t>
  </si>
  <si>
    <t>kak mau tanya serius, rencana saya mau ke jogja akhir bulan (semoga ppkm ga diperpanjang) , utk tempat wisata di kota jogja misal kaya malioboro,alun" udh buka normal atau engga ,msih sepi kah?</t>
  </si>
  <si>
    <t>Selamat pagi hari terakhir PPKM, apakah besok kita akan merdeka? Kita tunggu saja hehe</t>
  </si>
  <si>
    <t>Ppkm gakan diperpanjang,nanti disangkutpautin sama 17 agustus.</t>
  </si>
  <si>
    <t>Ppkm gakan diperpanjang,nanti disangkutpautin sama agustus.</t>
  </si>
  <si>
    <t>@marlina_idha Semua sdh direncanakan sejak dini. By design. By covid 19. PPKM. Ujung2 3 periode. Gak tau nya nanti PPSI. People Power Selamatkan Indonesia. Jgn dikira semua rakyat akan diem. Jgn biarkan api dlm sekam membara. Adil lah wahai rezim...</t>
  </si>
  <si>
    <t>Semua sdh direncanakan sejak dini. By design. By covid . PPKM. Ujung2 periode. Gak tau nya nanti PPSI. People Power Selamatkan Indonesia. Jgn dikira semua rakyat akan diem. Jgn biarkan api dlm sekam membara. Adil lah wahai rezim...</t>
  </si>
  <si>
    <t>Percuma ga sih ppkm jakarta doang, giliran weekend pada ke bogor, jalanan penuh plat B semua, tempat makan pada penuh di puncak. Berasa di puncak corona ga ada 🤦‍♀️</t>
  </si>
  <si>
    <t>Percuma ga sih ppkm jakarta doang, giliran weekend pada ke bogor, jalanan penuh plat B semua, tempat makan pada penuh di puncak. Berasa di puncak corona ga ada</t>
  </si>
  <si>
    <t>ppkm bakal diperpanjang ga nih?</t>
  </si>
  <si>
    <t>Akhirnyaaaa, bisa main lagi setelah PPKM yg ga selesei” huuuu...
 Btw kita tetep taat prokes guise, tapi pas foto dicopot abis tu pake lagi eheheh.
 📍Wulenpari, Gunung Kidul https://t.co/19y1a46PsW</t>
  </si>
  <si>
    <t>Akhirnyaaaa, bisa main lagi setelah PPKM yg ga selesei huuuu...Btw kita tetep taat prokes guise, tapi pas foto dicopot abis tu pake lagi eheheh.Wulenpari, Gunung Kidul</t>
  </si>
  <si>
    <t>george mah ngingetin mulu, udh tau sini lg ppkm @.dah</t>
  </si>
  <si>
    <t>george mah ngingetin mulu, udh tau sini lg ppkm .dah</t>
  </si>
  <si>
    <t>Ppkm diperpanjang seminggu sekali kyk updatean anime</t>
  </si>
  <si>
    <t>Eropa : Suporter sepak bola / jns olahraga lain menonton ditribun tnp masker, tnp jaga jarak, apakah krn sdh vaksin 1,2 atau bahkan 3 ya??
 Lalu NKRI bagaimana? Msh fokus Vaksin, PPKM atau Bisniskah??😭
 Kasian Rakyat pak di Prank
 @jokowi 
 @ganjarpranowo</t>
  </si>
  <si>
    <t>Eropa : Suporter sepak bola / jns olahraga lain menonton ditribun tnp masker, tnp jaga jarak, apakah krn sdh vaksin atau bahkan ya??Lalu NKRI bagaimana? Msh fokus Vaksin, PPKM atau Bisniskah??Kasian Rakyat pak di Prank</t>
  </si>
  <si>
    <t>Ppkm diperpanjang gak ya? Klo kasih pengumuman jgn mlm dong @jokowi !</t>
  </si>
  <si>
    <t>Ppkm diperpanjang gak ya? Klo kasih pengumuman jgn mlm dong !</t>
  </si>
  <si>
    <t>@Sofy_Beeeeee Kok mirip PPKM mas Dodo🤣</t>
  </si>
  <si>
    <t>Kok mirip PPKM mas Dodo</t>
  </si>
  <si>
    <t>Pusing w klo ude gini, ppkm ppkm tai lah.</t>
  </si>
  <si>
    <t>@FaldoMaldini Standarmu ganda, lagian jauh amat mikirmu do; kerumunan itu melanggar aturan PPKM dan membahayakan publik dimasa pandemi. Itu di depan mata lo, dan lo diem saja #mikir</t>
  </si>
  <si>
    <t>Standarmu ganda, lagian jauh amat mikirmu do; kerumunan itu melanggar aturan PPKM dan membahayakan publik dimasa pandemi. Itu di depan mata lo, dan lo diem saja</t>
  </si>
  <si>
    <t>@Jangkrikgengg15 @republikaonline Buruh lokal bnyak yg di phk krn ppkm TKA china berdatangan apa tu disebut pemimpin yg adil</t>
  </si>
  <si>
    <t>Buruh lokal bnyak yg di phk krn ppkm TKA china berdatangan apa tu disebut pemimpin yg adil</t>
  </si>
  <si>
    <t>hdehh gblk gblkkkkk sadar dle sedikit ppkm nih anjing</t>
  </si>
  <si>
    <t>@DeProject6 Mungkin karena efek ppkm, gabut ga ada kerjaan...</t>
  </si>
  <si>
    <t>Mungkin karena efek ppkm, gabut ga ada kerjaan...</t>
  </si>
  <si>
    <t>Dan kalo udah ga PPKM aku ingin sekali ke pak lam, tidurku sangat tidak beres darikemaren 🥲</t>
  </si>
  <si>
    <t>Dan kalo udah ga PPKM aku ingin sekali ke pak lam, tidurku sangat tidak beres darikemaren</t>
  </si>
  <si>
    <t>Bagaimana kalau PPKM di perpanjang pak??? https://t.co/MK9g1RzQxU</t>
  </si>
  <si>
    <t>Bagaimana kalau PPKM di perpanjang pak???</t>
  </si>
  <si>
    <t>@tubirfess Mending nungguin hilal ppkm perpanjang apa kaga hahahaha</t>
  </si>
  <si>
    <t>Mending nungguin hilal ppkm perpanjang apa kaga hahahaha</t>
  </si>
  <si>
    <t>Pelan-pelan ye pak. Supaya mobilitas diperbolehkan tapi PPKM dilanjutkan 🙃 https://t.co/H7731xzKc8</t>
  </si>
  <si>
    <t>Pelan-pelan ye pak. Supaya mobilitas diperbolehkan tapi PPKM dilanjutkan</t>
  </si>
  <si>
    <t>@yulianidwia Bosen li, ppkm mulu :(</t>
  </si>
  <si>
    <t>Bosen li, ppkm mulu</t>
  </si>
  <si>
    <t>Senin WFH, Selasa tanggal merah. Ini kalau gak PPKM gue udah kabur liburan *canda kabur :)</t>
  </si>
  <si>
    <t>Senin WFH, Selasa tanggal merah. Ini kalau gak PPKM gue udah kabur liburan *canda kabur</t>
  </si>
  <si>
    <t>Sempet2 lgi PPKM gini si rafathar bikin birthday party 🤦🏽‍♀️ kocak</t>
  </si>
  <si>
    <t>Sempet2 lgi PPKM gini si rafathar bikin birthday party kocak</t>
  </si>
  <si>
    <t>@aulllzr Ppkm di undur terus prennn</t>
  </si>
  <si>
    <t>Ppkm di undur terus prennn</t>
  </si>
  <si>
    <t>Rindu jugaa bau panggangan daging 😂 Tempat ku kerja udah semua di vaksin , taat banget prokes nya buat crew maupun customer, aku akuin jempolan banget soal Prokes.. yah semoga PPKM segera berlalu biar rejeki tetep ada terus 🙂🙂</t>
  </si>
  <si>
    <t>Rindu jugaa bau panggangan daging Tempat ku kerja udah semua di vaksin , taat banget prokes nya buat crew maupun customer, aku akuin jempolan banget soal Prokes.. yah semoga PPKM segera berlalu biar rejeki tetep ada terus</t>
  </si>
  <si>
    <t>tapi pros and cons juga sih sm kasus ini, sebenernya gapapa buka pas ppkm asal sesuai peraturan yang ada, cuma udah beberapa kali liat emg pelanggannya makan di tempat dan berkerumun (banget) yang artinya juga gak taat prokes jadi ya langsung dibubarin paksa satp0l pp</t>
  </si>
  <si>
    <t>PPKM
 Vaksinasi Wujud BelaNegara https://t.co/TtZPpIVb9N</t>
  </si>
  <si>
    <t>PPKMVaksinasi Wujud BelaNegara</t>
  </si>
  <si>
    <t>Kita tebak2an diperpanjang tdk ppkm,? Pasti rakyat indonesia tau bgm kebijakan pemererintah belakangan ini kebijakan dicicil seminggu2 nambah2 gitu kan haaaaaa</t>
  </si>
  <si>
    <t>Libur selama ppkm, udah males Ya Allah kalau mesti ikut apel dulu buat pelatihan ni :((
 Bukan karna males bangun pagi, enggak. Cuman grgr kebijakan dr instansi nya itu lho yg bikin udah geudegmood duluan ~
 Astagfirullah</t>
  </si>
  <si>
    <t>Libur selama ppkm, udah males Ya Allah kalau mesti ikut apel dulu buat pelatihan ni Bukan karna males bangun pagi, enggak. Cuman grgr kebijakan dr instansi nya itu lho yg bikin udah geudegmood duluan ~Astagfirullah</t>
  </si>
  <si>
    <t>@halleluhellyeah Gak sia-sia kuliah ekonomi, ilmu marketingnya diterapkan dengan baik untuk mengatasi masalah perekonomian saat ppkm 😭😭😭</t>
  </si>
  <si>
    <t>Gak sia-sia kuliah ekonomi, ilmu marketingnya diterapkan dengan baik untuk mengatasi masalah perekonomian saat ppkm</t>
  </si>
  <si>
    <t>Assalamualaikum wr wb
 Met pagi warga TL met beraktivitas tetap disiplin prokes, taati PPKM, segera Vaksin tetap Semangat dg MERAH PUTIH🇲🇨🇲🇨🇲🇨✊✊✊ https://t.co/dK1MqI9IdR</t>
  </si>
  <si>
    <t>Assalamualaikum wr wbMet pagi warga TL met beraktivitas tetap disiplin prokes, taati PPKM, segera Vaksin tetap Semangat dg MERAH PUTIH</t>
  </si>
  <si>
    <t>@republikaonline Hadiah tujuh belasan..
 Semoga yaa segera dicabut ppkm, udah gak kuat pakde .</t>
  </si>
  <si>
    <t>Hadiah tujuh belasan..Semoga yaa segera dicabut ppkm, udah gak kuat pakde .</t>
  </si>
  <si>
    <t>@diiaphanouss Kaya ppkm aja</t>
  </si>
  <si>
    <t>Kaya ppkm aja</t>
  </si>
  <si>
    <t>Selamat pagi, jangan Kendorkan PPKM jika mereka semua belum 100 % di Vaksin. Karena selama ini Pun, mereka terus melanggar kebijakan Pemerintah Presiden @jokowi</t>
  </si>
  <si>
    <t>Selamat pagi, jangan Kendorkan PPKM jika mereka semua belum % di Vaksin. Karena selama ini Pun, mereka terus melanggar kebijakan Pemerintah Presiden</t>
  </si>
  <si>
    <t>Hari terakhir ppkm ..smoga selesai hari ini. back 2 normal</t>
  </si>
  <si>
    <t>Hari terakhir ppkm ..smoga selesai hari ini. back normal</t>
  </si>
  <si>
    <t>PSBB ama PPKM jauh lebih lama dari hubungan kalian. #janganbersalah #stevanuspv</t>
  </si>
  <si>
    <t>PSBB ama PPKM jauh lebih lama dari hubungan kalian.</t>
  </si>
  <si>
    <t>Tanggal 16 ini hari terakhir PPKM nggak sih?</t>
  </si>
  <si>
    <t>Tanggal ini hari terakhir PPKM nggak sih?</t>
  </si>
  <si>
    <t>@JoeklySinaga18 Selamat pagi Jacky .. 
  senin ini tetap sehat2 semua keluarga... PPKM sudah berhasil semoga saja akan berakhir pandemi di Indonesia.</t>
  </si>
  <si>
    <t>Selamat pagi Jacky .. senin ini tetap sehat2 semua keluarga... PPKM sudah berhasil semoga saja akan berakhir pandemi di Indonesia.</t>
  </si>
  <si>
    <t>@FKadrun Mereka yg korupsi ulama yg ditangkap, mereka yg bunuh mayat jadi tersangka,, warga wajib vaksin masih saja kena pandemi, disuruh ppkm dia malah buat kerumunan, dibodohin org guoblok ko mau aja ya 😄</t>
  </si>
  <si>
    <t>Mereka yg korupsi ulama yg ditangkap, mereka yg bunuh mayat jadi tersangka,, warga wajib vaksin masih saja kena pandemi, disuruh ppkm dia malah buat kerumunan, dibodohin org guoblok ko mau aja ya</t>
  </si>
  <si>
    <t>Berita be like, "PPKM selesai hari ini."
 Halah eek, ntar juga diperpanjang lagi. Pemerintah tuh lebih plin plan daripada kamu.
 Eh bukan plin plan sih, tapi bukan tidak konsisten juga, apa ya..</t>
  </si>
  <si>
    <t>Berita be like, "PPKM selesai hari ini."Halah eek, ntar juga diperpanjang lagi. Pemerintah tuh lebih plin plan daripada kamu.Eh bukan plin plan sih, tapi bukan tidak konsisten juga, apa ya..</t>
  </si>
  <si>
    <t>@convomf libur anjing dr awal ppkm</t>
  </si>
  <si>
    <t>libur anjing dr awal ppkm</t>
  </si>
  <si>
    <t>kangen PPKM. Semoga liburan ngga diperpanjang lagi.
 #sarkasme</t>
  </si>
  <si>
    <t>kangen PPKM. Semoga liburan ngga diperpanjang lagi.</t>
  </si>
  <si>
    <t>Plis plis bgt rv cb ppkm jgn diperpanjang lagi
 #레드벨벳퀸덤_라띠라뚜빠빠디라 
 #DdaytoQueendom #RedVelvet
 @RVsmtown</t>
  </si>
  <si>
    <t>Plis plis bgt rv cb ppkm jgn diperpanjang lagi</t>
  </si>
  <si>
    <t>Proses 
 Persiapan
 Kemiskinan 
 Masyarakat 
 Ya ppkm hanya untuk warga negara indonesia semata sementara di lain sisi untuk mengecok perhatian rakyat indonesia yg mana warga negara asing asal tiongkok terus berdatangan</t>
  </si>
  <si>
    <t>Proses PersiapanKemiskinan Masyarakat Ya ppkm hanya untuk warga negara indonesia semata sementara di lain sisi untuk mengecok perhatian rakyat indonesia yg mana warga negara asing asal tiongkok terus berdatangan</t>
  </si>
  <si>
    <t>HARI TERAKHIR PPKM GASI?? 
 #레드벨벳퀸덤_라띠라뚜빠빠디라 
 #DdaytoQueendom #RedVelvet
 @RVsmtown</t>
  </si>
  <si>
    <t>HARI TERAKHIR PPKM GASI??</t>
  </si>
  <si>
    <t>05.51 overthinking level: PPKM diperpanjang lagi ga?</t>
  </si>
  <si>
    <t>overthinking level: PPKM diperpanjang lagi ga?</t>
  </si>
  <si>
    <t>menunggu ppkm yg tiada hentinya jd beli online ajaa~
 allhamdulillah 🤩💗 https://t.co/XKgFSy8DR3 https://t.co/o9E09nZNIs</t>
  </si>
  <si>
    <t>menunggu ppkm yg tiada hentinya jd beli online ajaa~allhamdulillah</t>
  </si>
  <si>
    <t>@treasurebabble ppkm braderr</t>
  </si>
  <si>
    <t>ppkm braderr</t>
  </si>
  <si>
    <t>@wiji_pri Pagi jg...slm sehat y...biar selesai PPKM nya</t>
  </si>
  <si>
    <t>Pagi jg...slm sehat y...biar selesai PPKM nya</t>
  </si>
  <si>
    <t>@aelabiyu Nnti buka kalo udah ga ppkm wakwak</t>
  </si>
  <si>
    <t>Nnti buka kalo udah ga ppkm wakwak</t>
  </si>
  <si>
    <t>@detikcom Andaikan presiden pilihan mrk si wowo yg menang, apa mrk bakal diurus? Sy rasa belum tentu. Stres gr2 ppkm boleh goblok jangan</t>
  </si>
  <si>
    <t>Andaikan presiden pilihan mrk si wowo yg menang, apa mrk bakal diurus? Sy rasa belum tentu. Stres gr2 ppkm boleh goblok jangan</t>
  </si>
  <si>
    <t>@bareksacom PPKM yang telah diterapkan mampu mengatasi kasus harian pandemi. Semoga ini menjadi harapan agar perekonomian normal kembali.</t>
  </si>
  <si>
    <t>PPKM yang telah diterapkan mampu mengatasi kasus harian pandemi. Semoga ini menjadi harapan agar perekonomian normal kembali.</t>
  </si>
  <si>
    <t>Semenjak PPKM semua terhambat, mau ke bank aja susahnya https://t.co/UoyJb519G4</t>
  </si>
  <si>
    <t>Semenjak PPKM semua terhambat, mau ke bank aja susahnya</t>
  </si>
  <si>
    <t>@jsamodra @nayaoktiana Disana PPKM level 1 ya?</t>
  </si>
  <si>
    <t>Disana PPKM level ya?</t>
  </si>
  <si>
    <t>@htmpth_ Capek Ppkm Ya?? Sama Kok Aku Juga :'(</t>
  </si>
  <si>
    <t>Capek Ppkm Ya?? Sama Kok Aku Juga :'(</t>
  </si>
  <si>
    <t>DUPERPANJANG GA YA INI PPKM NYA</t>
  </si>
  <si>
    <t>Selamat pagi ppkm terakhirrr :v</t>
  </si>
  <si>
    <t>@istripapichulo0 Woi semoga hari ini bener hari terakhir PPKM !</t>
  </si>
  <si>
    <t>Woi semoga hari ini bener hari terakhir PPKM !</t>
  </si>
  <si>
    <t>@FKadrun Om.... Tau nggak yang milih dia itu rata-rata semuanya sudah mati karna korona..belum sempat tobat 😁
 Ada sih yang masih tersisa itupun sudah kurus kurus semua karena kelaparan disebabkan PPKM. 
 Semoga mereka semua cepat mati sebelum bertobat..... 
 Amiiiin</t>
  </si>
  <si>
    <t>Om.... Tau nggak yang milih dia itu rata-rata semuanya sudah mati karna korona..belum sempat tobat Ada sih yang masih tersisa itupun sudah kurus kurus semua karena kelaparan disebabkan PPKM. Semoga mereka semua cepat mati sebelum bertobat..... Amiiiin</t>
  </si>
  <si>
    <t>@not_bashert Nnti dulu, wkek ppkm 🤣</t>
  </si>
  <si>
    <t>Nnti dulu, wkek ppkm</t>
  </si>
  <si>
    <t>Ppkm belom kelar ini knp tbtb ngedadak wfo sihhhh kn bmst kesel bgt</t>
  </si>
  <si>
    <t>Ayo siapa yg masih ke gocek sama kebijakan ppkm syalan ini</t>
  </si>
  <si>
    <t>@BloonGebuk @HeyyFarahhhh Si goblok ini asal mangap aja 
 Itu dia jelasin bukan 'memaksa'
 Tau ga njinkk ppkm darurat smape sekarang mesti kemana2 pake kartu vaksin,dan ga semua orang bisa disuntik karena komorbid tolol</t>
  </si>
  <si>
    <t>Si goblok ini asal mangap aja Itu dia jelasin bukan 'memaksa'Tau ga njinkk ppkm darurat smape sekarang mesti kemana2 pake kartu vaksin,dan ga semua orang bisa disuntik karena komorbid tolol</t>
  </si>
  <si>
    <t>Tanda-tanda PPKM segera berakhir https://t.co/rYUEDtPPqx</t>
  </si>
  <si>
    <t>Tanda-tanda PPKM segera berakhir</t>
  </si>
  <si>
    <t>yey PPKM hari terakhir</t>
  </si>
  <si>
    <t>[askrl] ini kira kira ppkm diperpanjang lg ga ya? pingin kekosan ambil barang :((</t>
  </si>
  <si>
    <t>[askrl] ini kira kira ppkm diperpanjang lg ga ya? pingin kekosan ambil barang</t>
  </si>
  <si>
    <t>@jokowi Masyarakat sudah Sangat Lelah Dengan PPKM ini pak. Tolong kasihani kami. mari kita hentikan ppkm Terahir ini. Dan tetap Prokes. kami sudah sangat menjerit terjepit perkara pembatasan ini. :'(</t>
  </si>
  <si>
    <t>Masyarakat sudah Sangat Lelah Dengan PPKM ini pak. Tolong kasihani kami. mari kita hentikan ppkm Terahir ini. Dan tetap Prokes. kami sudah sangat menjerit terjepit perkara pembatasan ini. :'(</t>
  </si>
  <si>
    <t>PPKM perpanjang aja yok, biar gua libur PKL ya minimal 2 Minggu lah.. gua udh cape bgt anjg di kitchen apalagi gabisa pindah ke pastry. baru kali ini gua pengen sekongkol Ama pemerintah buat perpanjang PPKM :)</t>
  </si>
  <si>
    <t>PPKM perpanjang aja yok, biar gua libur PKL ya minimal Minggu lah.. gua udh cape bgt anjg di kitchen apalagi gabisa pindah ke pastry. baru kali ini gua pengen sekongkol Ama pemerintah buat perpanjang PPKM</t>
  </si>
  <si>
    <t>di tunda mulu kaya ppkm</t>
  </si>
  <si>
    <t>PPKM : Perbanyak Pergi Ke Masjid https://t.co/fHkLMbtWEs</t>
  </si>
  <si>
    <t>PPKM : Perbanyak Pergi Ke Masjid</t>
  </si>
  <si>
    <t>Mendekati detik detik pergantian nama untuk PPKM :)</t>
  </si>
  <si>
    <t>Mendekati detik detik pergantian nama untuk PPKM</t>
  </si>
  <si>
    <t>Ini lagi PPKM jadi gak bisa nerima tamu, tapi aku bisanya nerima kamu
 AWOKAWOK</t>
  </si>
  <si>
    <t>Ini lagi PPKM jadi gak bisa nerima tamu, tapi aku bisanya nerima kamuAWOKAWOK</t>
  </si>
  <si>
    <t>mau kembali ke jalan yang benar eh jalannya ditutup soalnya PPKM</t>
  </si>
  <si>
    <t>Semoga hari ini PPKM selesai, dia bisa ujian, lulus, dan pulang 🙏</t>
  </si>
  <si>
    <t>Semoga hari ini PPKM selesai, dia bisa ujian, lulus, dan pulang</t>
  </si>
  <si>
    <t>@N4T0_ @NoryckP @VLAMINORA Jadi, silakan aja kalau nggak/belum mau vaksin. Tp ya mesti dirumah aja atau dibatasi mobilitasnya smp nunggu herd immunitynya tercapai.
 Kita juga sama2 jengah, anjing! Kita juga bosen PPKM. Makannya lu lu yg g mau vaksin ya dirumah dulu aja. Biar nggak menuh2in RS kek kemarin.</t>
  </si>
  <si>
    <t>Jadi, silakan aja kalau nggak/belum mau vaksin. Tp ya mesti dirumah aja atau dibatasi mobilitasnya smp nunggu herd immunitynya tercapai.Kita juga sama2 jengah, anjing! Kita juga bosen PPKM. Makannya lu lu yg g mau vaksin ya dirumah dulu aja. Biar nggak menuh2in RS kek kemarin.</t>
  </si>
  <si>
    <t>-rl Ini mungkin kelewat bulol ya tapi aku kangen pacarku sampe gerdku kambuh dan jadi ga tidur semaleman.... (Dari awal PPKM udah berantakan jam tidurnya) :(</t>
  </si>
  <si>
    <t>-rl Ini mungkin kelewat bulol ya tapi aku kangen pacarku sampe gerdku kambuh dan jadi ga tidur semaleman.... (Dari awal PPKM udah berantakan jam tidurnya)</t>
  </si>
  <si>
    <t>@butakara Efek ppkm ini teh?</t>
  </si>
  <si>
    <t>Efek ppkm ini teh?</t>
  </si>
  <si>
    <t>Kalo 17 an ada lomba bertahan hidup ditengah PPKM. Pasti banyak yg menang</t>
  </si>
  <si>
    <t>Kalo an ada lomba bertahan hidup ditengah PPKM. Pasti banyak yg menang</t>
  </si>
  <si>
    <t>@jembermfs emg ada yang buka ya ppkm gini? 
 btw H2O aman kok buat cewe, rame-rame gitu pokonya</t>
  </si>
  <si>
    <t>emg ada yang buka ya ppkm gini? btw H2O aman kok buat cewe, rame-rame gitu pokonya</t>
  </si>
  <si>
    <t>ppkm masih lanjut apa ga sih?</t>
  </si>
  <si>
    <t>@marcownay @AREAJULID Contohnya makan 7 menit yg ternyata bisa diterapkan ketika dine in di ppkm level 4.</t>
  </si>
  <si>
    <t>Contohnya makan menit yg ternyata bisa diterapkan ketika dine in di ppkm level .</t>
  </si>
  <si>
    <t>PPKM (Pagi Pagi Kena Mental)
 Press F</t>
  </si>
  <si>
    <t>PPKM (Pagi Pagi Kena Mental)Press F</t>
  </si>
  <si>
    <t>[askrl] bank bank di daerah kalian pada tutup jam berapa klo lagi ppkm gini?</t>
  </si>
  <si>
    <t>Yuk ppkm udahan yuk, udah kangen live music 🥲 https://t.co/gqowl3NQcm</t>
  </si>
  <si>
    <t>Yuk ppkm udahan yuk, udah kangen live music</t>
  </si>
  <si>
    <t>@atmanug La kok kayak ppkm</t>
  </si>
  <si>
    <t>La kok kayak ppkm</t>
  </si>
  <si>
    <t>@setkabgoid @jokowi Pidato tak penting. Jauh lbh penting solusi perut rakyat yg lapar gara2 ppkm dan ekonomi yg nyungsep</t>
  </si>
  <si>
    <t>Pidato tak penting. Jauh lbh penting solusi perut rakyat yg lapar gara2 ppkm dan ekonomi yg nyungsep</t>
  </si>
  <si>
    <t>Buatku, PBESI mending fokus aja sama atlet, jangan terjun dalam ke ranah yang merujuk pada industri game. Atlet aja masih banyak yang digaji lebih murah dari guru honor, equipment terbatas, sampe game house yang kurang nyaman. Ah, gelo sugan peraturan teh. Auah, poek ku PPKM ge!</t>
  </si>
  <si>
    <t>PPKM (Pelan Pelan Kita Mati)</t>
  </si>
  <si>
    <t>sekarang di beberapa kota berlaku peraturan ganjil-genap selama PPKM. kasian yang plat nomotnya genap pas lg tgl 31-1 gak bisa kemana2 2 hari😁</t>
  </si>
  <si>
    <t>sekarang di beberapa kota berlaku peraturan ganjil-genap selama PPKM. kasian yang plat nomotnya genap pas lg tgl $NUMBER$ gak bisa kemana2 hari</t>
  </si>
  <si>
    <t>@melepaskankamu @zorxv_ @dvprdna @collegemenfess Setahuku nih dosen dosen juga selalu menekankan buat jangan memberatkan mahasiswa apalagi situasi ppkm kaya gini. Setidaknya nih panitia beri kelonggaran buat tugasnya kalo dah banyak Jan diperketat</t>
  </si>
  <si>
    <t>Setahuku nih dosen dosen juga selalu menekankan buat jangan memberatkan mahasiswa apalagi situasi ppkm kaya gini. Setidaknya nih panitia beri kelonggaran buat tugasnya kalo dah banyak Jan diperketat</t>
  </si>
  <si>
    <t>libur kuliah, ppkm udahan dong?</t>
  </si>
  <si>
    <t>@rvinaldya Tukang martabaknya tutup PPKM</t>
  </si>
  <si>
    <t>Tukang martabaknya tutup PPKM</t>
  </si>
  <si>
    <t>sedih mengingat doi yg pernah ngajakin nonton sebelum akhirnya malah ada ppkm.... https://t.co/VoPaFhYG6M</t>
  </si>
  <si>
    <t>sedih mengingat doi yg pernah ngajakin nonton sebelum akhirnya malah ada ppkm....</t>
  </si>
  <si>
    <t>Udah bingung mau bilang apa sebel ga beres beres ppkm nya ah tau ah pusing.</t>
  </si>
  <si>
    <t>@tvOneNews Sdh ppkm cari duit susah makan pun susah ...eh ini ..</t>
  </si>
  <si>
    <t>Sdh ppkm cari duit susah makan pun susah ...eh ini ..</t>
  </si>
  <si>
    <t>ppkm jawa bali diperpanjang sampai kapan</t>
  </si>
  <si>
    <t>@FaldoMaldini Do do...bicara UU, pasal karantina ada UU nya kalau PSBB PPKM emang ada UU nya ???</t>
  </si>
  <si>
    <t>Do do...bicara UU, pasal karantina ada UU nya kalau PSBB PPKM emang ada UU nya ???</t>
  </si>
  <si>
    <t>@RadioElshinta @ElshintaTegal_ Ppkm lg g</t>
  </si>
  <si>
    <t>Ppkm lg g</t>
  </si>
  <si>
    <t>Pagi ini dapet info dari sopir gocar katanya sih ppkm diperpanjang selama 6 minggu. Sopir gocar ini dpt info dari penumpangnya di tgl 18 juli lalu. Katanya sih penumpangnya ini polisi. 
 Brrti kalo dihitung dari hari ini ppkm nambah 2 minggu lagi. Let’s see🤙🏻</t>
  </si>
  <si>
    <t>Pagi ini dapet info dari sopir gocar katanya sih ppkm diperpanjang selama minggu. Sopir gocar ini dpt info dari penumpangnya di tgl juli lalu. Katanya sih penumpangnya ini polisi. Brrti kalo dihitung dari hari ini ppkm nambah minggu lagi. Lets see</t>
  </si>
  <si>
    <t>akhirnya usai sudah drama PPKM, semoga tidak ada lanjutan nya aminn</t>
  </si>
  <si>
    <t>#RekanCommuters mari kita maksimalkan upaya mencegah penyebaran virus Covid-19 di tengah Masa PPKM Darurat ini. KAI Commuter mengajak masyarakat untuk #tetapDiRumahAja dan mengurangi aktivitas keluar rumah yang tidak mendesak. |1 https://t.co/XRbwRBmDNb</t>
  </si>
  <si>
    <t>mari kita maksimalkan upaya mencegah penyebaran virus Covid-19 di tengah Masa PPKM Darurat ini. KAI Commuter mengajak masyarakat untuk dan mengurangi aktivitas keluar rumah yang tidak mendesak. |1</t>
  </si>
  <si>
    <t>@cuitantheboyz Mau ada acara nikahan Kevin sm ak kak🙏 tp maaf ya klian gk diundang, ppkm🙏</t>
  </si>
  <si>
    <t>Mau ada acara nikahan Kevin sm ak kak tp maaf ya klian gk diundang, ppkm</t>
  </si>
  <si>
    <t>@90kyriz terhalang ppkm tp:(((</t>
  </si>
  <si>
    <t>terhalang ppkm tp</t>
  </si>
  <si>
    <t>@terbulkeju_ Jelas ide dari orang2 tua dan pegawai PNS pada umumnya yg sering mondar-mandir antarkota ga peduli PPKM Level HOT</t>
  </si>
  <si>
    <t>Jelas ide dari orang2 tua dan pegawai PNS pada umumnya yg sering mondar-mandir antarkota ga peduli PPKM Level HOT</t>
  </si>
  <si>
    <t>@kemomail1 @collegemenfess iya g blh msh ppkm</t>
  </si>
  <si>
    <t>iya g blh msh ppkm</t>
  </si>
  <si>
    <t>@PDI_Perjuangan Pikir nya buat rakyat uang ratusan juta itu gampang?, Itu baru 1 org, sekeluarga? Lihat ke bawah , jgn menengah keatas, ktnya wong cilik membela rakyat cilik, gratisin harusnya. Dg PPKM saja rakyat sdh dibuat susah cari nafkah.</t>
  </si>
  <si>
    <t>Pikir nya buat rakyat uang ratusan juta itu gampang?, Itu baru org, sekeluarga? Lihat ke bawah , jgn menengah keatas, ktnya wong cilik membela rakyat cilik, gratisin harusnya. Dg PPKM saja rakyat sdh dibuat susah cari nafkah.</t>
  </si>
  <si>
    <t>ppkm corona singkatan dari</t>
  </si>
  <si>
    <t>@txtdrpemerintah Biar bisa survive ditengah PPKM berjilid2 harus coba menu baru. 
 Kepak sayap kebi.. Eh madu.
 Bisa juga jual frozennya di tokped. tokopede..... Ilang sinyal</t>
  </si>
  <si>
    <t>Biar bisa survive ditengah PPKM berjilid2 harus coba menu baru. Kepak sayap kebi.. Eh madu.Bisa juga jual frozennya di tokped. tokopede..... Ilang sinyal</t>
  </si>
  <si>
    <t>@jooselaluwinner pagi Bro、kemaren saya lap semua sneakers、bebas dari debu trus masukin lagi kebox.ppkm tdk bisa kemana2.</t>
  </si>
  <si>
    <t>pagi Brokemaren saya lap semua sneakersbebas dari debu trus masukin lagi kebox.ppkm tdk bisa kemana2.</t>
  </si>
  <si>
    <t>@xxibxvrn @UNSfess_ Ahiya maaf, itu pas sebelum ppkm lvl 4</t>
  </si>
  <si>
    <t>Ahiya maaf, itu pas sebelum ppkm lvl</t>
  </si>
  <si>
    <t>Antara demo dan ppkm sepertinya berpacu dalam melodi.</t>
  </si>
  <si>
    <t>PPKM gapapa jalan ditutup, tapi tolong yg jualan makanan tengah malam sampe pagi tetap buka dong. Saya orgnya suka lapar malam malam</t>
  </si>
  <si>
    <t>Smoga kuliah mu di prpanjang sprti ppkm https://t.co/OXPYz7I75e</t>
  </si>
  <si>
    <t>Smoga kuliah mu di prpanjang sprti ppkm</t>
  </si>
  <si>
    <t>@xoxxuci ppkm aja diperpanjang mlu tp chat gw pendek mlu 😓😓</t>
  </si>
  <si>
    <t>ppkm aja diperpanjang mlu tp chat gw pendek mlu</t>
  </si>
  <si>
    <t>@AREAJULID Ini katingnya apa ga mikir lg pandemi dan lg PPKM? kan tujuan utama dibikin jadi onlen tuh ya biar mobilitas jd terbatas gitu loh. Kapan selesenya anjir kalo org2 yg emg sulit buat bepergian malah disuruh pergi2.</t>
  </si>
  <si>
    <t>Ini katingnya apa ga mikir lg pandemi dan lg PPKM? kan tujuan utama dibikin jadi onlen tuh ya biar mobilitas jd terbatas gitu loh. Kapan selesenya anjir kalo org2 yg emg sulit buat bepergian malah disuruh pergi2.</t>
  </si>
  <si>
    <t>PPKM membuat langkah ku terbelenggu. Ah sial, padahal rencana nya tahun ini akan lebih menantang petualangan ku.</t>
  </si>
  <si>
    <t>@detikcom Duh.. dikira enak apa cari duit jaman bapak sekarang ini.... mana PPKM makin panjang lagi.. 😅</t>
  </si>
  <si>
    <t>Duh.. dikira enak apa cari duit jaman bapak sekarang ini.... mana PPKM makin panjang lagi..</t>
  </si>
  <si>
    <t>Ditunggu pengumumannya Je Ote-Ote.
 Apakah ingin mempersingkat masa PPKM dari member Alfamart33, yang foto sendalnya kesebar.</t>
  </si>
  <si>
    <t>Ditunggu pengumumannya Je Ote-Ote.Apakah ingin mempersingkat masa PPKM dari member Alfamart33, yang foto sendalnya kesebar.</t>
  </si>
  <si>
    <t>@setkabgoid @jokowi PPKM akan diperpanjang, gmn pesanan</t>
  </si>
  <si>
    <t>PPKM akan diperpanjang, gmn pesanan</t>
  </si>
  <si>
    <t>PPKM membuat ku semangkin gembul 🤣🤣
 Ya... Karna aq pemalas.. Kerjaannya di hp ya ga gerak pula</t>
  </si>
  <si>
    <t>PPKM membuat ku semangkin gembul Ya... Karna aq pemalas.. Kerjaannya di hp ya ga gerak pula</t>
  </si>
  <si>
    <t>PPKM ga beres², project w ga rampung²</t>
  </si>
  <si>
    <t>PPKM ga beres, project w ga rampung</t>
  </si>
  <si>
    <t>@WioReflia Lagi PPKM. Semua jasa ditutup.</t>
  </si>
  <si>
    <t>Lagi PPKM. Semua jasa ditutup.</t>
  </si>
  <si>
    <t>Siap2 nanti ada pengumuman PPKM di perpanjang lagi. Gajadi kerja lagi. Miskin lagi. https://t.co/LclSRcyXDT</t>
  </si>
  <si>
    <t>Siap2 nanti ada pengumuman PPKM di perpanjang lagi. Gajadi kerja lagi. Miskin lagi.</t>
  </si>
  <si>
    <t>Ppkm teh uda selesai apa belom si?</t>
  </si>
  <si>
    <t>@adrien_tim Kan ppkm nyaa d perpanjng muulu..
 Sampe gk kerasa kan udh bbrp minggu🤣</t>
  </si>
  <si>
    <t>Kan ppkm nyaa d perpanjng muulu..Sampe gk kerasa kan udh bbrp minggu</t>
  </si>
  <si>
    <t>@keyshasalma Ya keluar dong abis ppkm</t>
  </si>
  <si>
    <t>Ya keluar dong abis ppkm</t>
  </si>
  <si>
    <t>@radenrauf PPKM diperpanjang sama kamu sadar walaupun raganya menjadi milikmu tapi hatinya hanya milik yg lain</t>
  </si>
  <si>
    <t>PPKM diperpanjang sama kamu sadar walaupun raganya menjadi milikmu tapi hatinya hanya milik yg lain</t>
  </si>
  <si>
    <t>PPKM diperpanjang, awet ya... kaya perasaan aku ke kamu, awet. *iisshh</t>
  </si>
  <si>
    <t>Tetep ngadain lomba 17agsts walopun PPKM</t>
  </si>
  <si>
    <t>Tetep ngadain lomba agsts walopun PPKM</t>
  </si>
  <si>
    <t>@banjarbase Keitu tarus mauk banar, kasian rakyat2 kecil gegara ppkm nih malah di gaya akan keitu 😭</t>
  </si>
  <si>
    <t>Keitu tarus mauk banar, kasian rakyat2 kecil gegara ppkm nih malah di gaya akan keitu</t>
  </si>
  <si>
    <t>Ngetwit ginian karena sebel ppkm diperpanjang mulu HAHAHAHAHAHA</t>
  </si>
  <si>
    <t>Yoga = PPKM
 Pria Pria Kena Mental.</t>
  </si>
  <si>
    <t>Yoga = PPKMPria Pria Kena Mental.</t>
  </si>
  <si>
    <t>@Bambangirwant12 @bareksacom Benar sekali, sejak PPKM ini investor lebih berhati-hati saat mau ambil keputusan dan mengambil strategi yang pas</t>
  </si>
  <si>
    <t>Benar sekali, sejak PPKM ini investor lebih berhati-hati saat mau ambil keputusan dan mengambil strategi yang pas</t>
  </si>
  <si>
    <t>Ppkm di perpanjang sampe kamu sadar kalo kamu itu cuma badutnya dia doang.</t>
  </si>
  <si>
    <t>Update peraturan yg ketinggalan dan level PPKM per wilayah per minggu dengan gimmick perpanjangan PPKM.</t>
  </si>
  <si>
    <t>PPKM di perpanjang sampai kamu menerimaku apa adanya🧐🧐</t>
  </si>
  <si>
    <t>PPKM di perpanjang sampai kamu menerimaku apa adanya</t>
  </si>
  <si>
    <t>wdyt nih ppkm dilanjut lagi?
 yg LDR dan ga punya kendaraan pribadi kaya saya udh stress ga karuan😖</t>
  </si>
  <si>
    <t>wdyt nih ppkm dilanjut lagi?yg LDR dan ga punya kendaraan pribadi kaya saya udh stress ga karuan</t>
  </si>
  <si>
    <t>@MyYoongi29 bolehhh 😍 tapi nunggu ppkm selesai dulu ya😍</t>
  </si>
  <si>
    <t>bolehhh tapi nunggu ppkm selesai dulu ya</t>
  </si>
  <si>
    <t>Ppkm di perpanjang kah?</t>
  </si>
  <si>
    <t>@radenrauf ppkm diperpanjang sampe anak kostan gak masak mie instan pake rice cooker</t>
  </si>
  <si>
    <t>ppkm diperpanjang sampe anak kostan gak masak mie instan pake rice cooker</t>
  </si>
  <si>
    <t>@kostanalter Main tebak-tebakan kapan ppkm kelar</t>
  </si>
  <si>
    <t>Main tebak-tebakan kapan ppkm kelar</t>
  </si>
  <si>
    <t>@khoirunnisakw Iyooo heee aku gara2 ppkm wfh terus jd pengen balik Malaaang 🥺🥺</t>
  </si>
  <si>
    <t>Iyooo heee aku gara2 ppkm wfh terus jd pengen balik Malaaang</t>
  </si>
  <si>
    <t>Ppkm diperpanjang 23 agustus</t>
  </si>
  <si>
    <t>Ppkm diperpanjang agustus</t>
  </si>
  <si>
    <t>@Naaoolll Ntar perayaan 17 agustus dulu baru PPKM lagi 😁</t>
  </si>
  <si>
    <t>Ntar perayaan agustus dulu baru PPKM lagi</t>
  </si>
  <si>
    <t>@radenrauf PPKM diperpanjang sampai aku dan kamu duduk dipelaminan🥰Pakcepak cepak cepak jeder🤙🏻</t>
  </si>
  <si>
    <t>PPKM diperpanjang sampai aku dan kamu duduk dipelaminanPakcepak cepak cepak jeder</t>
  </si>
  <si>
    <t>@DKIJakarta pagi, saya ingin bertanya apakah diizinkan mengadakan lomba di tengah ppkm lvl 4 yg skrg ini???</t>
  </si>
  <si>
    <t>pagi, saya ingin bertanya apakah diizinkan mengadakan lomba di tengah ppkm lvl yg skrg ini???</t>
  </si>
  <si>
    <t>@mhdarief2208 Dan pada akhirnya yang aku butuhkan adalah uang apalagi ppkm di perpanjangan dah lah uang pokonya😁😂</t>
  </si>
  <si>
    <t>Dan pada akhirnya yang aku butuhkan adalah uang apalagi ppkm di perpanjangan dah lah uang pokonya</t>
  </si>
  <si>
    <t>@detikcom Bantuan ppkm dong pak 4juta aja sebulan udah cukup ko</t>
  </si>
  <si>
    <t>Bantuan ppkm dong pak juta aja sebulan udah cukup ko</t>
  </si>
  <si>
    <t>Ppkm dah kayak ditop up, tiap minggu nambah mulu</t>
  </si>
  <si>
    <t>@BejoNuswantoro Lagi kena ppkm neh, disuru sabar dulu sama luhut 😢</t>
  </si>
  <si>
    <t>Lagi kena ppkm neh, disuru sabar dulu sama luhut</t>
  </si>
  <si>
    <t>Ternyata kalau libur bingung juga ya, pengen tidur tspi baru bangun, pengen pergi tapi kemana masi ppkm ngemall gabisa dine in, duduk terus cape, scroll hp pusing, nontonfilm bosen, dahlahhhh</t>
  </si>
  <si>
    <t>Met ultah negaraku,smoga ppkm ga diperpanjang lagi</t>
  </si>
  <si>
    <t>ppkm diperpanjang mulu dah</t>
  </si>
  <si>
    <t>ppkm diperpanjang lagi dahal bapake udah mau diajak ke jogja 😌</t>
  </si>
  <si>
    <t>ppkm diperpanjang lagi dahal bapake udah mau diajak ke jogja</t>
  </si>
  <si>
    <t>Ppkm sebenarnya 1 tahun cuman dicicil aja seminggu - seminggu</t>
  </si>
  <si>
    <t>Ppkm sebenarnya tahun cuman dicicil aja seminggu - seminggu</t>
  </si>
  <si>
    <t>@jokowi Yang penting PPKM sampai tahun 2045 pak</t>
  </si>
  <si>
    <t>Yang penting PPKM sampai tahun pak</t>
  </si>
  <si>
    <t>PPKM diperpanjang terus sampe LAWYER berubah jadi LOWYER</t>
  </si>
  <si>
    <t>Also ppkm diperpanjang lagi... :D</t>
  </si>
  <si>
    <t>Also ppkm diperpanjang lagi...</t>
  </si>
  <si>
    <t>Ppkm lagi yaaak</t>
  </si>
  <si>
    <t>@bubblejinun Sabar kak hill, nanti pasti bisa ke situ lagi,,
 jalanin dulu aja ppkm yg diperpanjang inih 🙈😢</t>
  </si>
  <si>
    <t>Sabar kak hill, nanti pasti bisa ke situ lagi,,jalanin dulu aja ppkm yg diperpanjang inih</t>
  </si>
  <si>
    <t>Jog pusing banget ppkm di perpanjang terus</t>
  </si>
  <si>
    <t>@RoisSurono @Ameeranti @fadlizon Saya dengar" begitu. Aslinya PPKM diberlakukan mpe des dg cara dicicil untuk menghindari demo kemarahan rakyad kecil sekaligus testing the water smpe 2024. Klw amn dijadiin alasan darurat pandemi mpe 2027. Udah di awali dg statemen calo kekuasaan pedagang suara KPU</t>
  </si>
  <si>
    <t>Saya dengar" begitu. Aslinya PPKM diberlakukan mpe des dg cara dicicil untuk menghindari demo kemarahan rakyad kecil sekaligus testing the water smpe . Klw amn dijadiin alasan darurat pandemi mpe . Udah di awali dg statemen calo kekuasaan pedagang suara KPU</t>
  </si>
  <si>
    <t>@HAIKYUUFESS PPKM: Pengen Pacarin Kozume kenMa</t>
  </si>
  <si>
    <t>PPKM: Pengen Pacarin Kozume kenMa</t>
  </si>
  <si>
    <t>PPKM nih semakin diperpanjang semakin keliatan cuman formalitas doang.</t>
  </si>
  <si>
    <t>Mana segrombolnya banyak lg. Terus buat apaan ppkm ppkm begini ?!?! 😏</t>
  </si>
  <si>
    <t>Mana segrombolnya banyak lg. Terus buat apaan ppkm ppkm begini ?!?!</t>
  </si>
  <si>
    <t>@ciloqciliq Anjir bener bgt. Ditagih alesan ppkm gaada duit tp turing mulu mejeng sana sini mengumbar muka yg tak seberapa itu. Nggilani!</t>
  </si>
  <si>
    <t>Anjir bener bgt. Ditagih alesan ppkm gaada duit tp turing mulu mejeng sana sini mengumbar muka yg tak seberapa itu. Nggilani!</t>
  </si>
  <si>
    <t>Sampel season berapa PPKM ini? 
 Jadi ingat jaman sinetron Tersanjung. 
 Banyak season, dari awal bertemu, pacaran, sampe beranak pinak.</t>
  </si>
  <si>
    <t>Sampel season berapa PPKM ini? Jadi ingat jaman sinetron Tersanjung. Banyak season, dari awal bertemu, pacaran, sampe beranak pinak.</t>
  </si>
  <si>
    <t>@ceritatehfidy Ppkm asal dikasi solusi si gpp. Udh suru diem ga dikasi solusi😔</t>
  </si>
  <si>
    <t>Ppkm asal dikasi solusi si gpp. Udh suru diem ga dikasi solusi</t>
  </si>
  <si>
    <t>Dulu Kita Dijajah Kumpeni
 Sekarang Dijajah PPKM</t>
  </si>
  <si>
    <t>Dulu Kita Dijajah KumpeniSekarang Dijajah PPKM</t>
  </si>
  <si>
    <t>@Sukirno08192311 Semangat PPKM
 MERDEKA💪💪💪🇮🇩🇮🇩</t>
  </si>
  <si>
    <t>Semangat PPKMMERDEKA</t>
  </si>
  <si>
    <t>@iqbalfawzi3 PPKM diperpanjang sampe iqbal ngumumno arep rabi</t>
  </si>
  <si>
    <t>PPKM diperpanjang sampe iqbal ngumumno arep rabi</t>
  </si>
  <si>
    <t>@gubuknetijen ppkm kntl</t>
  </si>
  <si>
    <t>ppkm kntl</t>
  </si>
  <si>
    <t>Pengumuman PPKM kaya beli diwarung aja dah sasetan</t>
  </si>
  <si>
    <t>Merdeka/mati
 PPKM kemaren terkahir tanggal 16 agustus
 Gw kira 17 agustus bakal merdeka, ternyata MATI...</t>
  </si>
  <si>
    <t>Merdeka/matiPPKM kemaren terkahir tanggal agustusGw kira agustus bakal merdeka, ternyata MATI...</t>
  </si>
  <si>
    <t>@PresidenKopi Dijajah PPKM</t>
  </si>
  <si>
    <t>Dijajah PPKM</t>
  </si>
  <si>
    <t>SubhanaAllah PPKM diperpanjang lg 😑</t>
  </si>
  <si>
    <t>SubhanaAllah PPKM diperpanjang lg</t>
  </si>
  <si>
    <t>Ada yg wisuda deket2 ini? Kira2 ppkm diperpanjang lg gak ya:( [bgr]</t>
  </si>
  <si>
    <t>Ada yg wisuda deket2 ini? Kira2 ppkm diperpanjang lg gak ya [bgr]</t>
  </si>
  <si>
    <t>selamat ulang tahun indonesia🇮🇩 sekarang merdeka dan bebas eh besok dah ppkm lagi🙄</t>
  </si>
  <si>
    <t>selamat ulang tahun indonesia sekarang merdeka dan bebas eh besok dah ppkm lagi</t>
  </si>
  <si>
    <t>hahahaha、kan kmaren lagi psbb dan ppkm、udh hampir 2 tahun 、kasian Sneakers meronta2 dibox tanpa bisa jalan2 keluar🤣🤣🤣 https://t.co/Qx1CqISCoL</t>
  </si>
  <si>
    <t>hahahahakan kmaren lagi psbb dan ppkmudh hampir tahun kasian Sneakers meronta2 dibox tanpa bisa jalan2 keluar</t>
  </si>
  <si>
    <t>PPKM (Planga Plongo Kagak Mikir) https://t.co/Bi7F5S044A</t>
  </si>
  <si>
    <t>PPKM (Planga Plongo Kagak Mikir)</t>
  </si>
  <si>
    <t>Berharap di 17Agustus an yg ke 76 ini covid bnran udah gada dan ppkm ga diperpanjang. 
 TAPIII nyatanya msi tetep diperpanjang aye aye. LEKAS SEMBUH INDONESIA!🇮🇩🇮🇩 
 #HappyIndependenceDay2021</t>
  </si>
  <si>
    <t>Berharap di Agustus an yg ke ini covid bnran udah gada dan ppkm ga diperpanjang. TAPIII nyatanya msi tetep diperpanjang aye aye. LEKAS SEMBUH INDONESIA!</t>
  </si>
  <si>
    <t>ppkm diperpanjang ga si?</t>
  </si>
  <si>
    <t>ppkm diperpanjang fungsinya apa dah</t>
  </si>
  <si>
    <t>PPKM ngga selesai selesai, yang selesai itu hubungan kita</t>
  </si>
  <si>
    <t>@Mhdafi ppkm diperpanjang</t>
  </si>
  <si>
    <t>ppkm diperpanjang</t>
  </si>
  <si>
    <t>@convomfs ngga ada karena ppkm</t>
  </si>
  <si>
    <t>ngga ada karena ppkm</t>
  </si>
  <si>
    <t>Selamat pagi Indonesia.. kapan PPKM selesai,, kami sudah susah disini, gaji kami di tahan, alasan karena PPKM.. 
 sangat mengecewakan.. sudah hampir setengah tahun..</t>
  </si>
  <si>
    <t>Selamat pagi Indonesia.. kapan PPKM selesai,, kami sudah susah disini, gaji kami di tahan, alasan karena PPKM.. sangat mengecewakan.. sudah hampir setengah tahun..</t>
  </si>
  <si>
    <t>NAPASI TINGGAL BILANG AJA "PPKM SAMPE SEPTEMBER" GITU DARIPADA NYICIL2 PEMBERITAHUAN GA GUNA 😡😡😡😡😡😡😡 https://t.co/S5wyJxrugy</t>
  </si>
  <si>
    <t>NAPASI TINGGAL BILANG AJA "PPKM SAMPE SEPTEMBER" GITU DARIPADA NYICIL2 PEMBERITAHUAN GA GUNA</t>
  </si>
  <si>
    <t>PPKm di perpanjang, kapan punya pacar kalo gini :(</t>
  </si>
  <si>
    <t>PPKm di perpanjang, kapan punya pacar kalo gini</t>
  </si>
  <si>
    <t>Merdeka atau PPKM</t>
  </si>
  <si>
    <t>PPKM #diperpanjang ngga jadi #17an di gunung</t>
  </si>
  <si>
    <t>PPKM ngga jadi di gunung</t>
  </si>
  <si>
    <t>@abimos Diluar Jawa bali gk berasa ppkm nya 😅</t>
  </si>
  <si>
    <t>Diluar Jawa bali gk berasa ppkm nya</t>
  </si>
  <si>
    <t>@babbling___ ditempat ku msi PPKM soalnya jadi di sekolah gaada upacara</t>
  </si>
  <si>
    <t>ditempat ku msi PPKM soalnya jadi di sekolah gaada upacara</t>
  </si>
  <si>
    <t>Ini PPKM udah kaya temen
 pas di tagih hutang.
 Minggu depan muluuu.</t>
  </si>
  <si>
    <t>Ini PPKM udah kaya temenpas di tagih hutang.Minggu depan muluuu.</t>
  </si>
  <si>
    <t>@_fidazatta gpp ke bandung jg bisa cus after ppkm ni🤗</t>
  </si>
  <si>
    <t>gpp ke bandung jg bisa cus after ppkm ni</t>
  </si>
  <si>
    <t>@andihiyat tiada hari tnp brita ppkm d prnjang😩🥱</t>
  </si>
  <si>
    <t>tiada hari tnp brita ppkm d prnjang</t>
  </si>
  <si>
    <t>Apakah PPKM akan terus diperpanjang sampai 3 Periode disahkan...??
 Jangan baper.
 Cuma nanya...</t>
  </si>
  <si>
    <t>Apakah PPKM akan terus diperpanjang sampai Periode disahkan...??Jangan baper.Cuma nanya...</t>
  </si>
  <si>
    <t>@radenrauf Gilak,ppkm pas nanti level 30 entar pakek cabe berapa yaa</t>
  </si>
  <si>
    <t>Gilak,ppkm pas nanti level entar pakek cabe berapa yaa</t>
  </si>
  <si>
    <t>@WISINDOGLOBAL @republikaonline Ada bisa bicara begitu, krn anda tidak tau kenyataan yg terjadi di masyarakat, dampak dari PPKM yg tidak jelas ini sangat luar bisa buat pekerja harian.</t>
  </si>
  <si>
    <t>Ada bisa bicara begitu, krn anda tidak tau kenyataan yg terjadi di masyarakat, dampak dari PPKM yg tidak jelas ini sangat luar bisa buat pekerja harian.</t>
  </si>
  <si>
    <t>@hakuyuwkie @uptomeajasih @AREAJULID Iya kalau lagi ga ppkm gapapaa, ini mah atuh:(</t>
  </si>
  <si>
    <t>Iya kalau lagi ga ppkm gapapaa, ini mah atuh</t>
  </si>
  <si>
    <t>PPKM ilangnya ntar kalau masalah utamanya (pandemi) ilang total. Itu ada lvl nya so pasti selama masih ada kasus mnrtku ya akan diperpanjang!!</t>
  </si>
  <si>
    <t>ppkm lagi coeg... Bilang aja ppkm 3 bulan, pake dicicil,hedeeeeeh...</t>
  </si>
  <si>
    <t>ppkm lagi coeg... Bilang aja ppkm bulan, pake dicicil,hedeeeeeh...</t>
  </si>
  <si>
    <t>ppkm diperpanjang sungguh melelahkan:)</t>
  </si>
  <si>
    <t>ppkm diperpanjang sungguh melelahkan</t>
  </si>
  <si>
    <t>@ramyeonjake ngga.. ppkm Masi berlanjut di dom ku..</t>
  </si>
  <si>
    <t>ngga.. ppkm Masi berlanjut di dom ku..</t>
  </si>
  <si>
    <t>@republikaonline pst berhasil pak..panjangkan terus ppkm..dengan begitu yg miskin akan mati kelaparan ..stlh mati kan berkurang yg miskin di mari..ya kan?</t>
  </si>
  <si>
    <t>pst berhasil pak..panjangkan terus ppkm..dengan begitu yg miskin akan mati kelaparan ..stlh mati kan berkurang yg miskin di mari..ya kan?</t>
  </si>
  <si>
    <t>oalah ppkm nya model cicilan tanggal ya bunda 🙏🏻💋</t>
  </si>
  <si>
    <t>oalah ppkm nya model cicilan tanggal ya bunda</t>
  </si>
  <si>
    <t>ppkm diperpanjang seminggu-seminggu tiba-tiba tahun baru</t>
  </si>
  <si>
    <t>SEBEELLLLLL PPKM TERUSSSSS KAPAN ANRI BUIA LAYANAN YA ALLAH!!!!!!!!!!!!!</t>
  </si>
  <si>
    <t>Panjangin lagi dah PPKM nya. Lama2 list undangan saya tinggal penghulu, pengantin, orang tua, saksi. Tapi venue nya di ka'bah.</t>
  </si>
  <si>
    <t>@nicefaawhat__ Gaji pres wapres n para mentrinya hrsnya dipotong 50% berkurban utk rkyt yg telah memilihnya,jangan rkyt yg jadi kurban terus kehilangan penghasilan pekerjaan nya akibat ppkm</t>
  </si>
  <si>
    <t>Gaji pres wapres n para mentrinya hrsnya dipotong % berkurban utk rkyt yg telah memilihnya,jangan rkyt yg jadi kurban terus kehilangan penghasilan pekerjaan nya akibat ppkm</t>
  </si>
  <si>
    <t>apatah "Merdeka" jika ppkm perpanjang terus..</t>
  </si>
  <si>
    <t>Gamau ngeluh PPKM diperpanjang. Soalnya saudara kita di Afghanistan udah gamikirin tuh virus lagi. Yang mereka pikirin gimana caranya biar bisa selamat dan hidup 🥺</t>
  </si>
  <si>
    <t>Gamau ngeluh PPKM diperpanjang. Soalnya saudara kita di Afghanistan udah gamikirin tuh virus lagi. Yang mereka pikirin gimana caranya biar bisa selamat dan hidup</t>
  </si>
  <si>
    <t>@Anonymous_2024 Ppkm ketengan</t>
  </si>
  <si>
    <t>@UGM_FESS ini yang juga saya pertanyakan. jelas jelas kek gitu tu melanggar aturan ppkm loh. harusnya ada tindakan tegas dr penyelenggara.
 jangan mikirin nama baik kampus dl dah, ampe kapan ginian mau dinormalisasi cm buat nyelametin nama baik, tapi dlmnya ga baik.</t>
  </si>
  <si>
    <t>ini yang juga saya pertanyakan. jelas jelas kek gitu tu melanggar aturan ppkm loh. harusnya ada tindakan tegas dr penyelenggara.jangan mikirin nama baik kampus dl dah, ampe kapan ginian mau dinormalisasi cm buat nyelametin nama baik, tapi dlmnya ga baik.</t>
  </si>
  <si>
    <t>PPKM DIPERPANJANG SAMA MAK EROT SAMPAI AKHIR JAMAN.</t>
  </si>
  <si>
    <t>@AREAJULID Dan menularkan ke org puncak? Sebelum ada ppkm puncak juga merasakan banyak yang meninggal karena cov.19 dalam seminggu dan baru" Ini udah ga ada lagi kabar duka, trs tbtb kalian rame" Kesinia. Sama ko aku juga bosen dirumah, mau nongkrong, jalan2 dan pulang ke tng</t>
  </si>
  <si>
    <t>Dan menularkan ke org puncak? Sebelum ada ppkm puncak juga merasakan banyak yang meninggal karena cov.19 dalam seminggu dan baru" Ini udah ga ada lagi kabar duka, trs tbtb kalian rame" Kesinia. Sama ko aku juga bosen dirumah, mau nongkrong, jalan2 dan pulang ke tng</t>
  </si>
  <si>
    <t>kEREENNN sebuah pencapaian tidur dibawah jam 10 selama ppkm</t>
  </si>
  <si>
    <t>kEREENNN sebuah pencapaian tidur dibawah jam selama ppkm</t>
  </si>
  <si>
    <t>ppkm diperpanjang lagi anjir?!?!?</t>
  </si>
  <si>
    <t>Ada, bukan lomba bertahan hidup selama masa ppkm ini. 
 Siapa yang bisa bertahan sampai finish dia yg menang😌
 Tag: #17an 
  #HUTRI76
  #17Agustusan
  Happy Independence Day
  Dirgahayu Negeriku https://t.co/cH3CJ5dcfW https://t.co/ompAg0ct9G</t>
  </si>
  <si>
    <t>Ada, bukan lomba bertahan hidup selama masa ppkm ini. Siapa yang bisa bertahan sampai finish dia yg menangTag: Happy Independence Day Dirgahayu Negeriku</t>
  </si>
  <si>
    <t>ya allah September ppkm kelar ya allah https://t.co/13z8bSRTLl</t>
  </si>
  <si>
    <t>ya allah September ppkm kelar ya allah</t>
  </si>
  <si>
    <t>Ppkm diperpanjang otw bsk makan garem😭😰😭😭</t>
  </si>
  <si>
    <t>Ppkm diperpanjang otw bsk makan garem</t>
  </si>
  <si>
    <t>Apakah kita skrg ga hanya harus bisa hidup berdampingan dg covid, tapi juga dg ppkm? Lalu selanjutnya apalagi...</t>
  </si>
  <si>
    <t>Masyarakat sepertinya sudah semakin nggak peduli apa itu PPKM, diperpanjang atau tidak terserah.... merasa pemerintah juga nggak peduli kondisi masyarakat! Baiklah.</t>
  </si>
  <si>
    <t>PPKM DIPERPANJANG KWWKKWKKWKWKWKWKWKKW</t>
  </si>
  <si>
    <t>Dulu "MERDEKA ATAU MATI "
 lawan penjajah.
 Kini "MERDEKA TAPI MATI" lawan PPKM berlanjut.</t>
  </si>
  <si>
    <t>Dulu "MERDEKA ATAU MATI "lawan penjajah.Kini "MERDEKA TAPI MATI" lawan PPKM berlanjut.</t>
  </si>
  <si>
    <t>Ppkm diperpanjang sampe tgl 23 Agustus, kek cicilan yaaa lama lama</t>
  </si>
  <si>
    <t>Ppkm diperpanjang sampe tgl Agustus, kek cicilan yaaa lama lama</t>
  </si>
  <si>
    <t>PPKM diperpanjangnya tiap minggu, giliran kekuasaan maunya perpanjangnya 3 thn.</t>
  </si>
  <si>
    <t>PPKM diperpanjangnya tiap minggu, giliran kekuasaan maunya perpanjangnya thn.</t>
  </si>
  <si>
    <t>@detikcom Ga masalah mau berapa tahun atau seumur hidup,yg pasti rakyat hanya mau tahu solusinya apa untuk rakyat yg terdampak pandemi dan PPKM ini?</t>
  </si>
  <si>
    <t>Ga masalah mau berapa tahun atau seumur hidup,yg pasti rakyat hanya mau tahu solusinya apa untuk rakyat yg terdampak pandemi dan PPKM ini?</t>
  </si>
  <si>
    <t>@rmol_id @airlangga_hrt PPKM, masa aktivitas warga dikunci, masih nyebut pengangguran menurun. Ada yg bisa jelasin?</t>
  </si>
  <si>
    <t>PPKM, masa aktivitas warga dikunci, masih nyebut pengangguran menurun. Ada yg bisa jelasin?</t>
  </si>
  <si>
    <t>Gua udah berharap dari kemaren PPKM ga di perpanjang eh ternyata..</t>
  </si>
  <si>
    <t>kami rakyat kecil, miskin &amp;amp; berpendidikan rendah hanya ingin mohon hapus PPKM secepatnya...... tolong dengar kami wahai pejabat.... tinggal hapus PPKM aja susah amat... apa susah nya??? #JokowiGagalUrusNegara</t>
  </si>
  <si>
    <t>kami rakyat kecil, miskin &amp;amp; berpendidikan rendah hanya ingin mohon hapus PPKM secepatnya...... tolong dengar kami wahai pejabat.... tinggal hapus PPKM aja susah amat... apa susah nya???</t>
  </si>
  <si>
    <t>@ristyalf Virtual sek, ppkm di perpanjang</t>
  </si>
  <si>
    <t>Virtual sek, ppkm di perpanjang</t>
  </si>
  <si>
    <t>@AREAJULID menurut gue ppkm tanpa sanksi keras jga ga berguna pak, mau diperpanjang ampe kapan? Warga lu aja suruh vaksin jga masi susah, masi banyak yg berkerumun.</t>
  </si>
  <si>
    <t>menurut gue ppkm tanpa sanksi keras jga ga berguna pak, mau diperpanjang ampe kapan? Warga lu aja suruh vaksin jga masi susah, masi banyak yg berkerumun.</t>
  </si>
  <si>
    <t>@CNNIndonesia Hasilnya apa? Pemilu diwacanakan diundur ke 2027 &amp;amp; masa jabatan Jokowi ikutan diperpanjang 3 tahun.
 Haha habis-habisan... Iya duitnya habis hasilnya yaa tetep PPKM diperpanjang tiap minggu 👍🏼</t>
  </si>
  <si>
    <t>Hasilnya apa? Pemilu diwacanakan diundur ke &amp;amp; masa jabatan Jokowi ikutan diperpanjang tahun.Haha habis-habisan... Iya duitnya habis hasilnya yaa tetep PPKM diperpanjang tiap minggu</t>
  </si>
  <si>
    <t>WKWKW DAH MUAK SAMA PPKM https://t.co/cCfvvWaCDu</t>
  </si>
  <si>
    <t>WKWKW DAH MUAK SAMA PPKM</t>
  </si>
  <si>
    <t>lg liatin instastory temen w protes ppkm tp nongkrong sana sini, pdhal dia sm geng nya msih sering ngelive di cafe🙈🙈🙈🙈🙈🙈🙈🙈🙈🙈🙈🙈🙈🙈</t>
  </si>
  <si>
    <t>lg liatin instastory temen w protes ppkm tp nongkrong sana sini, pdhal dia sm geng nya msih sering ngelive di cafe</t>
  </si>
  <si>
    <t>@dealiipa kelar ppkm aja</t>
  </si>
  <si>
    <t>kelar ppkm aja</t>
  </si>
  <si>
    <t>ppkm diperpanjang 💔</t>
  </si>
  <si>
    <t>Breaking news.
 Pemerintah kembali memperpanjang pemberlakuan PPKM level 4 di Jawa dan Bali hingga 23 Agustus mendatang.ada beberapa pelonggaran yang di berikan, waktu makan di tempat di warung makan dan restoran di tambah menjadi 30 menit dan tidak di perkenankan untuk ngobrol</t>
  </si>
  <si>
    <t>Breaking news.Pemerintah kembali memperpanjang pemberlakuan PPKM level di Jawa dan Bali hingga Agustus mendatang.ada beberapa pelonggaran yang di berikan, waktu makan di tempat di warung makan dan restoran di tambah menjadi menit dan tidak di perkenankan untuk ngobrol</t>
  </si>
  <si>
    <t>Ppkm aja di cicil masa kamu gamau apa nyicil masa depan kita 🙃</t>
  </si>
  <si>
    <t>Ppkm aja di cicil masa kamu gamau apa nyicil masa depan kita</t>
  </si>
  <si>
    <t>Ppkm diperpanjang? Bodo amat</t>
  </si>
  <si>
    <t>@liciicaa Diperpanjang kak ngundurnya udah kek PPKM https://t.co/hdBfHRI6pY</t>
  </si>
  <si>
    <t>Diperpanjang kak ngundurnya udah kek PPKM</t>
  </si>
  <si>
    <t>@alisyarief Saya perhatikan PPKM seakan ada hubungannya dengan TKA Cina yang diam-diam masuk melalui bandara.</t>
  </si>
  <si>
    <t>Saya perhatikan PPKM seakan ada hubungannya dengan TKA Cina yang diam-diam masuk melalui bandara.</t>
  </si>
  <si>
    <t>gimana ni kabar ppkm??</t>
  </si>
  <si>
    <t>"PPKM ini, mau diperpanjang sampai kapan?"</t>
  </si>
  <si>
    <t>@_holahalowww Di Kwangya bebas PPKM meng 😎👍🏻✨</t>
  </si>
  <si>
    <t>Di Kwangya bebas PPKM meng</t>
  </si>
  <si>
    <t>Oalah… PPKM yg sekarang nambah waktu makan aja nya. https://t.co/HIT5l4NTxa</t>
  </si>
  <si>
    <t>Oalah PPKM yg sekarang nambah waktu makan aja nya.</t>
  </si>
  <si>
    <t>Dah ga heran ppkm diperpanjang</t>
  </si>
  <si>
    <t>ppkm sebenernya setaun tapi dicicil biar nga kerasa heheh☺️</t>
  </si>
  <si>
    <t>ppkm sebenernya setaun tapi dicicil biar nga kerasa heheh</t>
  </si>
  <si>
    <t>@keuangannews_id agenda nya adalah selama ppkm diperpanjang disaat itulah mereka masuk, ppkm akan terus diperpanjang sampai kuota mereka terpenuhi sesuai kesepakatan</t>
  </si>
  <si>
    <t>agenda nya adalah selama ppkm diperpanjang disaat itulah mereka masuk, ppkm akan terus diperpanjang sampai kuota mereka terpenuhi sesuai kesepakatan</t>
  </si>
  <si>
    <t>ppkm diperpanjangnya sampe tuek 🤦🏼‍♀️</t>
  </si>
  <si>
    <t>ppkm diperpanjangnya sampe tuek</t>
  </si>
  <si>
    <t>PPKM mulu 😵‍💫 sampe kapan ni bgini terus ?? 😢</t>
  </si>
  <si>
    <t>PPKM mulu sampe kapan ni bgini terus ??</t>
  </si>
  <si>
    <t>@UyokBack apakah jokowi tau kalau rakyat tidak mau PPKM... apakah dia tuli.... kami rakyat kecil, miskin &amp;amp; berpendidikan rendah hanya ingin hapus kan PPKM secepatnya &amp;amp; hilangkan covid 19 ...... tolong dengar kami wahai pejabat.... jokowi gagal total</t>
  </si>
  <si>
    <t>apakah jokowi tau kalau rakyat tidak mau PPKM... apakah dia tuli.... kami rakyat kecil, miskin &amp;amp; berpendidikan rendah hanya ingin hapus kan PPKM secepatnya &amp;amp; hilangkan covid ...... tolong dengar kami wahai pejabat.... jokowi gagal total</t>
  </si>
  <si>
    <t>Rezim Jokowi memang sengaja menunda dan mengulur waktu dlm penanganan Covid dan menghindar dr UU Kekarantinaan dg penerapan PSBB yg akhirnya diubah menjadi PPKM. Tujuannya meraih kesempatan mengontrol masyarakat dan mengatur jalannya agenda politik dan menciptakan krisis waktu</t>
  </si>
  <si>
    <t>@Askrlfess Gatau deh nder, masih ppkm juga kan:((</t>
  </si>
  <si>
    <t>Gatau deh nder, masih ppkm juga kan</t>
  </si>
  <si>
    <t>@ArisudinKelvin Dholim banget sama rakyat sampe kebangetan, emang cicilan rumah cicilan hutang cicilan bank dpt dr PPKM? Apa betul PPKM tanda pemerintah tak mampu biayai hidup rakyat?</t>
  </si>
  <si>
    <t>Dholim banget sama rakyat sampe kebangetan, emang cicilan rumah cicilan hutang cicilan bank dpt dr PPKM? Apa betul PPKM tanda pemerintah tak mampu biayai hidup rakyat?</t>
  </si>
  <si>
    <t>@bukan_jojo Klo PPKM diperpanjang kita hanya bisa Pelan-Pelan Kita Mendoakan😃😃</t>
  </si>
  <si>
    <t>Klo PPKM diperpanjang kita hanya bisa Pelan-Pelan Kita Mendoakan</t>
  </si>
  <si>
    <t>Bahwa kemerdékaan itu ialah hak segala bangsa, maka PPKM harus dihapuskan karena tidak sesuai dengan prikeadilan dan prikemanusiaan.</t>
  </si>
  <si>
    <t>Bahwa kemerdkaan itu ialah hak segala bangsa, maka PPKM harus dihapuskan karena tidak sesuai dengan prikeadilan dan prikemanusiaan.</t>
  </si>
  <si>
    <t>[cm] gimana kabar skripsi kalian yang bergantung ke instansi kalau ppkm gini? punyaku mandek dari bulan juli gara-gara ppkm perpanjangan terus ya ampun, otomatis instansinya ga nerima pelayanan terus 😭😭</t>
  </si>
  <si>
    <t>[cm] gimana kabar skripsi kalian yang bergantung ke instansi kalau ppkm gini? punyaku mandek dari bulan juli gara-gara ppkm perpanjangan terus ya ampun, otomatis instansinya ga nerima pelayanan terus</t>
  </si>
  <si>
    <t>@TimpalBali Ppkm selesai dah itu aja</t>
  </si>
  <si>
    <t>Ppkm selesai dah itu aja</t>
  </si>
  <si>
    <t>@bbibbibboo Semoga enggak ya, kalo misal polanya pemerintah kayak gini terus loh ya nyicil2, istilah ppkm gini kayake bakal panjang tapii masyarakat jg lama2 bakal bodo amat krn wes capek alias ppkm iki gak guna wkwk 🤣</t>
  </si>
  <si>
    <t>Semoga enggak ya, kalo misal polanya pemerintah kayak gini terus loh ya nyicil2, istilah ppkm gini kayake bakal panjang tapii masyarakat jg lama2 bakal bodo amat krn wes capek alias ppkm iki gak guna wkwk</t>
  </si>
  <si>
    <t>Anjir, PPKM e nyicil teros. Tai banget</t>
  </si>
  <si>
    <t>bangun bangun liat berita ppkm diperpanjang lagi anjingggggggggggg</t>
  </si>
  <si>
    <t>Ppkm diperpanjang terus, gw kapan bisa ke bandungnya😞</t>
  </si>
  <si>
    <t>Ppkm diperpanjang terus, gw kapan bisa ke bandungnya</t>
  </si>
  <si>
    <t>Negara nya merdeka,warga nya masih pusing PPKM d perpanjang terus .. https://t.co/buHiuQqTfr</t>
  </si>
  <si>
    <t>Negara nya merdeka,warga nya masih pusing PPKM d perpanjang terus ..</t>
  </si>
  <si>
    <t>PPKM (Plonga Plongo Kagak Mikir) #JokowiGagalUrusNegara</t>
  </si>
  <si>
    <t>PPKM (Plonga Plongo Kagak Mikir)</t>
  </si>
  <si>
    <t>@akbr_mhmmd PPKM/ga PPKM gass bultang</t>
  </si>
  <si>
    <t>PPKM/ga PPKM gass bultang</t>
  </si>
  <si>
    <t>@j3j3yong @bertanyarl Nunggu ppkm selesai😌</t>
  </si>
  <si>
    <t>Nunggu ppkm selesai</t>
  </si>
  <si>
    <t>@CNNIndonesia Berakhir dan diganti PPKM lv5 :)))</t>
  </si>
  <si>
    <t>Berakhir dan diganti PPKM lv5</t>
  </si>
  <si>
    <t>ppkm beneran setahun tp dicicil seminggu ya anjir</t>
  </si>
  <si>
    <t>Jadi angka naik dan turun pandemic covid19 itu ada, pada soal "test dan tracing".
 PPKM diperpanjang lagi. Silahkan dianalisis?</t>
  </si>
  <si>
    <t>Jadi angka naik dan turun pandemic covid19 itu ada, pada soal "test dan tracing".PPKM diperpanjang lagi. Silahkan dianalisis?</t>
  </si>
  <si>
    <t>PPKM diperpanjangnya udah kaya ngodoan puasa ramadhan dicicil</t>
  </si>
  <si>
    <t>@Sukirno08192311 semoga pandemi segera berakhir biar ppkm juga berakhir😭</t>
  </si>
  <si>
    <t>semoga pandemi segera berakhir biar ppkm juga berakhir</t>
  </si>
  <si>
    <t>Ppkm tercicil</t>
  </si>
  <si>
    <t>PPKM diperpanjang lagi loh..
 cok uangku tipis ):</t>
  </si>
  <si>
    <t>PPKM diperpanjang lagi loh..cok uangku tipis ):</t>
  </si>
  <si>
    <t>@tubirfess PPKM berhenti menjelang pemilu 2024 yakin dah</t>
  </si>
  <si>
    <t>PPKM berhenti menjelang pemilu yakin dah</t>
  </si>
  <si>
    <t>PPKM diperpanjang sampai Detektif Conan dan One Piece tamat.</t>
  </si>
  <si>
    <t>@Gloomy_Humbug hadeh mau sampai kiamat dah ini ppkm</t>
  </si>
  <si>
    <t>hadeh mau sampai kiamat dah ini ppkm</t>
  </si>
  <si>
    <t>@ketawamerem ppkm sampe kapan buk huhu bosen</t>
  </si>
  <si>
    <t>ppkm sampe kapan buk huhu bosen</t>
  </si>
  <si>
    <t>@CNNIndonesia Penurunan ini alami bukan krn PPKM, masalahnya adl bgm mengubah indonesia bukan episentrum covid</t>
  </si>
  <si>
    <t>Penurunan ini alami bukan krn PPKM, masalahnya adl bgm mengubah indonesia bukan episentrum covid</t>
  </si>
  <si>
    <t>PPKM diperpanjang sampai batas yang tidak bisa ditentukan :)</t>
  </si>
  <si>
    <t>PPKM diperpanjang sampai batas yang tidak bisa ditentukan</t>
  </si>
  <si>
    <t>@aldysuhanda_ dahh lah pasrah aja ppkm di perpanjang mulu</t>
  </si>
  <si>
    <t>dahh lah pasrah aja ppkm di perpanjang mulu</t>
  </si>
  <si>
    <t>capaian vaksin masih rendah makanya ppkm diperpanjang terus ya?</t>
  </si>
  <si>
    <t>ppkm diperpanjang bandung harus bikin pantai</t>
  </si>
  <si>
    <t>ppkm diperpanjang sampe lutfy nikah dengan boa hancock</t>
  </si>
  <si>
    <t>@AREAJULID Gw iriii ama tmen2 gw yang udah jalan PKLnya sdngkan kelompok gw masuknya masi nunggu PPKM selesai mana PPKMnya dicicil terus menerus lagi. Kapan pklnya wahai bestie😔🙂
 @Amalianh14 @DitaPut47368874 https://t.co/1KANJooxhU</t>
  </si>
  <si>
    <t>Gw iriii ama tmen2 gw yang udah jalan PKLnya sdngkan kelompok gw masuknya masi nunggu PPKM selesai mana PPKMnya dicicil terus menerus lagi. Kapan pklnya wahai bestie</t>
  </si>
  <si>
    <t>@chieeyyz @AgungWiseno_ @collegemenfess Keluar biaya berapa ya kak? Gw masih ad garansi, jdi sayang kalo ga dimanfaatin.. tapi teknisinya gaada pas ppkm.. harus nunggu.. sementara gw lagi butuh banget tuh laptop</t>
  </si>
  <si>
    <t>Keluar biaya berapa ya kak? Gw masih ad garansi, jdi sayang kalo ga dimanfaatin.. tapi teknisinya gaada pas ppkm.. harus nunggu.. sementara gw lagi butuh banget tuh laptop</t>
  </si>
  <si>
    <t>pict dijepret pada 30-12-2019
 alias, masih belum kenal ppkm apalagi c0— ah sudahlah;'</t>
  </si>
  <si>
    <t>pict dijepret pada $NUMBER$-2019alias, masih belum kenal ppkm apalagi c0 ah sudahlah;'</t>
  </si>
  <si>
    <t>@CNNIndonesia Menurun ini alamiah bukan krn PPKM, coba longgarkan akan meledak lagi, masalahnya disini epicentrum covid</t>
  </si>
  <si>
    <t>Menurun ini alamiah bukan krn PPKM, coba longgarkan akan meledak lagi, masalahnya disini epicentrum covid</t>
  </si>
  <si>
    <t>@mtrshlh PPKM sambung menyambung😣</t>
  </si>
  <si>
    <t>PPKM sambung menyambung</t>
  </si>
  <si>
    <t>@CNNIndonesia dari mulai masyarakat kecil pegawai lepas harian sampe yang ditatap tidak akan tersenggol dengan penerapan ppkm, semua pasti kena dampak buruk dari pandemi ini</t>
  </si>
  <si>
    <t>dari mulai masyarakat kecil pegawai lepas harian sampe yang ditatap tidak akan tersenggol dengan penerapan ppkm, semua pasti kena dampak buruk dari pandemi ini</t>
  </si>
  <si>
    <t>@tubirfess ppkm level lanjut dah bikin tembok maria</t>
  </si>
  <si>
    <t>ppkm level lanjut dah bikin tembok maria</t>
  </si>
  <si>
    <t>Mari mari ber upacara dilapanngan,
 Eitz kan lagi PPKM nanti ada yang marah, ah lanjut tidur lagi aja</t>
  </si>
  <si>
    <t>Mari mari ber upacara dilapanngan,Eitz kan lagi PPKM nanti ada yang marah, ah lanjut tidur lagi aja</t>
  </si>
  <si>
    <t>asui ppkm perpanjang meneh jingan meh kentu aku</t>
  </si>
  <si>
    <t>MERDEKA .. TAPI DIKURUNG DENGAN PPKM..
 MERDEKA apane ???????</t>
  </si>
  <si>
    <t>MERDEKA .. TAPI DIKURUNG DENGAN PPKM..MERDEKA apane ???????</t>
  </si>
  <si>
    <t>Bikin ppkm dicabut ❌
 Bikin PCR murah ✅</t>
  </si>
  <si>
    <t>Bikin ppkm dicabut Bikin PCR murah</t>
  </si>
  <si>
    <t>ppkm kan untuk Jawa Bali, berarti di Bandung gak ada kan, soalnya Sunda.</t>
  </si>
  <si>
    <t>@Raka59373218 Ya nie..
 Apakah BST juga akan di perpanjang???
 Kn PPKM di perpanjang tuch smpe tgl 23 Agustus
 Mohon dnk min di infokan</t>
  </si>
  <si>
    <t>Ya nie..Apakah BST juga akan di perpanjang???Kn PPKM di perpanjang tuch smpe tgl AgustusMohon dnk min di infokan</t>
  </si>
  <si>
    <t>Apa sih yang bikin lu ga betah dirumah? Banyak. Ga cuma satu dua hal. Bahkan beberapa hal juga bikin kita ga nyaman buat di rumah terus. Makanya kapan ppkm berakhir? 🙁</t>
  </si>
  <si>
    <t>Apa sih yang bikin lu ga betah dirumah? Banyak. Ga cuma satu dua hal. Bahkan beberapa hal juga bikin kita ga nyaman buat di rumah terus. Makanya kapan ppkm berakhir?</t>
  </si>
  <si>
    <t>Saat PPKM ada level angkanya, eeehh C*NA masuk gerombolan.</t>
  </si>
  <si>
    <t>@CintaNirmala2 @L42454thie 17 agustus tiba tiba virus lenyap, PPKM tidak ada. Setelah 17 agustus PPKM lagi. Goblok yang di pertontonkan...
 #2021HarusGantiPresiden 
 #2021HarusGantiPresiden</t>
  </si>
  <si>
    <t>agustus tiba tiba virus lenyap, PPKM tidak ada. Setelah agustus PPKM lagi. Goblok yang di pertontonkan...</t>
  </si>
  <si>
    <t>jadi kangen gasabar kuliah lg walopun online abisnya nganggur libur 3 bulan, tapi hampir 2 bulan nya dirumah doang grgr ppkm💩💩💩</t>
  </si>
  <si>
    <t>jadi kangen gasabar kuliah lg walopun online abisnya nganggur libur bulan, tapi hampir bulan nya dirumah doang grgr ppkm</t>
  </si>
  <si>
    <t>Tadinya mau ngajak muncak eh PPKM lagi 
 Lanjut Rebahan dah...👇👇👇👇
 Colek @anissabayu88 
 @AjieQomarudin 
 @inggavalensi 
 @karjomblo 
 @TongSate 
 @nitarose38 https://t.co/oJtqqlLEIW</t>
  </si>
  <si>
    <t>Tadinya mau ngajak muncak eh PPKM lagi Lanjut Rebahan dah...Colek</t>
  </si>
  <si>
    <t>@DKIJakarta @fahdrizal thn 2020 min?? yg ketentuan ppkm baru 2021 ?</t>
  </si>
  <si>
    <t>thn min?? yg ketentuan ppkm baru ?</t>
  </si>
  <si>
    <t>@pluviemoa waaah aku aja ga beli krn blm kerja lg semenjak ppkm😭😭😭💔</t>
  </si>
  <si>
    <t>waaah aku aja ga beli krn blm kerja lg semenjak ppkm</t>
  </si>
  <si>
    <t>PPKM sih PPKM cuma nertibin pedagang dan pengusaha doang tp orang-orang di perumahan tetep pada kumpul-kumpul</t>
  </si>
  <si>
    <t>Kobisa ya berita ppkm diperpanjang kalah sama hastag jikiwimiminghibit</t>
  </si>
  <si>
    <t>yuk bisa ppkm terakhir 30 agustus</t>
  </si>
  <si>
    <t>yuk bisa ppkm terakhir agustus</t>
  </si>
  <si>
    <t>@KompasTV Mau bilang duitnya masih banyak walau pandemi, kita bersyukur saja jika masih ada insan Indonesia bisa bertahan dalam PPKM ini...mudah2an bisa bantu yg kekurangan.</t>
  </si>
  <si>
    <t>Mau bilang duitnya masih banyak walau pandemi, kita bersyukur saja jika masih ada insan Indonesia bisa bertahan dalam PPKM ini...mudah2an bisa bantu yg kekurangan.</t>
  </si>
  <si>
    <t>@GresikFess dari jaman ppkm dah buka, nder. Cuma skrg harus pake ngeliatin bukti dah vaksin.</t>
  </si>
  <si>
    <t>dari jaman ppkm dah buka, nder. Cuma skrg harus pake ngeliatin bukti dah vaksin.</t>
  </si>
  <si>
    <t>Ppkm dgn shcdule order yg wasweswos bikin puyeng, dhlah</t>
  </si>
  <si>
    <t>@mfaizhal22 @Piquen2 Lah kemampuanya hanya sebatas itu sj. Bagi2 bingkisan, potong pita, pencitraan. Gk mampu ambil komando covid. Ya terbukti, seharusy kebutuhan kesehatan utk rakyat murah (alat test pcr/ swab), ppkm 1,5 bln dikasih bansos hanya 1 x.</t>
  </si>
  <si>
    <t>Lah kemampuanya hanya sebatas itu sj. Bagi2 bingkisan, potong pita, pencitraan. Gk mampu ambil komando covid. Ya terbukti, seharusy kebutuhan kesehatan utk rakyat murah (alat test pcr/ swab), ppkm bln dikasih bansos hanya x.</t>
  </si>
  <si>
    <t>ppkm malah maen. emang dah orang-orang pada kayak kucing nyawanya ada 9</t>
  </si>
  <si>
    <t>ppkm malah maen. emang dah orang-orang pada kayak kucing nyawanya ada</t>
  </si>
  <si>
    <t>@crimsonaIe ppkm nnti dtngkp</t>
  </si>
  <si>
    <t>ppkm nnti dtngkp</t>
  </si>
  <si>
    <t>sudah Ldr, anak strict parent, pas mau ketemu ppkm malah diperpanjang, hedehhhhhhh kasian bgt yg jadi pacarku</t>
  </si>
  <si>
    <t>@danny_APP Enak sekali ya, kmrin liat ada PNS Irlandia Utara pasang status sumpek PPKM. Padahal Gaji mereka lancar jaya kan ya :')</t>
  </si>
  <si>
    <t>Enak sekali ya, kmrin liat ada PNS Irlandia Utara pasang status sumpek PPKM. Padahal Gaji mereka lancar jaya kan ya :')</t>
  </si>
  <si>
    <t>PPKM DIPERPANJANG (LAGI) 
 Sebagian orang menjadi TAU bahkan JAGO Berbisnis Oline, ada juga yg akun Youtube, Tiktok, IG, Twitternya semakin produktif dll 
 Bagaimana dengan kita ? ☕😃</t>
  </si>
  <si>
    <t>PPKM DIPERPANJANG (LAGI) Sebagian orang menjadi TAU bahkan JAGO Berbisnis Oline, ada juga yg akun Youtube, Tiktok, IG, Twitternya semakin produktif dll Bagaimana dengan kita ?</t>
  </si>
  <si>
    <t>@NewOpang @TerongU72356816 Woooi....PIK itu masih Wilayah Jakarta Utara bagian dari NKRI bukan RRC loe pake alasan PPKM tapi Jokowi bagi-bagi sembako di Grogol, 3 Pilar (TNI, Polri dan satpol ) ga loe larang, pasang bendera 20 orang, sembako grogol lebih dari 20 orang, Alasan loe ga masuk akal.</t>
  </si>
  <si>
    <t>Woooi....PIK itu masih Wilayah Jakarta Utara bagian dari NKRI bukan RRC loe pake alasan PPKM tapi Jokowi bagi-bagi sembako di Grogol, Pilar (TNI, Polri dan satpol ) ga loe larang, pasang bendera orang, sembako grogol lebih dari orang, Alasan loe ga masuk akal.</t>
  </si>
  <si>
    <t>@eskuud Kalo lagi pandemi gini enakan jomblo sih kl aku, rugi juga punya pacar tapi jarang ketemu apalagi ppkm gini, aku gabisa kalo ga sering ketemu tar bawaannya berantem mulu cuma perkara kangen</t>
  </si>
  <si>
    <t>Kalo lagi pandemi gini enakan jomblo sih kl aku, rugi juga punya pacar tapi jarang ketemu apalagi ppkm gini, aku gabisa kalo ga sering ketemu tar bawaannya berantem mulu cuma perkara kangen</t>
  </si>
  <si>
    <t>Bangunnnnn
 Selamat pagi ppkm</t>
  </si>
  <si>
    <t>BangunnnnnSelamat pagi ppkm</t>
  </si>
  <si>
    <t>Polisi udah gk jagain pintu masuk tol lagi? Fix PPKM udah berakhir #PPKM</t>
  </si>
  <si>
    <t>Polisi udah gk jagain pintu masuk tol lagi? Fix PPKM udah berakhir</t>
  </si>
  <si>
    <t>@mirazh_me Awalnya ppkm perpanjang berhasil......
 Lama-lama jabatan perpanjang jg 3 periode 😇😇😇😇</t>
  </si>
  <si>
    <t>Awalnya ppkm perpanjang berhasil......Lama-lama jabatan perpanjang jg periode</t>
  </si>
  <si>
    <t>@mettabeteta @JogjaUpdate @uradn Wah ppkm berakhir langsung gas jogja aja pa ya 🤭</t>
  </si>
  <si>
    <t>Wah ppkm berakhir langsung gas jogja aja pa ya</t>
  </si>
  <si>
    <t>@KompasTV Mimpinya udah telanjur direnggut ama kebijakan PPKM yang gak habis-habis. Punten 🙏🏻</t>
  </si>
  <si>
    <t>Mimpinya udah telanjur direnggut ama kebijakan PPKM yang gak habis-habis. Punten</t>
  </si>
  <si>
    <t>Waah mesti pesta nihh! Tapi ppkm #MyTwitterAnniversary https://t.co/Ds6XXjGFlw</t>
  </si>
  <si>
    <t>Waah mesti pesta nihh! Tapi ppkm</t>
  </si>
  <si>
    <t>@sagixdes ppkm aja diperpanjang, masa chat kita ngga</t>
  </si>
  <si>
    <t>ppkm aja diperpanjang, masa chat kita ngga</t>
  </si>
  <si>
    <t>@KompasTV Sekalian aja sampai 2024 PPKM nya</t>
  </si>
  <si>
    <t>Sekalian aja sampai PPKM nya</t>
  </si>
  <si>
    <t>@MPlandemi Indonesia saat ini sdh lumpuh, Kedaulatan sdh tergadai ke aseng-asing, Rakyatnya dibuat menderita dan dipalakin, Import meraja lela, produksi dalam negeri tumbang.
 Katanya banyak membangun tp pabrik baja RI malah Kolaps.
 TKA masuk tiap hari tak peduli PPKM. 
 Jancuk tenan... https://t.co/kiDABN9SOs</t>
  </si>
  <si>
    <t>Indonesia saat ini sdh lumpuh, Kedaulatan sdh tergadai ke aseng-asing, Rakyatnya dibuat menderita dan dipalakin, Import meraja lela, produksi dalam negeri tumbang.Katanya banyak membangun tp pabrik baja RI malah Kolaps.TKA masuk tiap hari tak peduli PPKM. Jancuk tenan...</t>
  </si>
  <si>
    <t>ya sebenarnya adalah perihal normal jikalau ppkm diperpanjang.
 soalnya kalau pendek ppcm.</t>
  </si>
  <si>
    <t>ya sebenarnya adalah perihal normal jikalau ppkm diperpanjang.soalnya kalau pendek ppcm.</t>
  </si>
  <si>
    <t>@akipagi_tvone Dulu orang naik sepeda. Sekarang susah krn.ppkm jual lelang mobil sedan corona. Dulu musuh kita perang lawan belanda. Sekarang musuh kita perang melawan covid 19 virus corona. Merdeka...merdeka....HUTRI Ke 76.</t>
  </si>
  <si>
    <t>Dulu orang naik sepeda. Sekarang susah krn.ppkm jual lelang mobil sedan corona. Dulu musuh kita perang lawan belanda. Sekarang musuh kita perang melawan covid virus corona. Merdeka...merdeka....HUTRI Ke .</t>
  </si>
  <si>
    <t>Gegara PPKM, urusan pajak di @DitjenPajakRI jadi ribet, mau ke KPP aja gak bisa, trus konsultasi eh AR nya cuti...
 Mau datang ke KPP gak bisa karena pegawainya mungkin WFH...
 Truuuusssssss.....
 Kalau laporan pajak bermasalah nanti WP juga kena denda....
 Capek lah....</t>
  </si>
  <si>
    <t>Gegara PPKM, urusan pajak di jadi ribet, mau ke KPP aja gak bisa, trus konsultasi eh AR nya cuti...Mau datang ke KPP gak bisa karena pegawainya mungkin WFH...Truuuusssssss.....Kalau laporan pajak bermasalah nanti WP juga kena denda....Capek lah....</t>
  </si>
  <si>
    <t>Selama PPKM dari yg awalnya plng lebih cepet sejam, trs masuk kerja selang seling sehari masuk sehari libur, trs libur weekend dan weekday, dan terakhir, kerja cuma 3 jam doang.
 Lalu per hari ini dah normal full day lg 9-5, males bgt Ya Allah rasanya berat dan panjang hari ini🥲</t>
  </si>
  <si>
    <t>Selama PPKM dari yg awalnya plng lebih cepet sejam, trs masuk kerja selang seling sehari masuk sehari libur, trs libur weekend dan weekday, dan terakhir, kerja cuma jam doang.Lalu per hari ini dah normal full day lg $NUMBER$, males bgt Ya Allah rasanya berat dan panjang hari ini</t>
  </si>
  <si>
    <t>@promo_BRI Parah bener BRI min.... Antri dari 05.30 wib untuk ambil nomor antrian CS. Hasilnya tidak dapat nomor antrian... PPKM dibatasi cuma 15 nomor.
 Cuma untuk buka blokir pin ATM, itu juga aneh setelah ganti kartu chip kok pin lama ga bisa dipake jadinya keblokir 3x masukin pin ATM.</t>
  </si>
  <si>
    <t>Parah bener BRI min.... Antri dari wib untuk ambil nomor antrian CS. Hasilnya tidak dapat nomor antrian... PPKM dibatasi cuma nomor.Cuma untuk buka blokir pin ATM, itu juga aneh setelah ganti kartu chip kok pin lama ga bisa dipake jadinya keblokir x masukin pin ATM.</t>
  </si>
  <si>
    <t>harusnya bulan juli ataupun bulan ini sudah berjumpa, tapi malah ppkm yaudah deh mundur ajaa dan gatau sampe kapan</t>
  </si>
  <si>
    <t>@convomf ga ketemu kalo pas ppkm, tapi biasanya saling nyamperin aja</t>
  </si>
  <si>
    <t>ga ketemu kalo pas ppkm, tapi biasanya saling nyamperin aja</t>
  </si>
  <si>
    <t>@adityajuliannn ppkm mulu:(</t>
  </si>
  <si>
    <t>ppkm mulu</t>
  </si>
  <si>
    <t>Aku pas liat berita ppkm diperpanjang lagi......... https://t.co/7Igs5aZWY9</t>
  </si>
  <si>
    <t>Aku pas liat berita ppkm diperpanjang lagi.........</t>
  </si>
  <si>
    <t>@gagitujul Ppkm jul makanya onlen</t>
  </si>
  <si>
    <t>Ppkm jul makanya onlen</t>
  </si>
  <si>
    <t>@UNSfess_ Wahh parah sih nder ehehe, bilangnya ppkm tapi jalan sama cowo lain🥲</t>
  </si>
  <si>
    <t>Wahh parah sih nder ehehe, bilangnya ppkm tapi jalan sama cowo lain</t>
  </si>
  <si>
    <t>PNS Irlandia utara kalo PPKM gini gaji nya dipotong apa engga ya?</t>
  </si>
  <si>
    <t>@jokowi Sampe kapan pak ini ppkm diperpanjang mulu....rakyat sdh kibarkan bendera putih kok masih diperpanjang...kalau semua bantuan pemerintah tepat sasaran sih mgkn rakyat kg teriak2 nih</t>
  </si>
  <si>
    <t>Sampe kapan pak ini ppkm diperpanjang mulu....rakyat sdh kibarkan bendera putih kok masih diperpanjang...kalau semua bantuan pemerintah tepat sasaran sih mgkn rakyat kg teriak2 nih</t>
  </si>
  <si>
    <t>@NopalGembul PPKM di perpanjang 5-10 tahun lg</t>
  </si>
  <si>
    <t>PPKM di perpanjang $NUMBER$ tahun lg</t>
  </si>
  <si>
    <t>yang diperpanjang ppkm, bukan pesannya. apalagi perasaanya.</t>
  </si>
  <si>
    <t>@Jc_Maya @agakarebaa @txtdrmks @jalanankota @SupirPete2 @Daeng_Info Apaji kak, sampai di Perintis Kemerdekaan saya lihat rame-rame bgituuu. 
 Apa itu PPKM?</t>
  </si>
  <si>
    <t>Apaji kak, sampai di Perintis Kemerdekaan saya lihat rame-rame bgituuu. Apa itu PPKM?</t>
  </si>
  <si>
    <t>@TheaRizkyyy @ebidats @Ndoro_meong @LaporCovid PPKM perpanjang,masa jabatan ada wacana diperpanjang,kalau benar bisa jadi tambah panjang penderitaan neh.</t>
  </si>
  <si>
    <t>PPKM perpanjang,masa jabatan ada wacana diperpanjang,kalau benar bisa jadi tambah panjang penderitaan neh.</t>
  </si>
  <si>
    <t>@ndreamon Ga punya uang semenjak ppkm terus diperpanjang soalnya tenant saya di Mall sampe blm bisa dibuka kembali 
 Nanti dpt balasannya spt ini, 
 Kan skrg sudah onlen shop, jualan saja disana. Lagian ngapain jualan di mall?? Jadi susah sdr kan. 
 Hemeh.</t>
  </si>
  <si>
    <t>Ga punya uang semenjak ppkm terus diperpanjang soalnya tenant saya di Mall sampe blm bisa dibuka kembali Nanti dpt balasannya spt ini, Kan skrg sudah onlen shop, jualan saja disana. Lagian ngapain jualan di mall?? Jadi susah sdr kan. Hemeh.</t>
  </si>
  <si>
    <t>Ppkm perpanjang ajja teruuussss sampe hilang rasa kangennya.</t>
  </si>
  <si>
    <t>Ppkm diperpanjang lg, warnet mimin blm bisa buka. Empang bandeng rawa jg blm jd grand opening. Hadah gini amat tinggal di wakanda foreva.</t>
  </si>
  <si>
    <t>@sutanmangarahrp @alisyarief Bullshit smuanya datanya sama aja kyk président nya ngibul NOL besar, dana UMKM aja turun drastis dr 2.5 skrg cuma 1.2 itu pun dibuat 2x cair, UMKM bsar yg sdh pnya nama dan franchise dmn2 yg skrg bs brthan</t>
  </si>
  <si>
    <t>Bullshit smuanya datanya sama aja kyk prsident nya ngibul NOL besar, dana UMKM aja turun drastis dr skrg cuma itu pun dibuat x cair, UMKM bsar yg sdh pnya nama dan franchise dmn2 yg skrg bs brthan</t>
  </si>
  <si>
    <t>Ppkm di perpanjang lagi :(</t>
  </si>
  <si>
    <t>Ppkm di perpanjang lagi</t>
  </si>
  <si>
    <t>@6undul0h @NetaTris Cebongs layak harus dihajar Peraturan Pembatasan Karena Mukidi (PPKM) berjilid2 biar mentas dari kolam biar nyadar negeri ini sedang ada apa2..🤪</t>
  </si>
  <si>
    <t>Cebongs layak harus dihajar Peraturan Pembatasan Karena Mukidi (PPKM) berjilid2 biar mentas dari kolam biar nyadar negeri ini sedang ada apa2..</t>
  </si>
  <si>
    <t>@Inaratulove Entar bangunya kalo ppkm gak diperpanjang lagi..🥺🥺</t>
  </si>
  <si>
    <t>Entar bangunya kalo ppkm gak diperpanjang lagi..</t>
  </si>
  <si>
    <t>@kemalpalevi Itu yg kabur kebanyakan org2 yg bekerja untuk amerika... gosah sedih, biar amerika yg tanggung jawab. Skrng lanjutin sedih PPKM diperpanjang aja.</t>
  </si>
  <si>
    <t>Itu yg kabur kebanyakan org2 yg bekerja untuk amerika... gosah sedih, biar amerika yg tanggung jawab. Skrng lanjutin sedih PPKM diperpanjang aja.</t>
  </si>
  <si>
    <t>@jokowi Apaah arti kata kemerdakan pak jika masyarakatmu masih banyak yang mengeluh dan bibgung dengan hal hal peraturan yang dianggap masih mengambang yabg dimana masih banyak rakyat anda yang merasakan kebingungn dengan ppkm yang berkepanjngn terus menerus tanpa ada upaya tindak lain</t>
  </si>
  <si>
    <t>Apaah arti kata kemerdakan pak jika masyarakatmu masih banyak yang mengeluh dan bibgung dengan hal hal peraturan yang dianggap masih mengambang yabg dimana masih banyak rakyat anda yang merasakan kebingungn dengan ppkm yang berkepanjngn terus menerus tanpa ada upaya tindak lain</t>
  </si>
  <si>
    <t>@starlight65421 abis buat itu kena ppkm stress gak bisa mikir,
 ini mulai longgar lagi otakku, jadi imajinasi laknat mulai berdatangan.
 kalo Ryuji keknya mabok, soalnya dia lupa, Omi nya salting, keknya masih inget atau sadar pas ciuman wkwkwkw</t>
  </si>
  <si>
    <t>abis buat itu kena ppkm stress gak bisa mikir,ini mulai longgar lagi otakku, jadi imajinasi laknat mulai berdatangan.kalo Ryuji keknya mabok, soalnya dia lupa, Omi nya salting, keknya masih inget atau sadar pas ciuman wkwkwkw</t>
  </si>
  <si>
    <t>Indonesia, kakean utang, kakean aturan garai masyarakat cilik kelangan, penggawean, penghasilan, mergo PPKM terus terusan 🥴 nanti tak kasih nada</t>
  </si>
  <si>
    <t>Indonesia, kakean utang, kakean aturan garai masyarakat cilik kelangan, penggawean, penghasilan, mergo PPKM terus terusan nanti tak kasih nada</t>
  </si>
  <si>
    <t>PPKM diperpanjang bukan sebuah alasan untuk berhenti mengejar cita-cita. Tak trobos e 😂😂</t>
  </si>
  <si>
    <t>PPKM diperpanjang bukan sebuah alasan untuk berhenti mengejar cita-cita. Tak trobos e</t>
  </si>
  <si>
    <t>@sshhghrt Kan ppkm</t>
  </si>
  <si>
    <t>Sudah bosan inhin main tp ppkm di perpanjang</t>
  </si>
  <si>
    <t>Manfaat PPKM untuk rakyat apasih???
 Kok di perpanjang mulu...
 #seriusnanya #gangerti #bingung</t>
  </si>
  <si>
    <t>Manfaat PPKM untuk rakyat apasih???Kok di perpanjang mulu...</t>
  </si>
  <si>
    <t>PPKM diperpanjang gini enaknya kita serumah, netflix n chill, terus sambil selimutan</t>
  </si>
  <si>
    <t>Kayanya ini pergi terpagi selama Ppkm deh :(</t>
  </si>
  <si>
    <t>Kayanya ini pergi terpagi selama Ppkm deh</t>
  </si>
  <si>
    <t>ppkm diperpanjang sampe jamal dapet pacar alias GUE PENGEN PUNYA PACAR</t>
  </si>
  <si>
    <t>@VIVAcoid mentang mentang duitnya banyak maen lokdown aja.. cukup PPKM level 2 aja model dimari. duitnya sumbangin ke negri wakanda buat pedagang yg ga boleh jualan</t>
  </si>
  <si>
    <t>mentang mentang duitnya banyak maen lokdown aja.. cukup PPKM level aja model dimari. duitnya sumbangin ke negri wakanda buat pedagang yg ga boleh jualan</t>
  </si>
  <si>
    <t>@Mei2Namaku Siap ap abah ? PPKM 3 thn ?</t>
  </si>
  <si>
    <t>Siap ap abah ? PPKM thn ?</t>
  </si>
  <si>
    <t>Mau nulis artikel PPKM diperpanjang sampai tanggal berapa. Kayaknya bakal page one.
 Cuman isinya ini yang ...</t>
  </si>
  <si>
    <t>Mau nulis artikel PPKM diperpanjang sampai tanggal berapa. Kayaknya bakal page one.Cuman isinya ini yang ...</t>
  </si>
  <si>
    <t>@nophiieta Semoga ppkm udahan pusing bgt gak kerja kerja</t>
  </si>
  <si>
    <t>Semoga ppkm udahan pusing bgt gak kerja kerja</t>
  </si>
  <si>
    <t>Selamat pagi.
 Mau kemana hari ini? Masih PPKM loh</t>
  </si>
  <si>
    <t>Selamat pagi.Mau kemana hari ini? Masih PPKM loh</t>
  </si>
  <si>
    <t>Juara 1 bertahan hidup dari masa ppkm level 4</t>
  </si>
  <si>
    <t>Juara bertahan hidup dari masa ppkm level</t>
  </si>
  <si>
    <t>@Quincy_alattas Alasanya ppkm, gak boleh berkerumun, itu tni polri pd berkerumun.</t>
  </si>
  <si>
    <t>Alasanya ppkm, gak boleh berkerumun, itu tni polri pd berkerumun.</t>
  </si>
  <si>
    <t>Met pageh sobat ppkm 🤟🥀 https://t.co/8GPTTnLSzP</t>
  </si>
  <si>
    <t>Met pageh sobat ppkm</t>
  </si>
  <si>
    <t>PPKM diperpanjang, kemudian hari ini dapet WFH lagi, padahal Jumat sama Senin jg WFH. Tau gitu mudik Magelang sampe hari ini aja. Nyesel mah belakangan.</t>
  </si>
  <si>
    <t>@pengenkurusbole Kalo ppkm diperpanjang 9bulan lagi mah keknya otw setaun ghin🥲 wkwk setaun aadatan</t>
  </si>
  <si>
    <t>Kalo ppkm diperpanjang bulan lagi mah keknya otw setaun ghin wkwk setaun aadatan</t>
  </si>
  <si>
    <t>@eksyptr @CALukitasari PPKM soalnya.</t>
  </si>
  <si>
    <t>PPKM soalnya.</t>
  </si>
  <si>
    <t>Punten, selama ppkm ada yg pernah naik bis terus menemukan penumpang anak usia di bawah 12 tahun gak? Boleh gak sih kalo bawa anak2 naik bis skrg2?</t>
  </si>
  <si>
    <t>Punten, selama ppkm ada yg pernah naik bis terus menemukan penumpang anak usia di bawah tahun gak? Boleh gak sih kalo bawa anak2 naik bis skrg2?</t>
  </si>
  <si>
    <t>Semenjak PPKM weekend berasa lama yakrn gaada yg diharepin dan ditunggu2, aktivitas berasa sama aje kek weekday.</t>
  </si>
  <si>
    <t>Ppkm diperpanjang terus, kapan ketemu temen hidupnya??</t>
  </si>
  <si>
    <t>@kompascom Rakyat terkena imbas Ppkm, yg di sono foya2 🤣🤣</t>
  </si>
  <si>
    <t>Rakyat terkena imbas Ppkm, yg di sono foya2</t>
  </si>
  <si>
    <t>@CNNIndonesia @msaid_didu Klo cm satu, mungkin bs disaranin makan nasi kucing dl, habis itu minum jamu jahe, setelah itu baru goyang ubur2, g mesti lokcdown, cukup PPKM aja, bs diperpanjang kok..</t>
  </si>
  <si>
    <t>Klo cm satu, mungkin bs disaranin makan nasi kucing dl, habis itu minum jamu jahe, setelah itu baru goyang ubur2, g mesti lokcdown, cukup PPKM aja, bs diperpanjang kok..</t>
  </si>
  <si>
    <t>ppkm : planga plongo kurang money
 BETUL APA BETULL</t>
  </si>
  <si>
    <t>ppkm : planga plongo kurang moneyBETUL APA BETULL</t>
  </si>
  <si>
    <t>@cheewypudding Hehehe iyoo efek PPKM</t>
  </si>
  <si>
    <t>Hehehe iyoo efek PPKM</t>
  </si>
  <si>
    <t>@semuakuliner @infomalang Setiap hari buka 🙏 untuk jam pelayanan selama PPKM bisa coba ditanyakan langsung di (0341) 364617 🙏</t>
  </si>
  <si>
    <t>Setiap hari buka untuk jam pelayanan selama PPKM bisa coba ditanyakan langsung di (0341)</t>
  </si>
  <si>
    <t>@kemalpalevi @liputankerja Ya iyalah. Nggak kena dampak PPKM. Ya nggak sedih.</t>
  </si>
  <si>
    <t>Ya iyalah. Nggak kena dampak PPKM. Ya nggak sedih.</t>
  </si>
  <si>
    <t>@VIVAcoid Gini loh @KemenkesRI cara atasih korona. Bukanya malah ppkm gak guna</t>
  </si>
  <si>
    <t>Gini loh cara atasih korona. Bukanya malah ppkm gak guna</t>
  </si>
  <si>
    <t>@AREAJULID Di karenakan PPKM</t>
  </si>
  <si>
    <t>Di karenakan PPKM</t>
  </si>
  <si>
    <t>PPKM Diperpanjang Lagi? https://t.co/kiN9IlNezN</t>
  </si>
  <si>
    <t>PPKM Diperpanjang Lagi?</t>
  </si>
  <si>
    <t>kenapa ppkm hanya di jawa dan bali</t>
  </si>
  <si>
    <t>Pemerintah jangan senang dan puas dulu atas ekonomi yang telah kembali. Jangan lupa, kuartal ketiga 2021 diiringi dengan PPKM Darurat dan PPKM Level 4.
 https://t.co/W4X82mHoef</t>
  </si>
  <si>
    <t>Pemerintah jangan senang dan puas dulu atas ekonomi yang telah kembali. Jangan lupa, kuartal ketiga diiringi dengan PPKM Darurat dan PPKM Level .</t>
  </si>
  <si>
    <t>Ini bangun terpagi gw selama ppkm</t>
  </si>
  <si>
    <t>@satriadjenar @djony_edward Ppkm = police pekok kurang makan</t>
  </si>
  <si>
    <t>Ppkm = police pekok kurang makan</t>
  </si>
  <si>
    <t>Ppkm sebenrnya setahun. Cuman nyicilnya seminggu-seminggu</t>
  </si>
  <si>
    <t>@rehuellangela mentai roll dulu berarti. kelar ppkm baru sashimi</t>
  </si>
  <si>
    <t>mentai roll dulu berarti. kelar ppkm baru sashimi</t>
  </si>
  <si>
    <t>@kookieniaa Kayaknya gara2 ada ppkm berlanjut ini deh, jdnya lama bngt</t>
  </si>
  <si>
    <t>Kayaknya gara2 ada ppkm berlanjut ini deh, jdnya lama bngt</t>
  </si>
  <si>
    <t>Akibat PPKM berlapis-lapis..🥴🥴
 Assalamualaikum 🙏🙏
 Tetap semangat 💪🏻❤️ https://t.co/uixby6C8hs</t>
  </si>
  <si>
    <t>Akibat PPKM berlapis-lapis..Assalamualaikum Tetap semangat</t>
  </si>
  <si>
    <t>Edisi ppkm
 Ketika Aturan manusia harus di patuhi dan aturan Tuhan malah di cuekin, siapa sebenarnya yg kita sembah..</t>
  </si>
  <si>
    <t>Edisi ppkmKetika Aturan manusia harus di patuhi dan aturan Tuhan malah di cuekin, siapa sebenarnya yg kita sembah..</t>
  </si>
  <si>
    <t>@BNI Aku tim #IndonesiaTangguh
 Semangat yok bisa melewati masa pendemi dan ppkm. Dan semoga Indonesia semoga pulih kembali. #GenerasiTangguhIndonesia https://t.co/UxC0Y25wmD</t>
  </si>
  <si>
    <t>Aku tim yok bisa melewati masa pendemi dan ppkm. Dan semoga Indonesia semoga pulih kembali.</t>
  </si>
  <si>
    <t>grgr ppkm diperpanjang, tingkatan covid naik kayanya https://t.co/5cEpIyKltl</t>
  </si>
  <si>
    <t>grgr ppkm diperpanjang, tingkatan covid naik kayanya</t>
  </si>
  <si>
    <t>@Nfadhilah_2 emang iya? kan masih ppkm</t>
  </si>
  <si>
    <t>emang iya? kan masih ppkm</t>
  </si>
  <si>
    <t>@aisazaz ohh teknis, ppkm buat apaan adaa sistem ganjil genap? virus bakal milih plat nomor lu? pembatesan di malam hari (yaa walopun udh gada this rule is totally fucked up). vaksin dijadiin segala syarat buat ngapa2in (makan, ketempat ini, dll)</t>
  </si>
  <si>
    <t>ohh teknis, ppkm buat apaan adaa sistem ganjil genap? virus bakal milih plat nomor lu? pembatesan di malam hari (yaa walopun udh gada this rule is totally fucked up). vaksin dijadiin segala syarat buat ngapa2in (makan, ketempat ini, dll)</t>
  </si>
  <si>
    <t>@adityajuliannn ppkm mulu, kapan ya yg virtual bisa ketemu?</t>
  </si>
  <si>
    <t>ppkm mulu, kapan ya yg virtual bisa ketemu?</t>
  </si>
  <si>
    <t>@nophiieta sabar ya jngn ngeluh ppkm huhuhu</t>
  </si>
  <si>
    <t>sabar ya jngn ngeluh ppkm huhuhu</t>
  </si>
  <si>
    <t>waktu itu dia mau balik ke rumahnya. terus ortunya khawatir kalau dia naik motor sendirian, karena waktu itu ppkm.
 trs ibunya nih nyuruh dia pake travel atau nyewa mobil + supir pribadi.</t>
  </si>
  <si>
    <t>waktu itu dia mau balik ke rumahnya. terus ortunya khawatir kalau dia naik motor sendirian, karena waktu itu ppkm.trs ibunya nih nyuruh dia pake travel atau nyewa mobil + supir pribadi.</t>
  </si>
  <si>
    <t>Ngakak sampe ppkm di perpanjang lagi https://t.co/R1y9xBB7Yq</t>
  </si>
  <si>
    <t>Ngakak sampe ppkm di perpanjang lagi</t>
  </si>
  <si>
    <t>PPKM atau PSBB ? — Free https://t.co/UZ0ovfRDdl</t>
  </si>
  <si>
    <t>PPKM atau PSBB ? Free</t>
  </si>
  <si>
    <t>ppkm diperpanjang trs deh. baju baju gue masih di bandung anjir jamuran ga ya</t>
  </si>
  <si>
    <t>@Rujakcinguur Bersyukur donk 😂 ppkm masih bs muter2</t>
  </si>
  <si>
    <t>Bersyukur donk ppkm masih bs muter2</t>
  </si>
  <si>
    <t>@schfess asli seneng bgtt, ini kapan selese ppkm cobaa padahal uda punya list keluar😂</t>
  </si>
  <si>
    <t>asli seneng bgtt, ini kapan selese ppkm cobaa padahal uda punya list keluar</t>
  </si>
  <si>
    <t>ppkm hari ke 3</t>
  </si>
  <si>
    <t>ppkm hari ke</t>
  </si>
  <si>
    <t>lg ppkm gini salon buka ga sih pgn botak</t>
  </si>
  <si>
    <t>@Askrlfess masih banyak nder, tapi katanya aku liat di tikt°k rs juga udah banyak yg sepi alias gegara ppkm ini kasus nya jadi alhamdulilah turun cmiiw</t>
  </si>
  <si>
    <t>masih banyak nder, tapi katanya aku liat di tiktk rs juga udah banyak yg sepi alias gegara ppkm ini kasus nya jadi alhamdulilah turun cmiiw</t>
  </si>
  <si>
    <t>Pandemi cepetan ilangnya, aku mau magang susah bangettt kaga ada yg nerima selama ppkm😭😭</t>
  </si>
  <si>
    <t>Pandemi cepetan ilangnya, aku mau magang susah bangettt kaga ada yg nerima selama ppkm</t>
  </si>
  <si>
    <t>@rmol_id @airlangga_hrt Pengangguran bertambah, kan ada PPKM 🙂</t>
  </si>
  <si>
    <t>Pengangguran bertambah, kan ada PPKM</t>
  </si>
  <si>
    <t>Emang seneng buat aturan yang dia langgar sendiri itulah pak @jokowi , PPKM diperpanjang tanpa solusi eh dia bagi2 di wilayah yang terkondisi #JokowiMemanggakHebat #JokowiGagalUrusNegara https://t.co/PBNaC5xOnU</t>
  </si>
  <si>
    <t>Emang seneng buat aturan yang dia langgar sendiri itulah pak , PPKM diperpanjang tanpa solusi eh dia bagi2 di wilayah yang terkondisi</t>
  </si>
  <si>
    <t>Pencinta pedas sampai level-levelan, tapi bukan pencinta PPKM yg levelnya tak teratur🤭 https://t.co/CGSAq5lggj</t>
  </si>
  <si>
    <t>Pencinta pedas sampai level-levelan, tapi bukan pencinta PPKM yg levelnya tak teratur</t>
  </si>
  <si>
    <t>@kostanalter ppkm nya seleesainy kapan.?</t>
  </si>
  <si>
    <t>ppkm nya seleesainy kapan.?</t>
  </si>
  <si>
    <t>Ppkm bikin jadwal tidur jadi kacoooo</t>
  </si>
  <si>
    <t>@sutanmangarahrp Diwakanda doang yg pake masker biar kayanya covid berbahaya,padahal biar mulyono takut didemo dengan alsan ppkm</t>
  </si>
  <si>
    <t>Diwakanda doang yg pake masker biar kayanya covid berbahaya,padahal biar mulyono takut didemo dengan alsan ppkm</t>
  </si>
  <si>
    <t>Dulu, 
 Kalian benci demo berjilid-jilid, 
 Kini, 
 Nikmatilah PPKM berjilid-jilid. 
 #Jokowi404NotFound 
 #Jokowi404NotFound</t>
  </si>
  <si>
    <t>Dulu, Kalian benci demo berjilid-jilid, Kini, Nikmatilah PPKM berjilid-jilid.</t>
  </si>
  <si>
    <t>ada yg khawatir jika Thaliban sukses mengelola negerinya menjadi adil makmur bisa memotivasi negara negara lain utk mengikuti jejak nya.
 selamat menikmati PPKM bersambung terus menerus shg kalian tdk bisa demo.</t>
  </si>
  <si>
    <t>ada yg khawatir jika Thaliban sukses mengelola negerinya menjadi adil makmur bisa memotivasi negara negara lain utk mengikuti jejak nya.selamat menikmati PPKM bersambung terus menerus shg kalian tdk bisa demo.</t>
  </si>
  <si>
    <t>@warungsunsun diperpanjang nder kaya ppkm</t>
  </si>
  <si>
    <t>diperpanjang nder kaya ppkm</t>
  </si>
  <si>
    <t>Woh iyo yo PPKM ditambah 1 minggu</t>
  </si>
  <si>
    <t>Woh iyo yo PPKM ditambah minggu</t>
  </si>
  <si>
    <t>Meskipun sepeserpun saya tidak dapat bantuan dr pemerintah tapi ketakutan terbesar ku, bantuan pemerintah disalah gunakan untuk membeli chip karna banyak org lagi strees gara2 covid dan PPKM.semoga saja disalahgunakan,jika tidak permainan @higgsdomino segera dihentikan, hahahahah</t>
  </si>
  <si>
    <t>Meskipun sepeserpun saya tidak dapat bantuan dr pemerintah tapi ketakutan terbesar ku, bantuan pemerintah disalah gunakan untuk membeli chip karna banyak org lagi strees gara2 covid dan PPKM.semoga saja disalahgunakan,jika tidak permainan segera dihentikan, hahahahah</t>
  </si>
  <si>
    <t>Musti belajar psbb &amp;amp; ppkm, jeung https://t.co/8cYcVBTkza</t>
  </si>
  <si>
    <t>Musti belajar psbb &amp;amp; ppkm, jeung</t>
  </si>
  <si>
    <t>@cumoulonimbus Aku di Sukabumi sayang. Kabarin yaaa please. After ppkm (yang entah kapan usai ini) aku pengen ketemu 💛</t>
  </si>
  <si>
    <t>Aku di Sukabumi sayang. Kabarin yaaa please. After ppkm (yang entah kapan usai ini) aku pengen ketemu</t>
  </si>
  <si>
    <t>Tidak hanya PPKM levelnya, dan yang di harapkan rakyat dari presiden adalah lompatan berpikir di situasi serba sulit dan sebaiknya mencontoh pemimpin negara yang berhasil keluar dari pandemi. https://t.co/hAsotymMIr</t>
  </si>
  <si>
    <t>Tidak hanya PPKM levelnya, dan yang di harapkan rakyat dari presiden adalah lompatan berpikir di situasi serba sulit dan sebaiknya mencontoh pemimpin negara yang berhasil keluar dari pandemi.</t>
  </si>
  <si>
    <t>@pluang_id Boro2 Investasi apalagi simpan emas... lg pademi ppkm jg msh jalan</t>
  </si>
  <si>
    <t>Boro2 Investasi apalagi simpan emas... lg pademi ppkm jg msh jalan</t>
  </si>
  <si>
    <t>@_raithab Ppkm ihhh</t>
  </si>
  <si>
    <t>Makin lama ppkm makin sering main sendiri https://t.co/0iyHDS7tS4</t>
  </si>
  <si>
    <t>Makin lama ppkm makin sering main sendiri</t>
  </si>
  <si>
    <t>@MRidwanEly1 Saya mau lah honor jadi pengawas ppkm kalau kerjanya begitu, di bayar 50.000 perhari gpp</t>
  </si>
  <si>
    <t>Saya mau lah honor jadi pengawas ppkm kalau kerjanya begitu, di bayar perhari gpp</t>
  </si>
  <si>
    <t>Asem mimpi dipenjara gara-gara pukulin orang, bangun bangun badan sakit semua, keknya mending dipenjara karena ngelanggar PPKM dah keluar penjara masuk tipi atau paling tidak jadi member penerima bansos seumur hidup 🤪</t>
  </si>
  <si>
    <t>Asem mimpi dipenjara gara-gara pukulin orang, bangun bangun badan sakit semua, keknya mending dipenjara karena ngelanggar PPKM dah keluar penjara masuk tipi atau paling tidak jadi member penerima bansos seumur hidup</t>
  </si>
  <si>
    <t>@galauklomood ppkm putu</t>
  </si>
  <si>
    <t>ppkm putu</t>
  </si>
  <si>
    <t>@Gitandinii ayooo kita lakukan kalau ppkm kelarr</t>
  </si>
  <si>
    <t>ayooo kita lakukan kalau ppkm kelarr</t>
  </si>
  <si>
    <t>@Naaoolll @mohmahfudmd Varian yg 19 aja blm kelar... ini 29 lagi.. bs smp 2026 ni PPKM nya</t>
  </si>
  <si>
    <t>Varian yg aja blm kelar... ini lagi.. bs smp ni PPKM nya</t>
  </si>
  <si>
    <t>Kaget liat temen lagi jalan ama cowonya, kemaren gua ajak jalan alesannya ppkm :)</t>
  </si>
  <si>
    <t>Kaget liat temen lagi jalan ama cowonya, kemaren gua ajak jalan alesannya ppkm</t>
  </si>
  <si>
    <t>PPKM diperpanjang sampe orang kalimantan bisa menjadi presiden https://t.co/YYKVH7q7Is</t>
  </si>
  <si>
    <t>PPKM diperpanjang sampe orang kalimantan bisa menjadi presiden</t>
  </si>
  <si>
    <t>Dari tadi gedeg bgt liat komenannya. Untung ada yang retweet yang ngasih penjelasan gini. Kacau sih kalo segala macem nyalahin negara mulu mintak ppkm gk diperpanjang tapi prokes masih gak taat. https://t.co/IeURapRqrK</t>
  </si>
  <si>
    <t>Dari tadi gedeg bgt liat komenannya. Untung ada yang retweet yang ngasih penjelasan gini. Kacau sih kalo segala macem nyalahin negara mulu mintak ppkm gk diperpanjang tapi prokes masih gak taat.</t>
  </si>
  <si>
    <t>loh ternyata gua rajin juga ikutin aturan ppkm jarang keluar rumah,pas liat sg orang cafe,jalanan rame bangettt😭</t>
  </si>
  <si>
    <t>loh ternyata gua rajin juga ikutin aturan ppkm jarang keluar rumah,pas liat sg orang cafe,jalanan rame bangettt</t>
  </si>
  <si>
    <t>@abu_waras Ngaco aja tuh aparat
 Mosok pasang bendera di PIK gak
 Boleh dgn alasan ppkm ???
 Koplak 😂</t>
  </si>
  <si>
    <t>Ngaco aja tuh aparatMosok pasang bendera di PIK gakBoleh dgn alasan ppkm ???Koplak</t>
  </si>
  <si>
    <t>fix ppkm selesai banget mau ke pluit village liat dia ^__^</t>
  </si>
  <si>
    <t>@CNNIndonesia Rakyat yang mana pak? Rakyat kelaparan kok gaada solusi? Rakyat gabisa kerja gegara ppkm kok gaada solusi?</t>
  </si>
  <si>
    <t>Rakyat yang mana pak? Rakyat kelaparan kok gaada solusi? Rakyat gabisa kerja gegara ppkm kok gaada solusi?</t>
  </si>
  <si>
    <t>@Indiggojunior @ice_mariati @PartBurungGalak Gak mungkin PPKM dibuka setelah 80% divaksin, skrg aja yg 1x baru 25%, yg udah 2x 13%, kecepatan vaksin rata2 sekitar 1jt per hari, akhir tahun belum tentu 80%, menjelang 6bulan, efikasi vaksin mulai menurun.</t>
  </si>
  <si>
    <t>Gak mungkin PPKM dibuka setelah % divaksin, skrg aja yg x baru %, yg udah x %, kecepatan vaksin rata2 sekitar jt per hari, akhir tahun belum tentu %, menjelang bulan, efikasi vaksin mulai menurun.</t>
  </si>
  <si>
    <t>@DonySiswanto @Dennysiregar7 Kagak ada PPKM di afghanistan ngab 🤣</t>
  </si>
  <si>
    <t>Kagak ada PPKM di afghanistan ngab</t>
  </si>
  <si>
    <t>@e100ss Covid19 itu virus bukan? Namanya virus ya akan ada selamanya lah... Gitu ga sih... PPKM ga PPKM virus akan selalu ada.</t>
  </si>
  <si>
    <t>Covid19 itu virus bukan? Namanya virus ya akan ada selamanya lah... Gitu ga sih... PPKM ga PPKM virus akan selalu ada.</t>
  </si>
  <si>
    <t>@dwiki_411 Kenapa ppkm menjadi alasan ya?
 Apa salahnya pik itukan masih wilayah NKRI ???</t>
  </si>
  <si>
    <t>Kenapa ppkm menjadi alasan ya?Apa salahnya pik itukan masih wilayah NKRI ???</t>
  </si>
  <si>
    <t>@Ayang_Utriza Awas kena pol pp pak ,ini masih PPKM . Eh di belgia apa ada ppkm ???? 😆</t>
  </si>
  <si>
    <t>Awas kena pol pp pak ,ini masih PPKM . Eh di belgia apa ada ppkm ????</t>
  </si>
  <si>
    <t>@AREAJULID Gue ngerantau jd kerasa bgt kesepiannya apalagi keseringan ppkm pas hari kerja. Justru pas dirumah sendiri, tau2 udah maghrib aja, udh sore aja. Jd kgn rumah huhu :'(</t>
  </si>
  <si>
    <t>Gue ngerantau jd kerasa bgt kesepiannya apalagi keseringan ppkm pas hari kerja. Justru pas dirumah sendiri, tau2 udah maghrib aja, udh sore aja. Jd kgn rumah huhu :'(</t>
  </si>
  <si>
    <t>abis ppkm ikut motoran yu</t>
  </si>
  <si>
    <t>@priskillakillaq Efek ppkm mungkin</t>
  </si>
  <si>
    <t>Efek ppkm mungkin</t>
  </si>
  <si>
    <t>PPKM diperpanjang lagi gaes.. abis dikabarin mak erot</t>
  </si>
  <si>
    <t>Bismillah semoga hari ini daper kabar bigwinnn, mau kekampus buat validasi huhuhu ppkm diperpanjang lagi semoga kampus ga tutup...</t>
  </si>
  <si>
    <t>@ah_aban Ppkm ga boleh peluk2☺</t>
  </si>
  <si>
    <t>Ppkm ga boleh peluk2</t>
  </si>
  <si>
    <t>Gara gara PPKM,sertifikasi COP &amp;amp; COC aye,udah 2 bln ga bs terbit,PPKM kapan selesai nya?perpanjang terus🤦‍♂️🤔</t>
  </si>
  <si>
    <t>Gara gara PPKM,sertifikasi COP &amp;amp; COC aye,udah bln ga bs terbit,PPKM kapan selesai nya?perpanjang terus</t>
  </si>
  <si>
    <t>@Jogja_Uncover Jangan ada keramaian.. . Ppkm di perpanjang</t>
  </si>
  <si>
    <t>Jangan ada keramaian.. . Ppkm di perpanjang</t>
  </si>
  <si>
    <t>Ada-ada saja, kemarin santai nonton Ikatan Cinta di masa PPKM. Kini rupanya Covid-19 berubah status jadi Covid-29. 
 Kurang berjemur kayaknya, atok ini 😁</t>
  </si>
  <si>
    <t>Ada-ada saja, kemarin santai nonton Ikatan Cinta di masa PPKM. Kini rupanya Covid-19 berubah status jadi Covid-29. Kurang berjemur kayaknya, atok ini</t>
  </si>
  <si>
    <t>Ada yg lebihlebih bikin sakit hati banget melebihi di tinggal pas lagi sayangsayangnya,yaitu sebuah harapan ppkm yg udah mau kelar eh nyatanya d perpanjang lagi
 Sakit gak? Sakit gak? Sakitlah masa nggak</t>
  </si>
  <si>
    <t>Ada yg lebihlebih bikin sakit hati banget melebihi di tinggal pas lagi sayangsayangnya,yaitu sebuah harapan ppkm yg udah mau kelar eh nyatanya d perpanjang lagiSakit gak? Sakit gak? Sakitlah masa nggak</t>
  </si>
  <si>
    <t>dear brand, ppkm aja diperpanjang…
 masa kontrak kita, ekhm… https://t.co/vsHMlz9wy7</t>
  </si>
  <si>
    <t>dear brand, ppkm aja diperpanjangmasa kontrak kita, ekhm</t>
  </si>
  <si>
    <t>@ohmyasoka @adrafanf @AREAJULID gak lewat sana, cantika lagi dirumah aja. PPKM soalnya.</t>
  </si>
  <si>
    <t>gak lewat sana, cantika lagi dirumah aja. PPKM soalnya.</t>
  </si>
  <si>
    <t>@hazizarunn Pengakuan dosa itu, mo ke gereja masih ppkm</t>
  </si>
  <si>
    <t>Pengakuan dosa itu, mo ke gereja masih ppkm</t>
  </si>
  <si>
    <t>Yu bisa yu buat liburan setelah ppkm</t>
  </si>
  <si>
    <t>semenjak ppkm paket gue pada lama semua datangnya!!!😡</t>
  </si>
  <si>
    <t>semenjak ppkm paket gue pada lama semua datangnya!!!</t>
  </si>
  <si>
    <t>@andihiyat Lommba bertahan hidup dalam keadaan PPKM</t>
  </si>
  <si>
    <t>Lommba bertahan hidup dalam keadaan PPKM</t>
  </si>
  <si>
    <t>Mumet bat ini pala berasa mau pecah dikosan mulu, ppkm kapan kelarnya sih aaaaargh</t>
  </si>
  <si>
    <t>@LindsayYonatan @zuraganpriangan @VIVAcoid Karena jika lockdown pemerintah harus nanggung kebutuhan rakyatnya selama lockdown dan itu ada di UU ...dan pemerintah ngga mau melaksanakan UU tsb, jd dipilihlah istilah PBB sampai PPKM berlevel2 krn ngga da kewajiban nanggung keb rakyatnya. PAHAM?</t>
  </si>
  <si>
    <t>Karena jika lockdown pemerintah harus nanggung kebutuhan rakyatnya selama lockdown dan itu ada di UU ...dan pemerintah ngga mau melaksanakan UU tsb, jd dipilihlah istilah PBB sampai PPKM berlevel2 krn ngga da kewajiban nanggung keb rakyatnya. PAHAM?</t>
  </si>
  <si>
    <t>ppkm kyk Spotify premium, diperpanjang tiap minggu</t>
  </si>
  <si>
    <t>@omgyashgurl Tuhan : ada nih, virtual. Yang tatap muka masih kena perpanjangan ppkm</t>
  </si>
  <si>
    <t>Tuhan : ada nih, virtual. Yang tatap muka masih kena perpanjangan ppkm</t>
  </si>
  <si>
    <t>PPKM paswortnya? Para Pemuda Kembali Menganggur</t>
  </si>
  <si>
    <t>@johnnywifeuu HSEWKWKWK aladin ppkm ka lip ga buka order dulu 🤣</t>
  </si>
  <si>
    <t>HSEWKWKWK aladin ppkm ka lip ga buka order dulu</t>
  </si>
  <si>
    <t>@wenda_N99 Jangan PROVOKATIV begitu. PPKM dng kasus Tanjung Priok jelas beda jauh akar permasalahannya.</t>
  </si>
  <si>
    <t>Jangan PROVOKATIV begitu. PPKM dng kasus Tanjung Priok jelas beda jauh akar permasalahannya.</t>
  </si>
  <si>
    <t>@detikcom kan para pemerintah efek PPKM atau PSBB gk berdampak. gaji utuh tunjangan utuh walaupun dirumah saja.
  kalau kayak pedagang makanan. asongan. supir angkot. ojol dsb gimana??</t>
  </si>
  <si>
    <t>kan para pemerintah efek PPKM atau PSBB gk berdampak. gaji utuh tunjangan utuh walaupun dirumah saja. kalau kayak pedagang makanan. asongan. supir angkot. ojol dsb gimana??</t>
  </si>
  <si>
    <t>@keuangannews_id Isas isis isas isis....mulu'
 Taliban ga berkuasa isis
 Taliban berkuasa isis
 Jangan² ppkm sampai berjilid² begini loe bilang isis jg ya min...</t>
  </si>
  <si>
    <t>Isas isis isas isis....mulu'Taliban ga berkuasa isisTaliban berkuasa isisJangan ppkm sampai berjilid begini loe bilang isis jg ya min...</t>
  </si>
  <si>
    <t>@fthllingga besok kalo dah ngga ppkm</t>
  </si>
  <si>
    <t>besok kalo dah ngga ppkm</t>
  </si>
  <si>
    <t>Pas di saat PPKM https://t.co/wL7GEjkeJE</t>
  </si>
  <si>
    <t>Pas di saat PPKM</t>
  </si>
  <si>
    <t>Belum nyiapin bahan, belum belajar jg. Ppkm bngke:(((</t>
  </si>
  <si>
    <t>Belum nyiapin bahan, belum belajar jg. Ppkm bngke</t>
  </si>
  <si>
    <t>@ukiakbar Ppkm bro gaoleh 🤟🏻🤟🏻</t>
  </si>
  <si>
    <t>Ppkm bro gaoleh</t>
  </si>
  <si>
    <t>Orang yang pintar adalah org yg menghormati pahalawan lambang negara dan benderanya .
 karna PPKM Masih berlanjut kita tidak bisa panjat pinang
 Mari Kita panjatkan Doa saja kiranya kita sehat semua.. Aamiin
 #HUTRI76 https://t.co/KYNALH7PYp</t>
  </si>
  <si>
    <t>Orang yang pintar adalah org yg menghormati pahalawan lambang negara dan benderanya .karna PPKM Masih berlanjut kita tidak bisa panjat pinangMari Kita panjatkan Doa saja kiranya kita sehat semua.. Aamiin</t>
  </si>
  <si>
    <t>Tapi ingat ya, kalau nanti PPKM udah dihentikan krn kasus Covid mulai menurun, krn masih pandemi kita semua harus tetap patuhi protokol kesehatan. https://t.co/yRBiOtPwLv</t>
  </si>
  <si>
    <t>Tapi ingat ya, kalau nanti PPKM udah dihentikan krn kasus Covid mulai menurun, krn masih pandemi kita semua harus tetap patuhi protokol kesehatan.</t>
  </si>
  <si>
    <t>Mikir Rakyat Negeri katak yang akan melakukan PPKM berkelanjutan tanpa solusi jelas karena gak mampu melaksakan Perpresnya sendiri tt karantina akibat saldonya abis #2021HarusGantiPresiden #JokowiGagalUrusNegara https://t.co/ydcVgA4PWw</t>
  </si>
  <si>
    <t>Mikir Rakyat Negeri katak yang akan melakukan PPKM berkelanjutan tanpa solusi jelas karena gak mampu melaksakan Perpresnya sendiri tt karantina akibat saldonya abis</t>
  </si>
  <si>
    <t>apa saja ppkm darurat jawa bali</t>
  </si>
  <si>
    <t>PPKM = Pelan Pelan Kita Mati https://t.co/ytmiUwlpx3</t>
  </si>
  <si>
    <t>PPKM = Pelan Pelan Kita Mati</t>
  </si>
  <si>
    <t>Gak ada yang mengharapkan PPKM terus diperpanjang, tapi kalo kita gak taat, PPKM akan terus di perpanjang. So, ayo taat prokes gais. Biar segera selesai Pandemi nya. Biar bisa ngopi dan ngumpul lagi https://t.co/EoItrbGDJD</t>
  </si>
  <si>
    <t>Gak ada yang mengharapkan PPKM terus diperpanjang, tapi kalo kita gak taat, PPKM akan terus di perpanjang. So, ayo taat prokes gais. Biar segera selesai Pandemi nya. Biar bisa ngopi dan ngumpul lagi</t>
  </si>
  <si>
    <t>@Ace_BBH ditunggu aja, mungkin krn lgi ppkm makanya sedikit telat</t>
  </si>
  <si>
    <t>ditunggu aja, mungkin krn lgi ppkm makanya sedikit telat</t>
  </si>
  <si>
    <t>Status perpanjangan PPKM di berbagai daerah bergantung sama kita sih. Klo kita semua ikut bekerjasama buat segera menurunkan kasus covid. PPKM bisa selesai. https://t.co/pkcae9dOUA</t>
  </si>
  <si>
    <t>Status perpanjangan PPKM di berbagai daerah bergantung sama kita sih. Klo kita semua ikut bekerjasama buat segera menurunkan kasus covid. PPKM bisa selesai.</t>
  </si>
  <si>
    <t>PPKM = Pelan Pelan Kena Mental🤡🗿🤡🗿🤡🗿</t>
  </si>
  <si>
    <t>PPKM = Pelan Pelan Kena Mental</t>
  </si>
  <si>
    <t>Imbas dr penerapan PPKM jg menurunkan BOR (Bed Occupancy Rate) di Rumah Sakit. Banyak pasien yg mulai sembuh dr covid.</t>
  </si>
  <si>
    <t>Sejak PPKM berlaku, ada 8 wilayah di Pulau Jawa yg berhasil turun status level 4 ke level 3 dr kasus Covid-19. https://t.co/p0ShUJwKL3</t>
  </si>
  <si>
    <t>Sejak PPKM berlaku, ada wilayah di Pulau Jawa yg berhasil turun status level ke level dr kasus Covid-19.</t>
  </si>
  <si>
    <t>@vularoid @ShamsiAli2 Pemberlakuan PPKM tapi pilih2, buka matamu wahai @vularoid</t>
  </si>
  <si>
    <t>Pemberlakuan PPKM tapi pilih2, buka matamu wahai</t>
  </si>
  <si>
    <t>Makanya pandeminya dipanjangin. 
 PPKM berjilid²..
 . https://t.co/dHLC5TORw0</t>
  </si>
  <si>
    <t>Makanya pandeminya dipanjangin. PPKM berjilid...</t>
  </si>
  <si>
    <t>Pengen jalan jalan tapi duit ppkm AHAHAHAH</t>
  </si>
  <si>
    <t>@kachang_ Ppkm diperpanjang, gabisa balkkk:(</t>
  </si>
  <si>
    <t>Ppkm diperpanjang, gabisa balkkk</t>
  </si>
  <si>
    <t>@akuristaa @radenrauf Ppkm nya di perpanjang, hubungannya engga</t>
  </si>
  <si>
    <t>Ppkm nya di perpanjang, hubungannya engga</t>
  </si>
  <si>
    <t>@CNNIndonesia Iya embah kasihan bet, mending suruh mundur saja, tapi kira2 PPKM akan diperpanjang lagi gak nih? https://t.co/S72K55bhvY</t>
  </si>
  <si>
    <t>Iya embah kasihan bet, mending suruh mundur saja, tapi kira2 PPKM akan diperpanjang lagi gak nih?</t>
  </si>
  <si>
    <t>@Dlprn96 bedanya presiden kita sekarang gak bisa jadi pemimpin..kalo bisa seharusnya ppkm sampe sekarang gak perlu...gak bisa ambil keputusan</t>
  </si>
  <si>
    <t>bedanya presiden kita sekarang gak bisa jadi pemimpin..kalo bisa seharusnya ppkm sampe sekarang gak perlu...gak bisa ambil keputusan</t>
  </si>
  <si>
    <t>@FFOODFESS kangenn, terakhir dine in sblm ppkm</t>
  </si>
  <si>
    <t>kangenn, terakhir dine in sblm ppkm</t>
  </si>
  <si>
    <t>Mornewng Bree..msh semangat menaati PPKM level 4 yg kembali diperpanjang oleh Presiden Jokowi kan? Tp emang sih yah,PPKM terbukti efektif dlm mengendalikan pandemi kopit ini https://t.co/TY5CyMQm42</t>
  </si>
  <si>
    <t>Mornewng Bree..msh semangat menaati PPKM level yg kembali diperpanjang oleh Presiden Jokowi kan? Tp emang sih yah,PPKM terbukti efektif dlm mengendalikan pandemi kopit ini</t>
  </si>
  <si>
    <t>@JPFBASE ppkm uniqlo buka gak ya</t>
  </si>
  <si>
    <t>ppkm uniqlo buka gak ya</t>
  </si>
  <si>
    <t>Setelah PPKM berakhir pasti banyak yg :
 Kerja kerja kerjaa kerjaa kerjaa haahahahaaha kerja kerja kerja hahahaha.</t>
  </si>
  <si>
    <t>Setelah PPKM berakhir pasti banyak yg :Kerja kerja kerjaa kerjaa kerjaa haahahahaaha kerja kerja kerja hahahaha.</t>
  </si>
  <si>
    <t>@radenrauf PPKM sampe tanggal 16 agustus</t>
  </si>
  <si>
    <t>PPKM sampe tanggal agustus</t>
  </si>
  <si>
    <t>/lt ppkm diperpanjang sampai bookmail dari bookdepo pada sampai semua</t>
  </si>
  <si>
    <t>cuk kayaknya kudu beli ini, ppkm uniqlo buka ga sih? https://t.co/kDl26FfefG</t>
  </si>
  <si>
    <t>cuk kayaknya kudu beli ini, ppkm uniqlo buka ga sih?</t>
  </si>
  <si>
    <t>Dan setahu sy perpanjangan PPKM nggak cuma di Jawa-Bali doank, tp di beberapa kota lain jg menerapkan aturan yg sama. https://t.co/UZUE2ja6Vt</t>
  </si>
  <si>
    <t>Dan setahu sy perpanjangan PPKM nggak cuma di Jawa-Bali doank, tp di beberapa kota lain jg menerapkan aturan yg sama.</t>
  </si>
  <si>
    <t>@NogoSosroAsli Selamat pagi Kang..... Selalu sehat &amp;amp; tegar menghadapi PPKM level berapapun. 
 Salam menyan 🙏💨 https://t.co/fjoDPtxrZC</t>
  </si>
  <si>
    <t>Selamat pagi Kang..... Selalu sehat &amp;amp; tegar menghadapi PPKM level berapapun. Salam menyan</t>
  </si>
  <si>
    <t>@jakartaakeras Klo sama malaikat boleh ? Mau negosiasi sapa tau umur gue bisa diperpanjang trua kayak ppkm</t>
  </si>
  <si>
    <t>Klo sama malaikat boleh ? Mau negosiasi sapa tau umur gue bisa diperpanjang trua kayak ppkm</t>
  </si>
  <si>
    <t>@republikaonline Sampai kurus kering cari solusi agar rakyat tidak demo melengserkan jokowi..
 Makanya ppkm diperpanjang terus</t>
  </si>
  <si>
    <t>Sampai kurus kering cari solusi agar rakyat tidak demo melengserkan jokowi..Makanya ppkm diperpanjang terus</t>
  </si>
  <si>
    <t>@GOAL_ID Masa kalah sama Malaysia, Negara nya Lockdown tapi sepakbola nya tetap jalan,kita cuma PPKM,tapi??? YOU KNOW laahhh 😀😆</t>
  </si>
  <si>
    <t>Masa kalah sama Malaysia, Negara nya Lockdown tapi sepakbola nya tetap jalan,kita cuma PPKM,tapi??? YOU KNOW laahhh</t>
  </si>
  <si>
    <t>Masa iya kamu mau Pandemi panjang terus. Jadi taati aturan PPKM Yaa. Jangan nakal keluyuran kalo gak ada kepentingan. Ingat, semua orang punya hak keluar dari Pandemi ini. https://t.co/wFdG6Nk3zv</t>
  </si>
  <si>
    <t>Masa iya kamu mau Pandemi panjang terus. Jadi taati aturan PPKM Yaa. Jangan nakal keluyuran kalo gak ada kepentingan. Ingat, semua orang punya hak keluar dari Pandemi ini.</t>
  </si>
  <si>
    <t>PPKM Banjarmasin yang sudah perpanjangan kesekian kali,
 Baru tadi malam keluar kebijakan masuk Banjarmasin harus PCR atau menunjukan kartu vaksin.
 Sedangkan di dalam kotanya sendiri tidak ada pengetatan peraturan, masih nampak biasa saja tidak ada perubahan drastis.</t>
  </si>
  <si>
    <t>PPKM Banjarmasin yang sudah perpanjangan kesekian kali,Baru tadi malam keluar kebijakan masuk Banjarmasin harus PCR atau menunjukan kartu vaksin.Sedangkan di dalam kotanya sendiri tidak ada pengetatan peraturan, masih nampak biasa saja tidak ada perubahan drastis.</t>
  </si>
  <si>
    <t>@RAINB0WPEACH Disinii masih ppkm</t>
  </si>
  <si>
    <t>Disinii masih ppkm</t>
  </si>
  <si>
    <t>Dampak nyata PPKM ☺️🤭🤭🤭 https://t.co/5apdpNrFvN</t>
  </si>
  <si>
    <t>Dampak nyata PPKM</t>
  </si>
  <si>
    <t>@ochyocyy Smnjak ppkm den sering buka infopku dr twiter ni, secara ppkm mesti update info sekitaran jalan dan gang2 sempitnya 🤣</t>
  </si>
  <si>
    <t>Smnjak ppkm den sering buka infopku dr twiter ni, secara ppkm mesti update info sekitaran jalan dan gang2 sempitnya</t>
  </si>
  <si>
    <t>pengiriman ppkm telatnya lama ga ? https://t.co/KJh6d7GaaZ</t>
  </si>
  <si>
    <t>pengiriman ppkm telatnya lama ga ?</t>
  </si>
  <si>
    <t>PPKM yg diberlakukan sejak awal Juli lalu ternyata membawa dampak positif utk mengurangi kasus aktif covid-19. Pasien2 di Rumah Sakit mulai banyak yg sembuh juga. https://t.co/Dw0JcVt4vu</t>
  </si>
  <si>
    <t>PPKM yg diberlakukan sejak awal Juli lalu ternyata membawa dampak positif utk mengurangi kasus aktif covid-19. Pasien2 di Rumah Sakit mulai banyak yg sembuh juga.</t>
  </si>
  <si>
    <t>Artinya angka penyebaran covid nya menurun dan insyaAllah terus turun jika kita taat pada aturan.
 Kalo pada taat aturan, angka covid turun, PPKM pun akan di hentikan . Pandemi juga bisa berakhir https://t.co/lCdLSrRj9N</t>
  </si>
  <si>
    <t>Artinya angka penyebaran covid nya menurun dan insyaAllah terus turun jika kita taat pada aturan.Kalo pada taat aturan, angka covid turun, PPKM pun akan di hentikan . Pandemi juga bisa berakhir</t>
  </si>
  <si>
    <t>@akutaurifky Jangan gitu, Bambang. Ntar ada virus baru betulan, lu sendiri yg repot. Yang insecure bukan covidnya. Tapi elu karena PPKM betulan diperpanjang sampe ntah kapan. 😪😪😪</t>
  </si>
  <si>
    <t>Jangan gitu, Bambang. Ntar ada virus baru betulan, lu sendiri yg repot. Yang insecure bukan covidnya. Tapi elu karena PPKM betulan diperpanjang sampe ntah kapan.</t>
  </si>
  <si>
    <t>... dulu pas nggk PPKM mau main ke rumah dia berdua/bertiga kaya tinggal ngesot gausah ijin emak bapak dlu. https://t.co/Acay1S6WFJ</t>
  </si>
  <si>
    <t>... dulu pas nggk PPKM mau main ke rumah dia berdua/bertiga kaya tinggal ngesot gausah ijin emak bapak dlu.</t>
  </si>
  <si>
    <t>@ed_tirta Baik nih, bali okeh, tapi masih ppkm level pedes 4</t>
  </si>
  <si>
    <t>Baik nih, bali okeh, tapi masih ppkm level pedes</t>
  </si>
  <si>
    <t>@fitridefi PPKM tu panjangnya apa?</t>
  </si>
  <si>
    <t>PPKM tu panjangnya apa?</t>
  </si>
  <si>
    <t>@VIVAcoid Tapi gak sedih pedeipeh banyak oknumnya yg korup,ada yg dana bansos lagi. MUAK</t>
  </si>
  <si>
    <t>Tapi gak sedih pedeipeh banyak oknumnya yg korup,ada yg dana bansos lagi. MUAK</t>
  </si>
  <si>
    <t>Yok udahan yok ppkm</t>
  </si>
  <si>
    <t>tolonglaah.. gw wegah kelamaan ppkm, malah pada kerumunan 😩 https://t.co/e8aYBnsJa1</t>
  </si>
  <si>
    <t>tolonglaah.. gw wegah kelamaan ppkm, malah pada kerumunan</t>
  </si>
  <si>
    <t>@hahahaha_9913 @KAI121 Selama ini aku pake surat keterangan RT/RW kak.. keterangannnya diisi bekerja gt aja. Dari awal ppkm sampe extend gatau kapan ini masih bisa dipake kok suratnya (bikin 1x) 😂</t>
  </si>
  <si>
    <t>Selama ini aku pake surat keterangan RT/RW kak.. keterangannnya diisi bekerja gt aja. Dari awal ppkm sampe extend gatau kapan ini masih bisa dipake kok suratnya (bikin x)</t>
  </si>
  <si>
    <t>Ternyata semenjak ppkm jam segini masih banyak orang yang belum tidur ya, ot dari malem sampe pagi begadang pokoknya banyak lah. Kirain aku doang 🤣😂</t>
  </si>
  <si>
    <t>Ternyata semenjak ppkm jam segini masih banyak orang yang belum tidur ya, ot dari malem sampe pagi begadang pokoknya banyak lah. Kirain aku doang</t>
  </si>
  <si>
    <t>@BKNgoid Halo min, mohon dijawab, cara untuk mengubah titik lokasi tes bgmn ya? Mohon dibantu krn skrg sedang PPKM tentunya dapat mengubah lokasi tes akan sangat membantu kami para peserta. Terima kasih</t>
  </si>
  <si>
    <t>Halo min, mohon dijawab, cara untuk mengubah titik lokasi tes bgmn ya? Mohon dibantu krn skrg sedang PPKM tentunya dapat mengubah lokasi tes akan sangat membantu kami para peserta. Terima kasih</t>
  </si>
  <si>
    <t>PPKM = Pelaksanaan Program Komunis Mendunia https://t.co/6TEtsvjwVs</t>
  </si>
  <si>
    <t>PPKM = Pelaksanaan Program Komunis Mendunia</t>
  </si>
  <si>
    <t>Sumpah susah banget vaksin di sini ya. Beda ktp. Mau balik ke zjakarta beneran ppkm. Nanti disuruh muter nggak sih even lewat tol. 😭 Waswas banget aku belum vaksin.</t>
  </si>
  <si>
    <t>Sumpah susah banget vaksin di sini ya. Beda ktp. Mau balik ke zjakarta beneran ppkm. Nanti disuruh muter nggak sih even lewat tol. Waswas banget aku belum vaksin.</t>
  </si>
  <si>
    <t>Ppkm kayanya ga diperpanjang lagi nih soalnya yunabi uda sadar</t>
  </si>
  <si>
    <t>Kepatuhan PPKM harus terus dipupuk.
 Biar makin banyak kabupaten/kota yang juga turun status.
 Kita dukung terus PPKM biar RS kosong.
 Terima kasih buat kita yang taat pada peraturan.</t>
  </si>
  <si>
    <t>Kepatuhan PPKM harus terus dipupuk.Biar makin banyak kabupaten/kota yang juga turun status.Kita dukung terus PPKM biar RS kosong.Terima kasih buat kita yang taat pada peraturan.</t>
  </si>
  <si>
    <t>@dinianggraeeeni @Nandadewwi @JogjaUpdate Mantap emang. Kapan Ppkm berakhir. Udah kangen Jogja nih</t>
  </si>
  <si>
    <t>Mantap emang. Kapan Ppkm berakhir. Udah kangen Jogja nih</t>
  </si>
  <si>
    <t>Tingkat kematian dan kasus positif akan menentukan status perpanjangan PPKM.
 Yang kotanya masih di level 4, ayo kita push rank biar turun ke level 3, 2, dan 1.</t>
  </si>
  <si>
    <t>Tingkat kematian dan kasus positif akan menentukan status perpanjangan PPKM.Yang kotanya masih di level , ayo kita push rank biar turun ke level , , dan .</t>
  </si>
  <si>
    <t>Total jumlah pasien covid-19 yang sembuh saat ini semakin bertambah mencapai 3.381.884 orang.
 Kalau hasilnya terus membaik, artinya PPKM ini berhasil. Jangan lengah prosesnya dan lengkapi vaksinnya sebagai perlindungan ganda kita. https://t.co/EEG88YHdvZ</t>
  </si>
  <si>
    <t>Total jumlah pasien covid-19 yang sembuh saat ini semakin bertambah mencapai orang.Kalau hasilnya terus membaik, artinya PPKM ini berhasil. Jangan lengah prosesnya dan lengkapi vaksinnya sebagai perlindungan ganda kita.</t>
  </si>
  <si>
    <t>@IrutPagut Untuk saat ini, jadi senjata andalan
 Mau hajatan...ppkm
 Mau sekolah...ppkm
 Mau demo...ppkm
 Intinya adalah membungkam rakyat supaya pemerintah yg sedang berkuasa mau ngapain aja bebas</t>
  </si>
  <si>
    <t>Untuk saat ini, jadi senjata andalanMau hajatan...ppkmMau sekolah...ppkmMau demo...ppkmIntinya adalah membungkam rakyat supaya pemerintah yg sedang berkuasa mau ngapain aja bebas</t>
  </si>
  <si>
    <t>@txtdarioffstore @txtdarionlshop Kena PPKM level 4 juga neraka?</t>
  </si>
  <si>
    <t>Kena PPKM level juga neraka?</t>
  </si>
  <si>
    <t>Loh terus knp jkt masih ppkm? https://t.co/jntuhhqzIW</t>
  </si>
  <si>
    <t>Loh terus knp jkt masih ppkm?</t>
  </si>
  <si>
    <t>waktu di palangka, karena masih ppkm, jadi malas aja makan ditempat, jadilah drive thru di kfc..
 Pesanlah yg promo 5 ayam 3 nasi, sama mocca float 2..
 Lalu bayar, ga dikasih struk..</t>
  </si>
  <si>
    <t>waktu di palangka, karena masih ppkm, jadi malas aja makan ditempat, jadilah drive thru di kfc..Pesanlah yg promo ayam nasi, sama mocca float ..Lalu bayar, ga dikasih struk..</t>
  </si>
  <si>
    <t>@tpiboonggg @Selena_imut PPkM seumur2 dong</t>
  </si>
  <si>
    <t>PPkM seumur2 dong</t>
  </si>
  <si>
    <t>Dapet undangan lagi, karena PPKM jadinya ya tidak jadi :') https://t.co/7a3jNrPDFN</t>
  </si>
  <si>
    <t>Dapet undangan lagi, karena PPKM jadinya ya tidak jadi :')</t>
  </si>
  <si>
    <t>@detikcom Agar Anak anak sekolah bisa leluasa , menggratiskan biaya sekolah misalnya , atau Bantuan kuota. Saya kemarin dapat 30GB tapi hanya beberapa saja. Ujung²nya tetap saja kita nyeker nyari duit sendiri dengan aturan aturan PPKM yang membuat omset turun drastis bukan?</t>
  </si>
  <si>
    <t>Agar Anak anak sekolah bisa leluasa , menggratiskan biaya sekolah misalnya , atau Bantuan kuota. Saya kemarin dapat GB tapi hanya beberapa saja. Ujungnya tetap saja kita nyeker nyari duit sendiri dengan aturan aturan PPKM yang membuat omset turun drastis bukan?</t>
  </si>
  <si>
    <t>Drama bgt dibatalin sama pihak maskapai ijo, yuk ppkm selesai biar gada drama kek gini</t>
  </si>
  <si>
    <t>@Jazilnas2806 @ohriyuuu @UN1TY_Official @MTV Transferan mengalami kendala perkara ppkm
 Wkwkwkwkw
 REQUEST @MTV @UN1TY_Official #FridayLivestream #UN1TY</t>
  </si>
  <si>
    <t>Transferan mengalami kendala perkara ppkmWkwkwkwkwREQUEST</t>
  </si>
  <si>
    <t>@xxyzalin Sabar masih ppkm wkwk</t>
  </si>
  <si>
    <t>Sabar masih ppkm wkwk</t>
  </si>
  <si>
    <t>@Mdy_Asmara1701 Hmm, yg hidupnya udh dijamin sm Negara aja pake ditangisin yaak. Laah, Apakabar Rakyat miskin, kelaparan dan serba keterbatasan hidupnya, terlebih lagi banyak yg kena imbas dari PPKM, kena PHK, pas2an buag bertahan hidup.. ditangisin juga Gak??</t>
  </si>
  <si>
    <t>Hmm, yg hidupnya udh dijamin sm Negara aja pake ditangisin yaak. Laah, Apakabar Rakyat miskin, kelaparan dan serba keterbatasan hidupnya, terlebih lagi banyak yg kena imbas dari PPKM, kena PHK, pas2an buag bertahan hidup.. ditangisin juga Gak??</t>
  </si>
  <si>
    <t>Sebetulnya, langkah pemerintah melakukan perpanjangan PPKM adalah guna menurunkan angka covid di Indonesia. Dengan adanya PPKM kita di tuntut untuk dirumah saja. Dampaknya, angka covid akan turun secara signifikan https://t.co/LFLBTtF0n4</t>
  </si>
  <si>
    <t>Sebetulnya, langkah pemerintah melakukan perpanjangan PPKM adalah guna menurunkan angka covid di Indonesia. Dengan adanya PPKM kita di tuntut untuk dirumah saja. Dampaknya, angka covid akan turun secara signifikan</t>
  </si>
  <si>
    <t>@diBIBIaja Yang ga rajin bangun pagi cuma jo altair di ppkm bi</t>
  </si>
  <si>
    <t>Yang ga rajin bangun pagi cuma jo altair di ppkm bi</t>
  </si>
  <si>
    <t>saya kira ppkm bakal adem ayem eh ternyata xixixi</t>
  </si>
  <si>
    <t>Jends graha buka hari apa aja sampe jam berapa ya kalo lagi ppkm gini? Makasih infonya</t>
  </si>
  <si>
    <t>Aeon tanjung barat udah buka belum sih ppkm gini???</t>
  </si>
  <si>
    <t>@saidi_sudarsono Mumpung ada kesempatan, lagipula Mash PPKM 😝😝😝</t>
  </si>
  <si>
    <t>Mumpung ada kesempatan, lagipula Mash PPKM</t>
  </si>
  <si>
    <t>PPKM aslinya setahun cuma dicicil aja biar gapada shock</t>
  </si>
  <si>
    <t>@A100888 PPKM Lev 4 tidak menghalangi buat males olahraga ya om😁 saya yang masih muda rebahan muluu😓</t>
  </si>
  <si>
    <t>PPKM Lev tidak menghalangi buat males olahraga ya om saya yang masih muda rebahan muluu</t>
  </si>
  <si>
    <t>PPKM BODO AMAT https://t.co/vLzTnu41Z3</t>
  </si>
  <si>
    <t>PPKM BODO AMAT</t>
  </si>
  <si>
    <t>@humasrespameksa PPKM darurat</t>
  </si>
  <si>
    <t>PPKM darurat</t>
  </si>
  <si>
    <t>@marmuha yak yuk yak yuk.. ppkm duls hahaha</t>
  </si>
  <si>
    <t>yak yuk yak yuk.. ppkm duls hahaha</t>
  </si>
  <si>
    <t>MISKINKAN RAKYAT MELALUI SYSTEM (Doktrin Komunis). PPKM MUNGKIN..??? SALAH SATU CARANYA. https://t.co/um7LjC6yjZ</t>
  </si>
  <si>
    <t>MISKINKAN RAKYAT MELALUI SYSTEM (Doktrin Komunis). PPKM MUNGKIN..??? SALAH SATU CARANYA.</t>
  </si>
  <si>
    <t>Kelamaan PPKM apa ya jadi kangen manusia lain hahaha. But Gosh I miss my friends &amp;lt;3</t>
  </si>
  <si>
    <t>@CNNIndonesia Aduuuh sepertinya sampeyan kurang peka, masalah bangsa ini yang krusial bukannya serangan budaya,,,,rakyat yang lapar, karena ulah penguasa mengurung tanpa memberi makan.
 PPKM (Planga Plongo Kayak' Mukidi) lo</t>
  </si>
  <si>
    <t>Aduuuh sepertinya sampeyan kurang peka, masalah bangsa ini yang krusial bukannya serangan budaya,,,,rakyat yang lapar, karena ulah penguasa mengurung tanpa memberi makan.PPKM (Planga Plongo Kayak' Mukidi) lo</t>
  </si>
  <si>
    <t>@Cengkonek2 @EdiMahaMG Pelarangan ini dilakukan oleh petugas dari TNI-Polri dan Satpol PP Penjaringan, dengan alasan dianggap dapat menimbulkan kerumunan di tengah Pemberlakuan Pembatasan Kegiatan Masyarakat (PPKM) Level 4.</t>
  </si>
  <si>
    <t>Pelarangan ini dilakukan oleh petugas dari TNI-Polri dan Satpol PP Penjaringan, dengan alasan dianggap dapat menimbulkan kerumunan di tengah Pemberlakuan Pembatasan Kegiatan Masyarakat (PPKM) Level .</t>
  </si>
  <si>
    <t>@Dennysiregar7 Gokill om, kami baru aja nonton timeline di cokrotv "strategi jokowi dibalik nama PPKM". Mantep bgt analisanya mnurut kami.</t>
  </si>
  <si>
    <t>Gokill om, kami baru aja nonton timeline di cokrotv "strategi jokowi dibalik nama PPKM". Mantep bgt analisanya mnurut kami.</t>
  </si>
  <si>
    <t>astaga.. PPKM lho ya.. berani-beraninya kalian. https://t.co/ktZKJytgbo</t>
  </si>
  <si>
    <t>astaga.. PPKM lho ya.. berani-beraninya kalian.</t>
  </si>
  <si>
    <t>pelajaran yang bisa dipetik adalah sepusing apapun itu kalau besoknya wfo jangan beli americano. 
 zombie amay di hari pertama ngantor sejak ppkm 😊</t>
  </si>
  <si>
    <t>pelajaran yang bisa dipetik adalah sepusing apapun itu kalau besoknya wfo jangan beli americano. zombie amay di hari pertama ngantor sejak ppkm</t>
  </si>
  <si>
    <t>@FadhillahAisya3 Udah selese pa ppkm nya sus?</t>
  </si>
  <si>
    <t>Udah selese pa ppkm nya sus?</t>
  </si>
  <si>
    <t>@Khafidar_ Bsk msh PPKM</t>
  </si>
  <si>
    <t>Bsk msh PPKM</t>
  </si>
  <si>
    <t>PPKM
 Pelan pelan kita menikah😂😂</t>
  </si>
  <si>
    <t>PPKMPelan pelan kita menikah</t>
  </si>
  <si>
    <t>Kalo covid ilang semua bisa kembali normal!! Jadi masih bilang kalo ppkm tuh salah?? Coba lihat dari sudit pandang yang berbeda, jan cuma liat dari sudut pandangmu aja! Masa depan indonesia juga penting.. masa iya lu mau masyarakat indonesia punah gegara covid??</t>
  </si>
  <si>
    <t>Liburan PPKM 'Pergi pulang tak ketemu makanan' 🤣🤣🤣 https://t.co/jNiGSLbuxN</t>
  </si>
  <si>
    <t>Liburan PPKM 'Pergi pulang tak ketemu makanan'</t>
  </si>
  <si>
    <t>Kalau pendakian di Jawa di tutup karena masih PPKM ya udah alternatifnya bisa ke Rinjani, Kerinci atau Latimojang</t>
  </si>
  <si>
    <t>SIM diperpanjang 5 tahun sekali
 SKCK diperpanjang 6 bulan sekali
 PPKM diperpanjang seminggu sekali
 Endonesa Raya</t>
  </si>
  <si>
    <t>SIM diperpanjang tahun sekaliSKCK diperpanjang bulan sekaliPPKM diperpanjang seminggu sekaliEndonesa Raya</t>
  </si>
  <si>
    <t>Makanny juga jd ngikut anjuran ppkm, 20menit😅</t>
  </si>
  <si>
    <t>Makanny juga jd ngikut anjuran ppkm, menit</t>
  </si>
  <si>
    <t>@JamalBoegis Apa hubungannya PPKM dengan Pemasangan Sang Saka Merah Putih?</t>
  </si>
  <si>
    <t>Apa hubungannya PPKM dengan Pemasangan Sang Saka Merah Putih?</t>
  </si>
  <si>
    <t>padahal minggu² ini &amp;amp; seterusnya schedule makin numpuk aja, ntahh tugas kursus, setoran run ada 3 event, dll 😴</t>
  </si>
  <si>
    <t>padahal minggu ini &amp;amp; seterusnya schedule makin numpuk aja, ntahh tugas kursus, setoran run ada event, dll</t>
  </si>
  <si>
    <t>@arga_wisastra Wkwkwk..🤣😂
 Virusnya Klo Malam Bobo, Ada Juga Di Daerah Klo Malam PPKM Berlaku.
 #RakyatSiapGantiPresiden
 #RakyatSiapGantiPresiden</t>
  </si>
  <si>
    <t>Wkwkwk..Virusnya Klo Malam Bobo, Ada Juga Di Daerah Klo Malam PPKM Berlaku.</t>
  </si>
  <si>
    <t>@ilyyasahii Hbs ppkm di hug bneran 🤘🏻 https://t.co/F6bA57tPEU</t>
  </si>
  <si>
    <t>Hbs ppkm di hug bneran</t>
  </si>
  <si>
    <t>@Ratnasa64771429 Sedang PPKM, nanti kalau sdh tdk PPKM saja</t>
  </si>
  <si>
    <t>Sedang PPKM, nanti kalau sdh tdk PPKM saja</t>
  </si>
  <si>
    <t>september ppkm uda berkurang ko tenang aja hfttt inget kalo diswab gabole ribut wkwkwkwkwk</t>
  </si>
  <si>
    <t>@kemalpalevi Alay bener bang, ppkm sebegitu bkin rakyat cape hati elo bandingin sama yg beginian, eh tapi itu pendapat elu juga sih hak elu2 jg.</t>
  </si>
  <si>
    <t>Alay bener bang, ppkm sebegitu bkin rakyat cape hati elo bandingin sama yg beginian, eh tapi itu pendapat elu juga sih hak elu2 jg.</t>
  </si>
  <si>
    <t>Ppkm kpn berakhir?</t>
  </si>
  <si>
    <t>@PajerStore @AWijayafatra @bucket_golden @musniumar Bercanda dia, disini masih zona merah. Sejak kapan berubah jadi zona hijau? Kalo udh hijau mungkin penerapan ppkm berubah jadi lvl 2-3, bukan 4 seperti skrg🤣</t>
  </si>
  <si>
    <t>Bercanda dia, disini masih zona merah. Sejak kapan berubah jadi zona hijau? Kalo udh hijau mungkin penerapan ppkm berubah jadi lvl $NUMBER$, bukan seperti skrg</t>
  </si>
  <si>
    <t>Ga habis habis kek ppkm https://t.co/uvAtwAMnbf</t>
  </si>
  <si>
    <t>Ga habis habis kek ppkm</t>
  </si>
  <si>
    <t>PPKM udah kayak paket data ajaa...tiap minggu harus diperpanjang....
 #nanggung</t>
  </si>
  <si>
    <t>PPKM udah kayak paket data ajaa...tiap minggu harus diperpanjang....</t>
  </si>
  <si>
    <t>@tempodotco Malulah kalau nangis juga harus diumbar. Coba lihat brp banyak rakyat menangis kesusahan saat PPKM berjilid2. Jalan ditutup terpaksa putar cari jalan lain, hingga jdi macet dijalan2 kecil. Kebijakan yg msih dipertanyakan kemanfaatannya. bnyak yg jd ssah dan nangis.</t>
  </si>
  <si>
    <t>Malulah kalau nangis juga harus diumbar. Coba lihat brp banyak rakyat menangis kesusahan saat PPKM berjilid2. Jalan ditutup terpaksa putar cari jalan lain, hingga jdi macet dijalan2 kecil. Kebijakan yg msih dipertanyakan kemanfaatannya. bnyak yg jd ssah dan nangis.</t>
  </si>
  <si>
    <t>@akuristaa @radenrauf Ppkm diperpanjang eh hubungan kita mlh udahan gajadi ketemu lagi kan:) bahkan gak akan ketemu lagi</t>
  </si>
  <si>
    <t>Ppkm diperpanjang eh hubungan kita mlh udahan gajadi ketemu lagi kan bahkan gak akan ketemu lagi</t>
  </si>
  <si>
    <t>@tatakujiyati Gila, Ada bendera merah putih mau dipasang Di Hari kemerdekaan Gak boleh lantaran PPKM, Gila bener loe itu apa? Jangan2 Ada tuan loe disana, bendera 20 meter ya bagus, lagian kalau Mata my pelototi, banyak Yang Jaga Dari Yang bentangin bendera. Dibayar berapa untuk redan ini anda</t>
  </si>
  <si>
    <t>Gila, Ada bendera merah putih mau dipasang Di Hari kemerdekaan Gak boleh lantaran PPKM, Gila bener loe itu apa? Jangan2 Ada tuan loe disana, bendera meter ya bagus, lagian kalau Mata my pelototi, banyak Yang Jaga Dari Yang bentangin bendera. Dibayar berapa untuk redan ini anda</t>
  </si>
  <si>
    <t>@FOODFESS2 Sial ppkm 😭</t>
  </si>
  <si>
    <t>Sial ppkm</t>
  </si>
  <si>
    <t>kpn sih ppkm bres</t>
  </si>
  <si>
    <t>Syukurlah kasus penambahan harian covid di Kulon Progo turun. Namun masih belom ada ucap apresiasi kpd masyarakat yang terdampak PPKM dan berusaha tetap di rumah aja</t>
  </si>
  <si>
    <t>Sabar ya Mang...aku mengerti ini berat,hrs LDR-an &amp;amp; cuman bisa lovestagram-an kyk gni. Percayalah..PPKM ini akan segera berakhir, kita akan bisa bertemu. 😁😁
 #kdramaselcaday https://t.co/JOCGf2j6qS</t>
  </si>
  <si>
    <t>Sabar ya Mang...aku mengerti ini berat,hrs LDR-an &amp;amp; cuman bisa lovestagram-an kyk gni. Percayalah..PPKM ini akan segera berakhir, kita akan bisa bertemu.</t>
  </si>
  <si>
    <t>tangmentang psbb/ppkm mulu nih... hadeuh</t>
  </si>
  <si>
    <t>@maauranna @jakartaakeras Anjg,emang ppkm diperpanjang mulu🤣</t>
  </si>
  <si>
    <t>Anjg,emang ppkm diperpanjang mulu</t>
  </si>
  <si>
    <t>ppkm singkatan dari pembatasan</t>
  </si>
  <si>
    <t>PPKM tegas terhadap acara keramaian tapi memble terhadap penyegel Mesjid Ahmadiyya, mungkin krn aparat yg menyegel</t>
  </si>
  <si>
    <t>Kalau tidak ada PPKM, yaa mungkin sekarang sudah se-rumah 😌</t>
  </si>
  <si>
    <t>Kalau tidak ada PPKM, yaa mungkin sekarang sudah se-rumah</t>
  </si>
  <si>
    <t>@gusadeak Hiatus. Album terakhir 2017 🤣 
 Ppkm juga jadi ga ada konser 🤣</t>
  </si>
  <si>
    <t>Hiatus. Album terakhir Ppkm juga jadi ga ada konser</t>
  </si>
  <si>
    <t>@mhmmdfqh Kan lg ppkm</t>
  </si>
  <si>
    <t>Kan lg ppkm</t>
  </si>
  <si>
    <t>Kangen sih tapi.... PPKM https://t.co/xTngPuqcTd</t>
  </si>
  <si>
    <t>Kangen sih tapi.... PPKM</t>
  </si>
  <si>
    <t>@CNNIndonesia Mrk dijamin oleh negara. PpKm dijamin ga ??</t>
  </si>
  <si>
    <t>Mrk dijamin oleh negara. PpKm dijamin ga ??</t>
  </si>
  <si>
    <t>@aiscreamaddict samperin papa nya nom, tp ppkm😭</t>
  </si>
  <si>
    <t>samperin papa nya nom, tp ppkm</t>
  </si>
  <si>
    <t>@tubirfess Ppkm pak ko operasi ke singapura?</t>
  </si>
  <si>
    <t>Ppkm pak ko operasi ke singapura?</t>
  </si>
  <si>
    <t>@Candraasmara85 Kadrun" skrng lg hobby koleksi bendera asing. Mungkin akibat efek PPKM sepi demo,jdnya udh g bisa koleksi karet Nasbung.🤣</t>
  </si>
  <si>
    <t>Kadrun" skrng lg hobby koleksi bendera asing. Mungkin akibat efek PPKM sepi demo,jdnya udh g bisa koleksi karet Nasbung.</t>
  </si>
  <si>
    <t>ppkm di perpanjang rakyat ga bisa makan,ekonomi turun,kubutuhan tak taktercukupi,jumblah oenganguran meningkat,imun turun, ini yg nama nya terkendali??</t>
  </si>
  <si>
    <t>Ppkm tp ttp ad yg partyy</t>
  </si>
  <si>
    <t>@PPKRlIT Bisa hebat karena krit sendiri hebat. Terima kasih pacar ppkm. Jangan gumoh. ❤️</t>
  </si>
  <si>
    <t>Bisa hebat karena krit sendiri hebat. Terima kasih pacar ppkm. Jangan gumoh.</t>
  </si>
  <si>
    <t>@vularoid @ShamsiAli2 Alasan ppkm??😂
 Lucu sekali,,
 Apa susahnya tinggal pasang oleh beberapa org lalu bubar,,,klo dilarang larang begini,akan timbul kecurigaan selama ini ada negara dlm negara,dn kita diam saja?</t>
  </si>
  <si>
    <t>Alasan ppkm??Lucu sekali,,Apa susahnya tinggal pasang oleh beberapa org lalu bubar,,,klo dilarang larang begini,akan timbul kecurigaan selama ini ada negara dlm negara,dn kita diam saja?</t>
  </si>
  <si>
    <t>Tapi masih harus masker, prokes, ppkm, tetap di rumah 😅 https://t.co/7xnlRNwTTk</t>
  </si>
  <si>
    <t>Tapi masih harus masker, prokes, ppkm, tetap di rumah</t>
  </si>
  <si>
    <t>Emang paling malesin ngurus sesuatu ke cs bank apalagi ppkm gini ada kuota perhari. Jadi aku rela pergi tadi jam set.5 buat ambil nomor antrian 😭👍🏻</t>
  </si>
  <si>
    <t>Emang paling malesin ngurus sesuatu ke cs bank apalagi ppkm gini ada kuota perhari. Jadi aku rela pergi tadi jam set.5 buat ambil nomor antrian</t>
  </si>
  <si>
    <t>@bertanyarl PPKM akan berakhir secepatnya</t>
  </si>
  <si>
    <t>PPKM akan berakhir secepatnya</t>
  </si>
  <si>
    <t>my mitra text me pake kalimat "agar jobdesc ini lebih jelas".
 terus tbtb ngasih timeline buat ngedesek printing, yg di mana printing company nya pindah grgr merekanya sendiri yg ga read email sebulan.
 endingnya gue yg disuruh ke bogor buat ngedesk printing. gila apaya, PPKM, die.</t>
  </si>
  <si>
    <t>my mitra text me pake kalimat "agar jobdesc ini lebih jelas".terus tbtb ngasih timeline buat ngedesek printing, yg di mana printing company nya pindah grgr merekanya sendiri yg ga read email sebulan.endingnya gue yg disuruh ke bogor buat ngedesk printing. gila apaya, PPKM, die.</t>
  </si>
  <si>
    <t>@destinipl Wkwkwk,, yuuukkk, tapi takutnya PPKM nya diperpanjang trus nanti kita daring lagi,</t>
  </si>
  <si>
    <t>Wkwkwk,, yuuukkk, tapi takutnya PPKM nya diperpanjang trus nanti kita daring lagi,</t>
  </si>
  <si>
    <t>Katanya PPKM!!! https://t.co/BJGO575TjY</t>
  </si>
  <si>
    <t>Katanya PPKM!!!</t>
  </si>
  <si>
    <t>@arisrista @talitarlv_ Yuk, oktober inshaAllah gaada ppkm</t>
  </si>
  <si>
    <t>Yuk, oktober inshaAllah gaada ppkm</t>
  </si>
  <si>
    <t>@nixapasih bosen ppkm</t>
  </si>
  <si>
    <t>bosen ppkm</t>
  </si>
  <si>
    <t>@VR46_Vanguard Efek PSBB, PPKM sampai sana juga. Kebanyakan WFH jadinya banyak berkreasi.</t>
  </si>
  <si>
    <t>Efek PSBB, PPKM sampai sana juga. Kebanyakan WFH jadinya banyak berkreasi.</t>
  </si>
  <si>
    <t>@hazellnut_latte disini ppkm</t>
  </si>
  <si>
    <t>disini ppkm</t>
  </si>
  <si>
    <t>simulasi dine-in saat ppkm level 4 adalah sahur 10 menit</t>
  </si>
  <si>
    <t>simulasi dine-in saat ppkm level adalah sahur menit</t>
  </si>
  <si>
    <t>@kompascom Kenapa Bu yang yang di tangisin cuman pak Jokowi beribu ribu rakyat Indonesia yang keadaannya susah cari penghasilan apalagi sekarang PPKM terus di perpanjang ga di tangisin tuh</t>
  </si>
  <si>
    <t>Kenapa Bu yang yang di tangisin cuman pak Jokowi beribu ribu rakyat Indonesia yang keadaannya susah cari penghasilan apalagi sekarang PPKM terus di perpanjang ga di tangisin tuh</t>
  </si>
  <si>
    <t>@harusemesta Bismillah✨. Lagi pengen ngebaca yang berfaedah sambil nunggu PPKM selesai~😀 https://t.co/MZQt6W8bA5</t>
  </si>
  <si>
    <t>Bismillah. Lagi pengen ngebaca yang berfaedah sambil nunggu PPKM selesai~</t>
  </si>
  <si>
    <t>@Bapakmu39212140 @rafa_fazlur @befairy_ @xhimple_ @sosmedkeras pas pandemi kak abis lebaran kemarin tapi mungkin semenjak ppkm tutupnya jam 8</t>
  </si>
  <si>
    <t>pas pandemi kak abis lebaran kemarin tapi mungkin semenjak ppkm tutupnya jam</t>
  </si>
  <si>
    <t>@Kunto_Drummer @Nurulkjo1 Tu Efek ppkm extended terus yak?? 😁</t>
  </si>
  <si>
    <t>Tu Efek ppkm extended terus yak??</t>
  </si>
  <si>
    <t>@bertanyarl Biasanya olahraga pagi jooging terus lanjut yoga, tapi ppkm 2bulan ini gabisa keluar rumah😆 hari ini baru mau mulai lagi jooging</t>
  </si>
  <si>
    <t>Biasanya olahraga pagi jooging terus lanjut yoga, tapi ppkm bulan ini gabisa keluar rumah hari ini baru mau mulai lagi jooging</t>
  </si>
  <si>
    <t>PPKM pelan pelan kami miskin.
 Kebijakan pemerintah hanya membuat masyarakat tambah susah
 PPKM kami menyerah.
 #ppkmdiperpanjang surrender. https://t.co/aVDCc8oaet</t>
  </si>
  <si>
    <t>PPKM pelan pelan kami miskin.Kebijakan pemerintah hanya membuat masyarakat tambah susahPPKM kami menyerah. surrender.</t>
  </si>
  <si>
    <t>@CNNIndonesia Mau hormat gimana wong presiden ngomongnya sepele,wna tiongkok masuk disaat ppkm darurat dan ppkm level 4,dilarang buat kerumunan presiden buat kerumunan,jokowi bilang tdk boleh rangkap jabatan malah ada pejabat negara rangkap jabatan https://t.co/GNwYCLeQzc</t>
  </si>
  <si>
    <t>Mau hormat gimana wong presiden ngomongnya sepele,wna tiongkok masuk disaat ppkm darurat dan ppkm level ,dilarang buat kerumunan presiden buat kerumunan,jokowi bilang tdk boleh rangkap jabatan malah ada pejabat negara rangkap jabatan</t>
  </si>
  <si>
    <t>PPKM kayak Sinetron Indonesia saja diperpanjang mulu gak kelar-kelar</t>
  </si>
  <si>
    <t>@asyaauuu PPKM = pelan pelan kok mengsedih</t>
  </si>
  <si>
    <t>PPKM = pelan pelan kok mengsedih</t>
  </si>
  <si>
    <t>ppkm lama banget script aku sampe ilang...</t>
  </si>
  <si>
    <t>Efek PPKM dunia alter lesu 😭</t>
  </si>
  <si>
    <t>Efek PPKM dunia alter lesu</t>
  </si>
  <si>
    <t>@haris_patsy Masa kalah sama ppkm</t>
  </si>
  <si>
    <t>Masa kalah sama ppkm</t>
  </si>
  <si>
    <t>Rakyat Butuh Makan Bukan Desinfektan,yo butuh rabi dangdutan barang , PPKM ndek mamup pak @jokowi</t>
  </si>
  <si>
    <t>Rakyat Butuh Makan Bukan Desinfektan,yo butuh rabi dangdutan barang , PPKM ndek mamup pak</t>
  </si>
  <si>
    <t>Rakyat MAYORITAS NKRI PANCASILAku kenapa Kita semakin MENDERITA AYOOO PPKM ALIAS perbanyak pergi Ka Masjid bgi Muslim.yg lain ka Tempat doa masing2 AMALKEN PANCASILAXE SILA 1 MAKA 4 SILA LAINXA NOROK PASTIXE</t>
  </si>
  <si>
    <t>Rakyat MAYORITAS NKRI PANCASILAku kenapa Kita semakin MENDERITA AYOOO PPKM ALIAS perbanyak pergi Ka Masjid bgi Muslim.yg lain ka Tempat doa masing2 AMALKEN PANCASILAXE SILA MAKA SILA LAINXA NOROK PASTIXE</t>
  </si>
  <si>
    <t>17an, PPKM, masuk mal &amp;amp; agustusan niiih https://t.co/WLZaRdO4mA</t>
  </si>
  <si>
    <t>an, PPKM, masuk mal &amp;amp; agustusan niiih</t>
  </si>
  <si>
    <t>PPKM diperpanjang sampai kau jadi milikku dan selamanya bersamaku bhahah</t>
  </si>
  <si>
    <t>PPKM
 pelan pelan kita modif https://t.co/RFVHYDenWu</t>
  </si>
  <si>
    <t>PPKMpelan pelan kita modif</t>
  </si>
  <si>
    <t>Pas mau ambil kunci motor, tau-tau keinget kalo pantai di sepanjang Sanur pada tutup dalam rangka ppkm</t>
  </si>
  <si>
    <t>@BossTemlen @jokowi Siap melakukan PPKM level selanjutnya...😊</t>
  </si>
  <si>
    <t>Siap melakukan PPKM level selanjutnya...</t>
  </si>
  <si>
    <t>TETAP WASPADA
 Penyesuaian situasi Pemberlakuan Pembatasan Kegiatan Masyarakat (PPKM) yang tengah berlangsung janganlah sampai membuat kita lengah dan kembali abai dalam menjalankan protokol kesehatan. Tetap kenakan masker dalam menjalankan segala aktivitas. https://t.co/lIGvDOZeNg</t>
  </si>
  <si>
    <t>TETAP WASPADAPenyesuaian situasi Pemberlakuan Pembatasan Kegiatan Masyarakat (PPKM) yang tengah berlangsung janganlah sampai membuat kita lengah dan kembali abai dalam menjalankan protokol kesehatan. Tetap kenakan masker dalam menjalankan segala aktivitas.</t>
  </si>
  <si>
    <t>@tempodotco Rakyat kurus mikirin presiden nya sudah disuruh PPKM diem di rumah di kasih makan kagak,..</t>
  </si>
  <si>
    <t>Rakyat kurus mikirin presiden nya sudah disuruh PPKM diem di rumah di kasih makan kagak,..</t>
  </si>
  <si>
    <t>Jadi inget dulu sebelom pandemi pernah motoran pake kostum wkwkw sekarang PPKM jadi #dirumahaja https://t.co/HS9Jn7jSnO https://t.co/EAVQuwpPow</t>
  </si>
  <si>
    <t>Jadi inget dulu sebelom pandemi pernah motoran pake kostum wkwkw sekarang PPKM jadi</t>
  </si>
  <si>
    <t>@gatotrifai @asnamaulian @sketsagram Paling kesel klo ada yg bilang "enak yg pns dan punya gaji. Ppkm gak ngaruh di mereka" lha kok iri sm rejeki org lain 🤬 lha mereka jd pns atau karyawan, dlu gak tes.gk capek belajar?Ketrima krn pinter,dlu skolah e bolos?gk capek kirim lamaran sana sini? Lambene asal ngmg🤬</t>
  </si>
  <si>
    <t>Paling kesel klo ada yg bilang "enak yg pns dan punya gaji. Ppkm gak ngaruh di mereka" lha kok iri sm rejeki org lain lha mereka jd pns atau karyawan, dlu gak tes.gk capek belajar?Ketrima krn pinter,dlu skolah e bolos?gk capek kirim lamaran sana sini? Lambene asal ngmg</t>
  </si>
  <si>
    <t>@heyabiil EH MSH PPKM KAN</t>
  </si>
  <si>
    <t>EH MSH PPKM KAN</t>
  </si>
  <si>
    <t>@randxmrants Gak boleh, PPKM ntar ditangkep pol pp 😂</t>
  </si>
  <si>
    <t>Gak boleh, PPKM ntar ditangkep pol pp</t>
  </si>
  <si>
    <t>ppkm gini udah boleh kuliah offline ya di surabaya? huuh</t>
  </si>
  <si>
    <t>Terlalu memikirkan hal besar yang belum tentu bisa terjadi sampai melupakan hal kecil yg sudah pasti terjadi dalam hidup,contoh: bernafas,berlari,makan,pdi,ppkm diperpanjang👉👈</t>
  </si>
  <si>
    <t>Terlalu memikirkan hal besar yang belum tentu bisa terjadi sampai melupakan hal kecil yg sudah pasti terjadi dalam hidup,contoh: bernafas,berlari,makan,pdi,ppkm diperpanjang</t>
  </si>
  <si>
    <t>Lg PPKM malah temen ngadain pertemuan aduh</t>
  </si>
  <si>
    <t>@ajusttinna Waiki...hbd Smoga panjang umur sehat selalu dan semakin sukses....Di gofoodin ae tin soale ppkm 🤣🤣</t>
  </si>
  <si>
    <t>Waiki...hbd Smoga panjang umur sehat selalu dan semakin sukses....Di gofoodin ae tin soale ppkm</t>
  </si>
  <si>
    <t>@Buntuttut Takut ppkm</t>
  </si>
  <si>
    <t>Takut ppkm</t>
  </si>
  <si>
    <t>@n0tkessy Ngopi yuk :) panam gak ppkm</t>
  </si>
  <si>
    <t>Ngopi yuk panam gak ppkm</t>
  </si>
  <si>
    <t>Nih buat yang kemaren bilang “Yuk bisa yuk paling ppkm sampe akhir tahun” pas giliran diajak debat malah ngegas🤣💩 https://t.co/ovlaIr9K9d</t>
  </si>
  <si>
    <t>Nih buat yang kemaren bilang Yuk bisa yuk paling ppkm sampe akhir tahun pas giliran diajak debat malah ngegas</t>
  </si>
  <si>
    <t>Gaada yg buka karna ppkm😭</t>
  </si>
  <si>
    <t>Gaada yg buka karna ppkm</t>
  </si>
  <si>
    <t>Adapun selebaran tersebut tertulis '17 Agustus tahun ini temanya bertahan hidup, dipaksa sehat di negara sakit, PPKM sampai mampus'. | #Regional 
 https://t.co/gMK2aoWnzT</t>
  </si>
  <si>
    <t>Adapun selebaran tersebut tertulis '17 Agustus tahun ini temanya bertahan hidup, dipaksa sehat di negara sakit, PPKM sampai mampus'. |</t>
  </si>
  <si>
    <t>@keuangannews_id Selama Indonesia berdiri blm pernah 1 presiden pun yg membuat lembaga sprti BPIP, krn Pancasila itu harus dipahami agar dpt diamalkan dalam kehidupan berbangsa dan bernegara yg diterapkan dlm Penataran P4,Pelajaran PMP, PPKM dan PSPB sbg dasar acuan sejarah. https://t.co/6Cr0WuhTef</t>
  </si>
  <si>
    <t>Selama Indonesia berdiri blm pernah presiden pun yg membuat lembaga sprti BPIP, krn Pancasila itu harus dipahami agar dpt diamalkan dalam kehidupan berbangsa dan bernegara yg diterapkan dlm Penataran P4,Pelajaran PMP, PPKM dan PSPB sbg dasar acuan sejarah.</t>
  </si>
  <si>
    <t>Alhamdulillah ditengah PPKM Allah malah memudahkanku untuk mencapai salah satu targetku, Tinggal ngerapihin eksekusi aja nih biar lancar kedepannya. Semakin deket ama target semakin banyak godaan, keep strong beybih.</t>
  </si>
  <si>
    <t>Karena Pandemi &amp;amp; PPKM, Rakyat nggak bisa Demo Tatap Muka (langsung di lapangan), kalau iya pun pasti dihalau aparat. Mau kritik via medsos, dijegal UU ITE. Sekarang kritik via mural &amp;amp; kaos sablonan, diburu polisi juga. 
 Sebenernya, ini negara yang Demokratis atau Diktatoris..!?? https://t.co/68dmsTkvzs</t>
  </si>
  <si>
    <t>Karena Pandemi &amp;amp; PPKM, Rakyat nggak bisa Demo Tatap Muka (langsung di lapangan), kalau iya pun pasti dihalau aparat. Mau kritik via medsos, dijegal UU ITE. Sekarang kritik via mural &amp;amp; kaos sablonan, diburu polisi juga. Sebenernya, ini negara yang Demokratis atau Diktatoris..!??</t>
  </si>
  <si>
    <t>@JeniusConnect @jeniushelp Di mention pun g di bales .. lagi ppkm begini bikin rusuh jenius</t>
  </si>
  <si>
    <t>Di mention pun g di bales .. lagi ppkm begini bikin rusuh jenius</t>
  </si>
  <si>
    <t>Alasan pelarangan: dianggap akan menimbulkan kerumunan ditengah pemberlakuan PPKM, sangat aneh karena ada kegiatan lain yg menimbulkan kerumunan tdk dilarang contoh: bagi2 sembako, pilkada, antrian fucksin https://t.co/vBTgeBNrPm</t>
  </si>
  <si>
    <t>Alasan pelarangan: dianggap akan menimbulkan kerumunan ditengah pemberlakuan PPKM, sangat aneh karena ada kegiatan lain yg menimbulkan kerumunan tdk dilarang contoh: bagi2 sembako, pilkada, antrian fucksin</t>
  </si>
  <si>
    <t>@agoengs777 @_m0ndhs_ @Widias_tut1 Tutup..ppkm</t>
  </si>
  <si>
    <t>Tutup..ppkm</t>
  </si>
  <si>
    <t>@detikcom Berpikir progresif ndasmu, ppkm bikin puyeng</t>
  </si>
  <si>
    <t>Berpikir progresif ndasmu, ppkm bikin puyeng</t>
  </si>
  <si>
    <t>donda rilis pas ppkm selesai, sekian.</t>
  </si>
  <si>
    <t>@MemeComicIndo Juara lomba tidak keluar selama ppkm :)</t>
  </si>
  <si>
    <t>Juara lomba tidak keluar selama ppkm</t>
  </si>
  <si>
    <t>Sejak diberlakukan PPKM Darurat efek penurunan Covid-19
 Tingkat okupansi wisma atlit yang sempat 90% sudah turun dibawah 50% https://t.co/GZ8JBDcEky</t>
  </si>
  <si>
    <t>Sejak diberlakukan PPKM Darurat efek penurunan Covid-19Tingkat okupansi wisma atlit yang sempat % sudah turun dibawah %</t>
  </si>
  <si>
    <t>Njing kaga sekalian PPKM nih yah https://t.co/DokirKCkQW</t>
  </si>
  <si>
    <t>Njing kaga sekalian PPKM nih yah</t>
  </si>
  <si>
    <t>@collegemenfess Gue orangnya cuma di eumah mulu sekalinya udah produktif dengan ngegym sebulan eh kehalang ppkm sat</t>
  </si>
  <si>
    <t>Gue orangnya cuma di eumah mulu sekalinya udah produktif dengan ngegym sebulan eh kehalang ppkm sat</t>
  </si>
  <si>
    <t>@astupidboys PPKM.. Jgn ngadi2 deh... sini ke rumah aku.. Di jemput nih 🤣</t>
  </si>
  <si>
    <t>PPKM.. Jgn ngadi2 deh... sini ke rumah aku.. Di jemput nih</t>
  </si>
  <si>
    <t>Ppkm diperpanjang sampe Mariana Renata main film lagi</t>
  </si>
  <si>
    <t>Panik pulang gara gara ppkm 😀 https://t.co/cSofrL6hnW</t>
  </si>
  <si>
    <t>Panik pulang gara gara ppkm</t>
  </si>
  <si>
    <t>PPKM Darurat dari 3 s/d 20 Juli.
 20 Juli Idul Adha.
 Covid selalu rame kalo pas deket deket hari besar islam.</t>
  </si>
  <si>
    <t>PPKM Darurat dari s/d Juli.20 Juli Idul Adha.Covid selalu rame kalo pas deket deket hari besar islam.</t>
  </si>
  <si>
    <t>Virus emang asalnya China. Tapi disana aja udah bebas. Sedangkan disini, virus menggila. Kalo WNA mau ke Indonesia malah sebenernya yang masuk ke daerah wabah tuh mereka.
 Psbb ppkm dsb ga guna kalo ga lockdown. Orang2 suruh di rumah aja kecuali cari makan. WNA jg males mau kesini</t>
  </si>
  <si>
    <t>Virus emang asalnya China. Tapi disana aja udah bebas. Sedangkan disini, virus menggila. Kalo WNA mau ke Indonesia malah sebenernya yang masuk ke daerah wabah tuh mereka.Psbb ppkm dsb ga guna kalo ga lockdown. Orang2 suruh di rumah aja kecuali cari makan. WNA jg males mau kesini</t>
  </si>
  <si>
    <t>Gara2 "kamu2" akhirnya meledak lagi, PPKM lagi, susah lagi, merangkak lagi, melambat lagi,...
 Suka banget sih menyusahkan org lain...?
 Mburu kesenganmu dhéwé... akhiré begini. https://t.co/4KdDYDRtN0</t>
  </si>
  <si>
    <t>Gara2 "kamu2" akhirnya meledak lagi, PPKM lagi, susah lagi, merangkak lagi, melambat lagi,...Suka banget sih menyusahkan org lain...?Mburu kesenganmu dhw... akhir begini.</t>
  </si>
  <si>
    <t>Buat yg suka ngebacot .buat hoax tentang covid-19.yg menghalang halangi protokol kesehatan covid-19 .hari ini khususnya Jawa -bali Tutup mulut mu karenamu PPKM DARURAT membelunggu rakyat ingat .....ingat ...itu juanchok</t>
  </si>
  <si>
    <t>Padahal aku ga suka mager.
 Yuks disiplin 5M agar gak ada PPKM lagi</t>
  </si>
  <si>
    <t>Padahal aku ga suka mager.Yuks disiplin M agar gak ada PPKM lagi</t>
  </si>
  <si>
    <t>PPKM tidak berlaku bagi industri kreatif wkwk</t>
  </si>
  <si>
    <t>Pertanyaannya: PPKM Darurat Jawa-Bali, tapi kok masih boleh berwisata? https://t.co/y8eH4CqMdN</t>
  </si>
  <si>
    <t>Pertanyaannya: PPKM Darurat Jawa-Bali, tapi kok masih boleh berwisata?</t>
  </si>
  <si>
    <t>Pagi hari dapet kiriman foto dari temen pengusaha kedai kopi. Katanya ini surat dia terima kemarin malem (1/7/2021) waktu ada gabungan Satgas Covid dateng ke tempatnya. Tapi kenapa suratnya... ??
 #COVID19 #PPKM https://t.co/c6yLfr3UIL</t>
  </si>
  <si>
    <t>Pagi hari dapet kiriman foto dari temen pengusaha kedai kopi. Katanya ini surat dia terima kemarin malem (1/7/2021) waktu ada gabungan Satgas Covid dateng ke tempatnya. Tapi kenapa suratnya... ??</t>
  </si>
  <si>
    <t>Sekali lg negara kasih kesempatan ke LBP (another king of lip service). Kalo doi bisa bikin emergency PPKM ini berhasil, dan kurva kasus harian terjun payung, gue bakal follow aku ig lo</t>
  </si>
  <si>
    <t>Ppkm tdk.berlaku untuk.TKA....presiden dungu dan bodoh https://t.co/APyW1EaDk5</t>
  </si>
  <si>
    <t>Ppkm tdk.berlaku untuk.TKA....presiden dungu dan bodoh</t>
  </si>
  <si>
    <t>PPKM darurat tu yang parah banget kah? purworejo juga zona merah tapi kok gaada disitu dah https://t.co/HWZgnU0Qzu</t>
  </si>
  <si>
    <t>PPKM darurat tu yang parah banget kah? purworejo juga zona merah tapi kok gaada disitu dah</t>
  </si>
  <si>
    <t>@comic_lxlc Mau tanya kan besok mulai PPKM darurat terus toko buku pada tutup. Apa jadwal komik jalan terus atau mengikuti PPKM tertunda sampai selesai PPKM?</t>
  </si>
  <si>
    <t>Mau tanya kan besok mulai PPKM darurat terus toko buku pada tutup. Apa jadwal komik jalan terus atau mengikuti PPKM tertunda sampai selesai PPKM?</t>
  </si>
  <si>
    <t>Apakah saat berlaku PPKM darurat juga ada penutupan pintu masuk bagi WNA &amp;amp; TKA China?</t>
  </si>
  <si>
    <t>Geblek bngt gak ngecek WA kantor ini q jam 5 pagi dah berangkat ke kantor tau"nya gak jd, krna jadwal q di tukar perkara PPKM jdnya yg berangkat Bu boss aja Omo 👍</t>
  </si>
  <si>
    <t>Geblek bngt gak ngecek WA kantor ini q jam pagi dah berangkat ke kantor tau"nya gak jd, krna jadwal q di tukar perkara PPKM jdnya yg berangkat Bu boss aja Omo</t>
  </si>
  <si>
    <t>@CNNIndonesia Petisix jgn hnya soal tegas tangani covid tpi sklian petisi untuk MUNDUR saja sebagai PRESIDEN mau tegas mau gonta ganti nama dri psbb smpai ppkm darurat ttp aja hasilx gk ada.
 Ingat kata rocki mau klian dandani bgimnapun ttp aja gk bklan bisa..</t>
  </si>
  <si>
    <t>Petisix jgn hnya soal tegas tangani covid tpi sklian petisi untuk MUNDUR saja sebagai PRESIDEN mau tegas mau gonta ganti nama dri psbb smpai ppkm darurat ttp aja hasilx gk ada.Ingat kata rocki mau klian dandani bgimnapun ttp aja gk bklan bisa..</t>
  </si>
  <si>
    <t>gppa nder. iya kmrn lg ada mslh kluarga, tp udh agak mndingan kok mslhnya. btw gmna harimu? smoga mnyenangkan ya, cntik.. oiya kmu jgn lpa stok bhn mkanan ya drumah, soalnya bsk kan udh mlai ppkm. dan soal mncul di dm, bleh bnget! dtnggu ya cntik☺️ https://t.co/Z8DCnpQkkD</t>
  </si>
  <si>
    <t>gppa nder. iya kmrn lg ada mslh kluarga, tp udh agak mndingan kok mslhnya. btw gmna harimu? smoga mnyenangkan ya, cntik.. oiya kmu jgn lpa stok bhn mkanan ya drumah, soalnya bsk kan udh mlai ppkm. dan soal mncul di dm, bleh bnget! dtnggu ya cntik</t>
  </si>
  <si>
    <t>Semoga kita nanti patuh ppkm</t>
  </si>
  <si>
    <t>PPKM ( Pala Pusing Kepikiran Money ) eaaa</t>
  </si>
  <si>
    <t>@CommuterLine min mau tanya. Di masa ppkm darurat ini jadwalnkrp cikarang kota ada perubahan nggak?</t>
  </si>
  <si>
    <t>min mau tanya. Di masa ppkm darurat ini jadwalnkrp cikarang kota ada perubahan nggak?</t>
  </si>
  <si>
    <t>Infografis Aturan Lengkap PPKM Darurat Jawa Bali https://t.co/iqkHoOWsA2</t>
  </si>
  <si>
    <t>Infografis Aturan Lengkap PPKM Darurat Jawa Bali</t>
  </si>
  <si>
    <t>PPKM Darurat dilakukan selama 2 Minggu, mulai tanggal 3 Juli, sampai dengan 21 Juli 2021.</t>
  </si>
  <si>
    <t>PPKM Darurat dilakukan selama Minggu, mulai tanggal Juli, sampai dengan Juli .</t>
  </si>
  <si>
    <t>PPKM masih aja trending yah beberapa hari ini
 https://t.co/fnliCQ0BON</t>
  </si>
  <si>
    <t>PPKM masih aja trending yah beberapa hari ini</t>
  </si>
  <si>
    <t>@republikaonline PPKM setahun pun juga tidak akan menyelesaikain masalah covid klo TKA China datang setiap saat... Mudik sudah di larang.. tp TKA China tetap datang.... emang kalian penguasa senang klo ada covid.?</t>
  </si>
  <si>
    <t>PPKM setahun pun juga tidak akan menyelesaikain masalah covid klo TKA China datang setiap saat... Mudik sudah di larang.. tp TKA China tetap datang.... emang kalian penguasa senang klo ada covid.?</t>
  </si>
  <si>
    <t>Tugas oetama Ditunjuk pak luhut sbg ketua PPKM VNGT NRDC mikro adalah ngantemi yg mengkritik. Pdhl kritik tanda cinta kasih lo https://t.co/2rTtGagdI4</t>
  </si>
  <si>
    <t>Tugas oetama Ditunjuk pak luhut sbg ketua PPKM VNGT NRDC mikro adalah ngantemi yg mengkritik. Pdhl kritik tanda cinta kasih lo</t>
  </si>
  <si>
    <t>PPKM dimulai lagi. Jan lupa ya manteman. Jaga iman, aman, dan juga imun. Di masa begini emang itu si yang paling harus dijaga bat. Tetap semangat dan jangan menyerah ya buat kamu yang lagi positif. Salam hangat dari sini🤗😘😍🥰</t>
  </si>
  <si>
    <t>PPKM dimulai lagi. Jan lupa ya manteman. Jaga iman, aman, dan juga imun. Di masa begini emang itu si yang paling harus dijaga bat. Tetap semangat dan jangan menyerah ya buat kamu yang lagi positif. Salam hangat dari sini</t>
  </si>
  <si>
    <t>Semoga PPKM kali ini hasilnya maksimal 😭😭</t>
  </si>
  <si>
    <t>Semoga PPKM kali ini hasilnya maksimal</t>
  </si>
  <si>
    <t>PPKM Mikro kan salah satunya menjaga mobilitas, kalo motorlitas gimana? kok ga dibatasin juga sihh</t>
  </si>
  <si>
    <t>btw krn akan ada ppkm lagi, ngapain ya biar ga boshan??! 🙂
 stay safe ya buat kita semua</t>
  </si>
  <si>
    <t>btw krn akan ada ppkm lagi, ngapain ya biar ga boshan??! stay safe ya buat kita semua</t>
  </si>
  <si>
    <t>Geli...
 Kepala daerah saja sampai harus dikasih sanksi bila tdk melaksanakan aturan PPKM.
 .
 Separah itukah kualitas para kepala daerah kita ? https://t.co/p17CLZ3aGJ</t>
  </si>
  <si>
    <t>Geli...Kepala daerah saja sampai harus dikasih sanksi bila tdk melaksanakan aturan PPKM..Separah itukah kualitas para kepala daerah kita ?</t>
  </si>
  <si>
    <t>ini brrt ppkm kaya awal pandemi ya? 😃</t>
  </si>
  <si>
    <t>ini brrt ppkm kaya awal pandemi ya?</t>
  </si>
  <si>
    <t>Solusi yang belum dijalankan ya Cuma lokdon seindon aja ini soal copit.. Fucksin udah PPKM abcd juga gak ngaruh.. Masyarakat yg Bosan ama kopit lebih bnyk ketimbang orang orang yg memberikan peringatan bahaya kopit 😔 Kapan bisa nnton bola distadion lagi??</t>
  </si>
  <si>
    <t>Solusi yang belum dijalankan ya Cuma lokdon seindon aja ini soal copit.. Fucksin udah PPKM abcd juga gak ngaruh.. Masyarakat yg Bosan ama kopit lebih bnyk ketimbang orang orang yg memberikan peringatan bahaya kopit Kapan bisa nnton bola distadion lagi??</t>
  </si>
  <si>
    <t>@sandiuno Bapak yg pernah saya dukung di pigub ,DKI dan PILPRES rasanya PPKM darurat atau gawat atau urgen apapun namanya,klo msh ad dusta di antara kita ya susah terwujud,kita terlalu banyak di bohongi,</t>
  </si>
  <si>
    <t>Bapak yg pernah saya dukung di pigub ,DKI dan PILPRES rasanya PPKM darurat atau gawat atau urgen apapun namanya,klo msh ad dusta di antara kita ya susah terwujud,kita terlalu banyak di bohongi,</t>
  </si>
  <si>
    <t>Giliran darurat, baru dibikin PPKM. Rakyat sengsara pake kuadrat.</t>
  </si>
  <si>
    <t>Yang mau ngerantau dekat univ, untuk sementara ini, lebih baik menggunakan antigen/PCR, dulu, ya. Stay safe, all. Selamat menjalankan PPKM [cm] https://t.co/euIC757L7J</t>
  </si>
  <si>
    <t>Yang mau ngerantau dekat univ, untuk sementara ini, lebih baik menggunakan antigen/PCR, dulu, ya. Stay safe, all. Selamat menjalankan PPKM [cm]</t>
  </si>
  <si>
    <t>Lupa bawa minum, smua alfa indo tutup karena PPKM 😐 https://t.co/3HsVlMw4X8</t>
  </si>
  <si>
    <t>Lupa bawa minum, smua alfa indo tutup karena PPKM</t>
  </si>
  <si>
    <t>Besok udah mulai ppkm, g ada yg mau ngajak ngemall atau ke cafe gtu hari ini?🥺</t>
  </si>
  <si>
    <t>Besok udah mulai ppkm, g ada yg mau ngajak ngemall atau ke cafe gtu hari ini?</t>
  </si>
  <si>
    <t>Walah ko jadi begini sih ....!!!!!
 Batik Jokowi saat Tanggapi BEM UI dan Umumkan PPKM Darurat Mirip, Publik Curiga https://t.co/WYRz2KoApe</t>
  </si>
  <si>
    <t>Walah ko jadi begini sih ....!!!!!Batik Jokowi saat Tanggapi BEM UI dan Umumkan PPKM Darurat Mirip, Publik Curiga</t>
  </si>
  <si>
    <t>@lunar_catto @diamond__5ky @dopirijinki @youroddeye Pengen banget last show, tapi ppkm gimana :")</t>
  </si>
  <si>
    <t>Pengen banget last show, tapi ppkm gimana :")</t>
  </si>
  <si>
    <t>Jd ini aku beneran ga jd sekolah yh grgr kena ppkm !? https://t.co/PHw4iYNF1c</t>
  </si>
  <si>
    <t>Jd ini aku beneran ga jd sekolah yh grgr kena ppkm !?</t>
  </si>
  <si>
    <t>Ini tuh kayak apa yaaa, baruuu aja diinfo kalo kerjaan sekarang jadi 17 hari dalam sebulan instead of 10 hari trus kena PPKM Darurat. Sedih banget.</t>
  </si>
  <si>
    <t>Ini tuh kayak apa yaaa, baruuu aja diinfo kalo kerjaan sekarang jadi hari dalam sebulan instead of hari trus kena PPKM Darurat. Sedih banget.</t>
  </si>
  <si>
    <t>@failedword PPKM darurat
 Rakyat : duh gimana cari uangnya buat hidup
 Koruptor : kita perlu PPKM darurat untuk mencari cuan</t>
  </si>
  <si>
    <t>PPKM daruratRakyat : duh gimana cari uangnya buat hidupKoruptor : kita perlu PPKM darurat untuk mencari cuan</t>
  </si>
  <si>
    <t>@e100ss Udah bangun mau mengejar mimpi keluar rumah, 
 Ehh iya PPKM 
 Ya udah balik tidur, mimpi lagi.</t>
  </si>
  <si>
    <t>Udah bangun mau mengejar mimpi keluar rumah, Ehh iya PPKM Ya udah balik tidur, mimpi lagi.</t>
  </si>
  <si>
    <t>Dalam pemberlakuan PPKM darurat adalah pembatasan keramaian masyarakat, dan jam operasional restoran</t>
  </si>
  <si>
    <t>PPKM DARURAT DEMI KESELAMATAN BERSAMA
 Diberlakukan mulai tanggal 3 s.d. 20 Juli 2021
 #PolriPresisi
 #PolresPati
 #PPKMMikroTangkalPandemi
 #BersamaCegahCovid19 https://t.co/4T8Atd94Un</t>
  </si>
  <si>
    <t>PPKM DARURAT DEMI KESELAMATAN BERSAMADiberlakukan mulai tanggal s.d. Juli</t>
  </si>
  <si>
    <t>@abang_ide @mr_banan12 @nung_306 @FFathurF @belicik_aje @Nurulkjo1 @radjadjawa makanya sangat bingung,, udah mulai ppkm lagi,, di sanahhh !! Semoga gak merambah ke daerah yang aman tentram damai dsni , aminn</t>
  </si>
  <si>
    <t>makanya sangat bingung,, udah mulai ppkm lagi,, di sanahhh !! Semoga gak merambah ke daerah yang aman tentram damai dsni , aminn</t>
  </si>
  <si>
    <t>Kalau ppkm begini, tambak boyo buka ga sih?</t>
  </si>
  <si>
    <t>Akankah PPKM diperpanjang?</t>
  </si>
  <si>
    <t>@CommuterLine 
 Admin tolong bales ASAP. jam 21 itu maksudnya dari stasiun awal bukan? Masi ada kereta jam 10 gak dari duri ke bogor 
 Jadwal dari app update ppkm nggak https://t.co/9whliP6YtH</t>
  </si>
  <si>
    <t>Admin tolong bales ASAP. jam itu maksudnya dari stasiun awal bukan? Masi ada kereta jam gak dari duri ke bogor Jadwal dari app update ppkm nggak</t>
  </si>
  <si>
    <t>KST Papua biadab
 PPKM Bentengi Negeri https://t.co/HZcwt05FHj</t>
  </si>
  <si>
    <t>KST Papua biadabPPKM Bentengi Negeri</t>
  </si>
  <si>
    <t>@SamsatBekasi Masa PPKM Darurat tetap buka pelayanan min?</t>
  </si>
  <si>
    <t>Masa PPKM Darurat tetap buka pelayanan min?</t>
  </si>
  <si>
    <t>PPKM Pernah Peduli Kemudian Menghindari .</t>
  </si>
  <si>
    <t>ppkm itu ya pendidikan pancasila dan kewargamegaraan</t>
  </si>
  <si>
    <t>PPKM Darurat https://t.co/71M4NU5ztM</t>
  </si>
  <si>
    <t>PPKM Darurat</t>
  </si>
  <si>
    <t>maunya sih daftar PPPK, ealah pemerintah malah nerapkan PPKM. Ya udahlah gak usah ribet, tidur di rumah aja</t>
  </si>
  <si>
    <t>Mulai berlaku ya PPKM darurat hari ini
 Semoga bisa neken angka positif yang terus naik.
 Kurang sih dua minggu, mesti sebulan atau satu setengah bulan baru efektif dampaknya</t>
  </si>
  <si>
    <t>Mulai berlaku ya PPKM darurat hari iniSemoga bisa neken angka positif yang terus naik.Kurang sih dua minggu, mesti sebulan atau satu setengah bulan baru efektif dampaknya</t>
  </si>
  <si>
    <t>@dv12O5__ Sabar dulu, aparat masih punya senjata PPKM</t>
  </si>
  <si>
    <t>Sabar dulu, aparat masih punya senjata PPKM</t>
  </si>
  <si>
    <t>@republikaonline Betul...,uang gak bisa dimakan.
 Makanan harus dibeli pergi ke luar..
 PPKM gak fungsi akhirnya.</t>
  </si>
  <si>
    <t>Betul...,uang gak bisa dimakan.Makanan harus dibeli pergi ke luar..PPKM gak fungsi akhirnya.</t>
  </si>
  <si>
    <t>@menfesssyg Bilang aja jauh. Lagian PPKM hari pertama, ngapain kamu nyamperin kesana teman</t>
  </si>
  <si>
    <t>Bilang aja jauh. Lagian PPKM hari pertama, ngapain kamu nyamperin kesana teman</t>
  </si>
  <si>
    <t>@mamas_zuhri @disdukcapilkab @disdukcapilkab saya mau cetak KTP baru karena baru pindahan (datang Kab Bogor) karena untuk pendaftaran vaksin, sementara di AEON sentuh dan ITC Mall Cibinong ditutup selama PPKM ? Bisakah cetak di Desa/Kelurahan atau di Kecamatan ? Saya di Kecamatan Gunung Putri</t>
  </si>
  <si>
    <t>saya mau cetak KTP baru karena baru pindahan (datang Kab Bogor) karena untuk pendaftaran vaksin, sementara di AEON sentuh dan ITC Mall Cibinong ditutup selama PPKM ? Bisakah cetak di Desa/Kelurahan atau di Kecamatan ? Saya di Kecamatan Gunung Putri</t>
  </si>
  <si>
    <t>pemerintah telah menerapkan ppkm darurat di seluruh indonesia mualia tanggal 3 juli 2021. Saya minta masyarakat tetap patuhi protokol kesehatan dan tetap dirumah aja . Sekarang ini kondisinya lagi darurat negara tetangga kita udah di locdown.</t>
  </si>
  <si>
    <t>pemerintah telah menerapkan ppkm darurat di seluruh indonesia mualia tanggal juli . Saya minta masyarakat tetap patuhi protokol kesehatan dan tetap dirumah aja . Sekarang ini kondisinya lagi darurat negara tetangga kita udah di locdown.</t>
  </si>
  <si>
    <t>@daddys3rdsperm Dbtasi sobat slama kegyatan ppkm brlngsung 🙏</t>
  </si>
  <si>
    <t>Dbtasi sobat slama kegyatan ppkm brlngsung</t>
  </si>
  <si>
    <t>PPKm di terapkan?
 Apakah ada dana bansos lagi?
 Yo kita nantikan korup bansos Episode 2 yg segera tayang 😆
 Yg kemaren masih idup apa udah di kubur ya😂
 #TheKingOfNgibul</t>
  </si>
  <si>
    <t>PPKm di terapkan?Apakah ada dana bansos lagi?Yo kita nantikan korup bansos Episode yg segera tayang Yg kemaren masih idup apa udah di kubur ya</t>
  </si>
  <si>
    <t>Himpunan mahasiswa Kaimana dukung Otsus
 PPKM Bentengi Negeri https://t.co/fjvhRDHw4S</t>
  </si>
  <si>
    <t>Himpunan mahasiswa Kaimana dukung OtsusPPKM Bentengi Negeri</t>
  </si>
  <si>
    <t>ya gimana udah ppkm gini..</t>
  </si>
  <si>
    <t>[us] kalo lagi ppkm gini kopma buka gak?</t>
  </si>
  <si>
    <t>Bismillah kemarau kemarau !!
 Kmren yg dipikirin hujan dan cara antisipasi kalo hujan
 Skrg inshaAllah dah kemarau, yg dipikirin ganti ppkm dan kopid' https://t.co/t4IVMnP8Nh</t>
  </si>
  <si>
    <t>Bismillah kemarau kemarau !!Kmren yg dipikirin hujan dan cara antisipasi kalo hujanSkrg inshaAllah dah kemarau, yg dipikirin ganti ppkm dan kopid'</t>
  </si>
  <si>
    <t>Bagaimana kabarnya? 
 Hari ini mulai berlaku PPKM Darurat yaaa 
 Semoga kalian sehat selalu, dan tetap menjaga Protokol Kesehatan</t>
  </si>
  <si>
    <t>Bagaimana kabarnya? Hari ini mulai berlaku PPKM Darurat yaaa Semoga kalian sehat selalu, dan tetap menjaga Protokol Kesehatan</t>
  </si>
  <si>
    <t>Tokoh masyarakat dukung Otsus Papua
 PPKM Bentengi Negeri https://t.co/qqbTwAIS0A</t>
  </si>
  <si>
    <t>Tokoh masyarakat dukung Otsus PapuaPPKM Bentengi Negeri</t>
  </si>
  <si>
    <t>nek aku tetep setuju lockdown,pemerintah harus penuhi kewajiban daripada ppkm bla bla bla... gonta ganti istilah tapi masyarakat gak dapet kompensasi apa-apa...</t>
  </si>
  <si>
    <t>@yudasn11 Berita nya si begitu utk protokol selama ppkm</t>
  </si>
  <si>
    <t>Berita nya si begitu utk protokol selama ppkm</t>
  </si>
  <si>
    <t>Selamat menunaikan PPKM 2021 🙏🏽</t>
  </si>
  <si>
    <t>Selamat menunaikan PPKM</t>
  </si>
  <si>
    <t>Pagi min @CommuterLine , selama PPKM Mikro, jadwal KRL jadi berubah atau tidak ya?</t>
  </si>
  <si>
    <t>Pagi min , selama PPKM Mikro, jadwal KRL jadi berubah atau tidak ya?</t>
  </si>
  <si>
    <t>Patroli yustisi Polsek Pitu ke Pertokoan, angkringan dan poskamling edukasi protokol kesehatan dan ppkm mikro partisipatoris https://t.co/S4WK2lxZRT</t>
  </si>
  <si>
    <t>Patroli yustisi Polsek Pitu ke Pertokoan, angkringan dan poskamling edukasi protokol kesehatan dan ppkm mikro partisipatoris</t>
  </si>
  <si>
    <t>Tokoh masyarakat semarakan dukungan PON XX Papua
 PPKM Bentengi Negeri https://t.co/eupT8iVar1</t>
  </si>
  <si>
    <t>Tokoh masyarakat semarakan dukungan PON XX PapuaPPKM Bentengi Negeri</t>
  </si>
  <si>
    <t>Sukseskan PPKM Jawa Bali. . 
 #PPKMDaruratJawaBali
 #COVID19</t>
  </si>
  <si>
    <t>Sukseskan PPKM Jawa Bali. .</t>
  </si>
  <si>
    <t>Selamat PPKM bagi yg menjalankan,hindari kerumunan ya dulu.
 Bismillah,info tikum Minggu pagi 🙏</t>
  </si>
  <si>
    <t>Selamat PPKM bagi yg menjalankan,hindari kerumunan ya dulu.Bismillah,info tikum Minggu pagi</t>
  </si>
  <si>
    <t>@BudeSumiyati selamat pagi yang LDR karena ppkm darurat</t>
  </si>
  <si>
    <t>selamat pagi yang LDR karena ppkm darurat</t>
  </si>
  <si>
    <t>Pagi yang kurang semangat ppkm rasa lockdown</t>
  </si>
  <si>
    <t>PPKM betlaku polisi lakukan sekat dan ladang mengumpul fuluszzzzz.setiap aturan di negeri ini bisa di olah menjadi fulus https://t.co/exq9HYEYBQ</t>
  </si>
  <si>
    <t>PPKM betlaku polisi lakukan sekat dan ladang mengumpul fuluszzzzz.setiap aturan di negeri ini bisa di olah menjadi fulus</t>
  </si>
  <si>
    <t>PPKM : Para Pedagang Kembali Menganggur</t>
  </si>
  <si>
    <t>PSBB
 PPKM
 PGangTT</t>
  </si>
  <si>
    <t>PSBBPPKMPGangTT</t>
  </si>
  <si>
    <t>hari pertama ppkm</t>
  </si>
  <si>
    <t>Assalamualaikum, Selamat pagi! Sahabat Indonesia.
 Khusus buat sahabat di Jawa-Bali, semoga Tetap Sehat, jaga diri, patuhi aturan PPKM Darurat agar Pandemi segera berlalu demi Indonesia Jaya!💪💪🇮🇩🇮🇩🙏🙏</t>
  </si>
  <si>
    <t>Assalamualaikum, Selamat pagi! Sahabat Indonesia.Khusus buat sahabat di Jawa-Bali, semoga Tetap Sehat, jaga diri, patuhi aturan PPKM Darurat agar Pandemi segera berlalu demi Indonesia Jaya!</t>
  </si>
  <si>
    <t>@yunhogurih Aku sebelahmu tp ga ppkm hiks :'))</t>
  </si>
  <si>
    <t>Aku sebelahmu tp ga ppkm hiks :'))</t>
  </si>
  <si>
    <t>Demi Keselamatan Bersama, Kita dukung PPKM Darurat, ayo tetap semangat jalankan Prokes</t>
  </si>
  <si>
    <t>PPKM DARURAT,
 ya wes di rumah aja.
 sehat semua ya ...</t>
  </si>
  <si>
    <t>PPKM DARURAT,ya wes di rumah aja.sehat semua ya ...</t>
  </si>
  <si>
    <t>PPKM SETAN</t>
  </si>
  <si>
    <t>@Nasmaxz kegereja, tapi sekarang engga soalnya baru ppkm disini</t>
  </si>
  <si>
    <t>kegereja, tapi sekarang engga soalnya baru ppkm disini</t>
  </si>
  <si>
    <t>@convomf harusnya ntar siang berenang tapi gajadi karna ppkm, jadi yaaa gatau deh</t>
  </si>
  <si>
    <t>harusnya ntar siang berenang tapi gajadi karna ppkm, jadi yaaa gatau deh</t>
  </si>
  <si>
    <t>jd pgn jalan beneran tp lg ppkm https://t.co/f03AK6egJH https://t.co/guBZLX760i</t>
  </si>
  <si>
    <t>jd pgn jalan beneran tp lg ppkm</t>
  </si>
  <si>
    <t>PPKM mengajarkan aku dan suami “Sabar dulu pindahan ke Malangnya”</t>
  </si>
  <si>
    <t>PPKM mengajarkan aku dan suami Sabar dulu pindahan ke Malangnya</t>
  </si>
  <si>
    <t>PPKM
 Pagi Pagi Kita Macul
 Jangan lupa ngopi yaa biar fresh
 #LumbungBumiWangsaHarja
 #Subang https://t.co/KDSVc4pQvS</t>
  </si>
  <si>
    <t>PPKMPagi Pagi Kita MaculJangan lupa ngopi yaa biar fresh</t>
  </si>
  <si>
    <t>Janji ketegasan dan ancaman untuk menindak mereka yang melanggar PPKM, diuji.
 Apa memang ancaman menindak yang melanggar &amp;gt;&amp;gt;&amp;gt;&amp;gt; siapapun yang melanggar, akan dilakukan?
 Atau, hanya berhenti pada ancaman dan tanpa tindakan? https://t.co/hGud0hpRwr</t>
  </si>
  <si>
    <t>Janji ketegasan dan ancaman untuk menindak mereka yang melanggar PPKM, diuji.Apa memang ancaman menindak yang melanggar &amp;gt;&amp;gt;&amp;gt;&amp;gt; siapapun yang melanggar, akan dilakukan?Atau, hanya berhenti pada ancaman dan tanpa tindakan?</t>
  </si>
  <si>
    <t>@Kita_AMLTF AKU PATUH PPKM DEMI INDONESIA SEHAT DAN MAJU.
 Tetap patuhi prokes , di manapun dan kapanpun !</t>
  </si>
  <si>
    <t>AKU PATUH PPKM DEMI INDONESIA SEHAT DAN MAJU.Tetap patuhi prokes , di manapun dan kapanpun !</t>
  </si>
  <si>
    <t>@Valosenadya1 Ini video lamaaa, pertengahan Juni, beda konteks dg PPKM Darurat</t>
  </si>
  <si>
    <t>Ini video lamaaa, pertengahan Juni, beda konteks dg PPKM Darurat</t>
  </si>
  <si>
    <t>Selamat pagi, selamat menjalankan ibadah PPKm hari ke 2.</t>
  </si>
  <si>
    <t>Selamat pagi, selamat menjalankan ibadah PPKm hari ke .</t>
  </si>
  <si>
    <t>Apa Langkah pemerintah setelah ppkm ini? 
 Ganti isitilah atau sudah Ada solusi, wait and see. 
 Capek bos usaha ngandat nyari kerjaan susah. Makan pake duit lagi fak</t>
  </si>
  <si>
    <t>Apa Langkah pemerintah setelah ppkm ini? Ganti isitilah atau sudah Ada solusi, wait and see. Capek bos usaha ngandat nyari kerjaan susah. Makan pake duit lagi fak</t>
  </si>
  <si>
    <t>@EcaClarisa Dugem PPKM 👍</t>
  </si>
  <si>
    <t>Dugem PPKM</t>
  </si>
  <si>
    <t>@arusbaik_id Ada 63 Titik Penyekatan Jadetabek selama PPKM darurat.
 #QuizTerbaikArusBaik 
 @ttiqqaa @fina_chindev @elizabethmf2202 @AyuBgt8 @zahhoki 
 #QuizTerbaikArusBaik</t>
  </si>
  <si>
    <t>Ada Titik Penyekatan Jadetabek selama PPKM darurat.</t>
  </si>
  <si>
    <t>@Kita_AMLTF AKU PATUH PPKM DEMI INDONESIA SEHAT DAN MAJU
 Ayo bersama kita pulihkan indonesia 
 God bless</t>
  </si>
  <si>
    <t>AKU PATUH PPKM DEMI INDONESIA SEHAT DAN MAJUAyo bersama kita pulihkan indonesia God bless</t>
  </si>
  <si>
    <t>Pas di jayapura pen liburan dijawa, pas udah dijawa tbtb ppkm darurat…</t>
  </si>
  <si>
    <t>Pas di jayapura pen liburan dijawa, pas udah dijawa tbtb ppkm darurat</t>
  </si>
  <si>
    <t>@keuangannews_id Ya itulah bedanya lockdown dengan PPKM 
 he he</t>
  </si>
  <si>
    <t>Ya itulah bedanya lockdown dengan PPKM he he</t>
  </si>
  <si>
    <t>Dalam hal ini, Pemprov Jatim juga meminta masyarakat untuk bisa mengerti dan menaati aturan selama PPKM Darurat 3 sampai 20 Juli.</t>
  </si>
  <si>
    <t>Dalam hal ini, Pemprov Jatim juga meminta masyarakat untuk bisa mengerti dan menaati aturan selama PPKM Darurat sampai Juli.</t>
  </si>
  <si>
    <t>@Kita_AMLTF AKU PATUH PPKM DEMI INDONESIA SEHAT DAN MAJU 👍👍👍</t>
  </si>
  <si>
    <t>Khofifah menyebutkan jika PPKM Darurat bakalan berlaku mulai tanggal 03 Juli 2021 hingga 20 Juli 2021 betul</t>
  </si>
  <si>
    <t>Khofifah menyebutkan jika PPKM Darurat bakalan berlaku mulai tanggal Juli hingga Juli betul</t>
  </si>
  <si>
    <t>Bapak, ai ini teh gimana kegiatan PPKM tehh katanya gaboleh ada kegiatan apa-apa, tapi masih aja ada yg sesepedahan jauh jauh lagi. Udah mah maskernya cuma pake masker buff untuk momotoran biasa pak @ridwankamil . Tolong pak....</t>
  </si>
  <si>
    <t>Bapak, ai ini teh gimana kegiatan PPKM tehh katanya gaboleh ada kegiatan apa-apa, tapi masih aja ada yg sesepedahan jauh jauh lagi. Udah mah maskernya cuma pake masker buff untuk momotoran biasa pak . Tolong pak....</t>
  </si>
  <si>
    <t>@Ibas @kompascom @PemkotJogja Lo baca isi berita sih ga ada ngomongin soal wisatawan, tp ngomong soal aturan org dr luar daerah yg masuk ke jogja musti sehat dan nunjukin bukti sdh vaksin sbgmn mmg aturan PPKM Darurat yg brlaku, lagian khn mmg semua obyek wisata di DIY sjk kmrn ditutup</t>
  </si>
  <si>
    <t>Lo baca isi berita sih ga ada ngomongin soal wisatawan, tp ngomong soal aturan org dr luar daerah yg masuk ke jogja musti sehat dan nunjukin bukti sdh vaksin sbgmn mmg aturan PPKM Darurat yg brlaku, lagian khn mmg semua obyek wisata di DIY sjk kmrn ditutup</t>
  </si>
  <si>
    <t>@Kita_AMLTF AKU PATUH PPKM DEMJ INDONESIA SEHAT DAN MAJU
 JANGAN LUPA SELALU #pakaimasker DAN JAGA JARAK
 LINDUNGI KELUARGA DAN SAHABAT KITA
 #JOGOTONGGO</t>
  </si>
  <si>
    <t>AKU PATUH PPKM DEMJ INDONESIA SEHAT DAN MAJUJANGAN LUPA SELALU DAN JAGA JARAKLINDUNGI KELUARGA DAN SAHABAT KITA</t>
  </si>
  <si>
    <t>@PolresBuleleng Semoga melalui PPKM Darurat bisa mengurangi penyebaran Covid-19</t>
  </si>
  <si>
    <t>Semoga melalui PPKM Darurat bisa mengurangi penyebaran Covid-19</t>
  </si>
  <si>
    <t>@Kita_AMLTF AKU PATUH PPKM DEMI INDONESIA SEHAT DAN MAJU 
 @purplemeply_ @pikinopiki</t>
  </si>
  <si>
    <t>@na_dirs Jgn cuma pecat dipenjara juga dong... Pecat itu biasa ini PPKM. Kan melanggar PROKES dan melanggar PROKES itu suatu kejahatan kata JAKSA.</t>
  </si>
  <si>
    <t>Jgn cuma pecat dipenjara juga dong... Pecat itu biasa ini PPKM. Kan melanggar PROKES dan melanggar PROKES itu suatu kejahatan kata JAKSA.</t>
  </si>
  <si>
    <t>Sudirman mah iyaa...jantungnya ini mah,coba minggirin dikit,pelosok dikit,udahlah "apa itu PPKM"... ☹️ https://t.co/wX4HRLuTgI</t>
  </si>
  <si>
    <t>Sudirman mah iyaa...jantungnya ini mah,coba minggirin dikit,pelosok dikit,udahlah "apa itu PPKM"...</t>
  </si>
  <si>
    <t>aku dah ppkm dri kemaren soalnya palaku pusing kekurangan money</t>
  </si>
  <si>
    <t>@itsyourbrown PPKM : pegang pegang keluar masuk</t>
  </si>
  <si>
    <t>PPKM : pegang pegang keluar masuk</t>
  </si>
  <si>
    <t>Khofifah menyebutkan jka PPKM Darurat akan berlaku mlai tgl 03 Juli 2021 hingga 20 Juli 2021 begitulah</t>
  </si>
  <si>
    <t>Khofifah menyebutkan jka PPKM Darurat akan berlaku mlai tgl Juli hingga Juli begitulah</t>
  </si>
  <si>
    <t>@Viviaryach PPKM =Pengen Peluk Kamu Mba ,xixixi😂</t>
  </si>
  <si>
    <t>PPKM engen Peluk Kamu Mba ,xixixi</t>
  </si>
  <si>
    <t>Ga sabar liat ppkm darurat di Daan Mogot hari senen 🤗</t>
  </si>
  <si>
    <t>Ga sabar liat ppkm darurat di Daan Mogot hari senen</t>
  </si>
  <si>
    <t>Hari pertama ppkm rebahan
 Hari kedua ppkm rebahan
 Hari ketiga ppkm rebahan
 Walaupun kerjaannya rebahan tapi ada kontribusi buat pmerintah ckckckckck....</t>
  </si>
  <si>
    <t>Hari pertama ppkm rebahanHari kedua ppkm rebahanHari ketiga ppkm rebahanWalaupun kerjaannya rebahan tapi ada kontribusi buat pmerintah ckckckckck....</t>
  </si>
  <si>
    <t>malang kabupaten tetep rame dan terlihat normal di masa ppkm 🤦🏻‍♀️</t>
  </si>
  <si>
    <t>malang kabupaten tetep rame dan terlihat normal di masa ppkm</t>
  </si>
  <si>
    <t>Pagi2 tetangga sebelah lagi ngobrol keras banget kayak mara2 mengenai kebijakan PPKM. Terus ada pernyata "gak vaksin yo mati, vaksin yo tetep mati"
 Aku dalam hati "jadi batu aja pak". Isuk2 wes menyebar doktrin bapak e iki. Jan jaaaaaan ... 😂</t>
  </si>
  <si>
    <t>Pagi2 tetangga sebelah lagi ngobrol keras banget kayak mara2 mengenai kebijakan PPKM. Terus ada pernyata "gak vaksin yo mati, vaksin yo tetep mati"Aku dalam hati "jadi batu aja pak". Isuk2 wes menyebar doktrin bapak e iki. Jan jaaaaaan ...</t>
  </si>
  <si>
    <t>Pembatasan mobilitas masa PPKM di DKI... https://t.co/zlYWX7WMui</t>
  </si>
  <si>
    <t>Pembatasan mobilitas masa PPKM di DKI...</t>
  </si>
  <si>
    <t>Di PPKM Darurat terapkan jam malam dan jgn lupa aturan/hukuman di buat dan diterapkan dgn benar biar masyarakat sadar</t>
  </si>
  <si>
    <t>PPKM = CARA MEREDAM PARA JAMAH HAJI YG GAGAL BERANGKAT</t>
  </si>
  <si>
    <t>@lovindyo Ppkm tapi m nya ilang</t>
  </si>
  <si>
    <t>Ppkm tapi m nya ilang</t>
  </si>
  <si>
    <t>@sempoolcrispi PPKM : pernah pacaran kemudian menghilang
 Darurat jomblo sad 🤭🥶</t>
  </si>
  <si>
    <t>PPKM : pernah pacaran kemudian menghilangDarurat jomblo sad</t>
  </si>
  <si>
    <t>Kembali lagi ke keluarga Xiaomi😂
 Apakah akan bertahan lama di masa PPKM ini? https://t.co/yMvTNNL2VO</t>
  </si>
  <si>
    <t>Kembali lagi ke keluarga XiaomiApakah akan bertahan lama di masa PPKM ini?</t>
  </si>
  <si>
    <t>Khofifah menyebutkan jika PPKM Darurat bakal berlaku mulai tanggal 03 Juli 2021 hingga 20 Juli 2021 baiklah</t>
  </si>
  <si>
    <t>Khofifah menyebutkan jika PPKM Darurat bakal berlaku mulai tanggal Juli hingga Juli baiklah</t>
  </si>
  <si>
    <t>Selamat pagi PPKM hari ke2. Shopee berasa banget ya efeknya.. https://t.co/yeOYipkKft</t>
  </si>
  <si>
    <t>Selamat pagi PPKM hari ke2. Shopee berasa banget ya efeknya..</t>
  </si>
  <si>
    <t>@jhoneexalt Pg pg buka tiktok isinya kepanjangan PPKM semua 😂</t>
  </si>
  <si>
    <t>Pg pg buka tiktok isinya kepanjangan PPKM semua</t>
  </si>
  <si>
    <t>@radenrauf PPKM btw</t>
  </si>
  <si>
    <t>PPKM btw</t>
  </si>
  <si>
    <t>Pemberlakuan Pembatasan Kegiatan Masyarakat (PPKM)</t>
  </si>
  <si>
    <t>PPKM = TAEK!</t>
  </si>
  <si>
    <t>Khofifah menyebutkan jka PPKM Darurat bakalan berlaku mlai tgl 03 Juli 2021 hingga 20 Juli 2021 akur</t>
  </si>
  <si>
    <t>Khofifah menyebutkan jka PPKM Darurat bakalan berlaku mlai tgl Juli hingga Juli akur</t>
  </si>
  <si>
    <t>PPKM : PERKUMPULAN PEDAGANG KEHABISAN MODAL 😄
 Sambat sesuai dengan masalah dan beban hidup masing masing dimulai..</t>
  </si>
  <si>
    <t>PPKM : PERKUMPULAN PEDAGANG KEHABISAN MODAL Sambat sesuai dengan masalah dan beban hidup masing masing dimulai..</t>
  </si>
  <si>
    <t>@menjadii @bertanyarl yess ofc, aku tgl 20 masa akhir ppkm 😂</t>
  </si>
  <si>
    <t>yess ofc, aku tgl masa akhir ppkm</t>
  </si>
  <si>
    <t>@melancolisboi Ada lurah pancoran mas depok kemarin gelar hajatan dan joget2 bareng disaat ppkm darurat</t>
  </si>
  <si>
    <t>Ada lurah pancoran mas depok kemarin gelar hajatan dan joget2 bareng disaat ppkm darurat</t>
  </si>
  <si>
    <t>Mulai Kesulitan karena PPKM Darurat... https://t.co/gApQbSwXhN</t>
  </si>
  <si>
    <t>Mulai Kesulitan karena PPKM Darurat...</t>
  </si>
  <si>
    <t>Baru engeh ppkm nya sampe idul adha🥲</t>
  </si>
  <si>
    <t>Baru engeh ppkm nya sampe idul adha</t>
  </si>
  <si>
    <t>PPKM masih blm selesai lho...
 Penyemprotan berlangsung di kampung masing masing biar aman kampung kita
 Kita ikuti peraturan pemerintah
 Pakai masker jaga jarak
 Jaga kesehatan dll. https://t.co/Rg0NnQci1e</t>
  </si>
  <si>
    <t>PPKM masih blm selesai lho...Penyemprotan berlangsung di kampung masing masing biar aman kampung kitaKita ikuti peraturan pemerintahPakai masker jaga jarakJaga kesehatan dll.</t>
  </si>
  <si>
    <t>Apa itu PPKM lokdon bla bla masih aja rame kereta https://t.co/d2XKpBEZrR</t>
  </si>
  <si>
    <t>Apa itu PPKM lokdon bla bla masih aja rame kereta</t>
  </si>
  <si>
    <t>Si Luhut Panjaitan sudah senang mainan dia jgn sebar hoaks saat PPKM darurat telah dijalankan dg baik. Plate &amp;amp; Nasdem kan pro anies baswedan. Maka pasti dibuat agar hoaks beredar lalu langsung ditangkis &amp;amp; luput sudah org dipaksa ngaku positif covid 19 di RSUD. https://t.co/pCfcrchjCD</t>
  </si>
  <si>
    <t>Si Luhut Panjaitan sudah senang mainan dia jgn sebar hoaks saat PPKM darurat telah dijalankan dg baik. Plate &amp;amp; Nasdem kan pro anies baswedan. Maka pasti dibuat agar hoaks beredar lalu langsung ditangkis &amp;amp; luput sudah org dipaksa ngaku positif covid di RSUD.</t>
  </si>
  <si>
    <t>PPKM 
 Pergi 
 Perpisahan 
 Kekalutan 
 Manusia. https://t.co/gAuqZqrxJW</t>
  </si>
  <si>
    <t>PPKM Pergi Perpisahan Kekalutan Manusia.</t>
  </si>
  <si>
    <t>Karena peraturan tdk boleh makan diwarung sesuai peraturan PPKM Darurat, saat stlh kunjungan krj di Pantura , Mr. White maksi bawa bekal sdri lho! Dngn santai dan tnp tempat yg khusus langsung santap siang. Memang @ganjarpranowo seorang yg bgtu sederhana. Sehat sllu Pak... https://t.co/QIHK3mXvDv</t>
  </si>
  <si>
    <t>Karena peraturan tdk boleh makan diwarung sesuai peraturan PPKM Darurat, saat stlh kunjungan krj di Pantura , Mr. White maksi bawa bekal sdri lho! Dngn santai dan tnp tempat yg khusus langsung santap siang. Memang seorang yg bgtu sederhana. Sehat sllu Pak...</t>
  </si>
  <si>
    <t>Korban PPKM, jadi harus berpisah lebih cepat</t>
  </si>
  <si>
    <t>Sarapan ben kuat ngadepi PPKM
 #TerminalMuntilan #SeninPPKM
 #SotoTerminal https://t.co/hZgmszwcnS</t>
  </si>
  <si>
    <t>Sarapan ben kuat ngadepi PPKM</t>
  </si>
  <si>
    <t>@Sukirno08192311 Mayan. Ppkm darurat</t>
  </si>
  <si>
    <t>Mayan. Ppkm darurat</t>
  </si>
  <si>
    <t>@kumparan Percuma PPKM darurat kalo bandara tetap dibuka untuk orang asing khususnya TKA CINA</t>
  </si>
  <si>
    <t>Percuma PPKM darurat kalo bandara tetap dibuka untuk orang asing khususnya TKA CINA</t>
  </si>
  <si>
    <t>@KemenkeuRI kan lagi PPKM min, gimana mau melangkah maju, takut nanti saat melangkah malah terpapar covid. 🥺</t>
  </si>
  <si>
    <t>kan lagi PPKM min, gimana mau melangkah maju, takut nanti saat melangkah malah terpapar covid.</t>
  </si>
  <si>
    <t>@mardiasih hmm aku PPKM malah stok indomie buat gak keluar2 kos huehuehue</t>
  </si>
  <si>
    <t>hmm aku PPKM malah stok indomie buat gak keluar2 kos huehuehue</t>
  </si>
  <si>
    <t>PT Jasamarga Semarang Batang Dukung Pemberlakuan PPKM Darurat di Wilayah Jawa Tengah https://t.co/FhWBYrGN4s</t>
  </si>
  <si>
    <t>PT Jasamarga Semarang Batang Dukung Pemberlakuan PPKM Darurat di Wilayah Jawa Tengah</t>
  </si>
  <si>
    <t>@fajrshidq PPKM - Pernah Pegang Kelam*n Mantan 🤓</t>
  </si>
  <si>
    <t>PPKM - Pernah Pegang Kelam*n Mantan</t>
  </si>
  <si>
    <t>Ternyata PPKM bisa diplesetkan dengan definisi yang banyak dan menghibur ya 😀</t>
  </si>
  <si>
    <t>Ternyata PPKM bisa diplesetkan dengan definisi yang banyak dan menghibur ya</t>
  </si>
  <si>
    <t>Nyebelin ya kalau liat sw temen masih pada nongkrong di saat ppkm kea gini</t>
  </si>
  <si>
    <t>@Kanseulir Tapi kata netezin yg cerdas PPKM adalah pak Presiden Kapan Mundur sepertinya ini yg paling pas</t>
  </si>
  <si>
    <t>Tapi kata netezin yg cerdas PPKM adalah pak Presiden Kapan Mundur sepertinya ini yg paling pas</t>
  </si>
  <si>
    <t>Work! Guys, minta insight nya ya. Atau mungkin ada jalan keluar lain nya boleh ya 🙏.
 Oh ya aku wfh full dalam jangka waktu yang lama bakalan. Ngga selama ppkm aja ini. https://t.co/T3M74xMbt7</t>
  </si>
  <si>
    <t>Work! Guys, minta insight nya ya. Atau mungkin ada jalan keluar lain nya boleh ya .Oh ya aku wfh full dalam jangka waktu yang lama bakalan. Ngga selama ppkm aja ini.</t>
  </si>
  <si>
    <t>Pagi pagi gak dingin kan, masih PPKM disini https://t.co/mmK8jf3ITb</t>
  </si>
  <si>
    <t>Pagi pagi gak dingin kan, masih PPKM disini</t>
  </si>
  <si>
    <t>Kalo dicegat polisi di jalan ya tinggal pulang aja ribet.. sapa suruh lgi ppkm ttep masuk. Kontol</t>
  </si>
  <si>
    <t>Pagiiiii #RealAngel Senin, 5 Juli 2021 sejuk &amp;amp; cerah. Sudah wudhu, pakai masker, lalu tetap menjaga prokes 5M dan mematuhi PPKM DARURAT memang membutuhkan kesadaran, kesabaran, &amp;amp; keberanian. Semakin kita bersatu padu melaksanakan kata-kata, Covid-19 semakin sirna. Aamiin.❤🇮🇩 https://t.co/2Iqmij6toT</t>
  </si>
  <si>
    <t>Pagiiiii Senin, Juli sejuk &amp;amp; cerah. Sudah wudhu, pakai masker, lalu tetap menjaga prokes M dan mematuhi PPKM DARURAT memang membutuhkan kesadaran, kesabaran, &amp;amp; keberanian. Semakin kita bersatu padu melaksanakan kata-kata, Covid-19 semakin sirna. Aamiin.</t>
  </si>
  <si>
    <t>@zarazettirazr Ganti presiden ganti sistem
 PPKM
 #PakPresidenKapanMundur #PakPresidenKoweMunduro</t>
  </si>
  <si>
    <t>Ganti presiden ganti sistemPPKM</t>
  </si>
  <si>
    <t>@AzzamIzzulhaq Pake Istilah PPKM "Perkumpulan Para Koruptor Maling</t>
  </si>
  <si>
    <t>Pake Istilah PPKM "Perkumpulan Para Koruptor Maling</t>
  </si>
  <si>
    <t>@Hamas191 @zarazettirazr Dua dua nya.
 PPKM dengan gaya menekan Rakyat, TKA masuk dg bebas, emang virus itu datang terbawa angin?, Bandara tetap dibuka, apa ada faedahnya dg menekan Rakyat yg jg jd korban covid? 
 Mikirrrrrr</t>
  </si>
  <si>
    <t>Dua dua nya.PPKM dengan gaya menekan Rakyat, TKA masuk dg bebas, emang virus itu datang terbawa angin?, Bandara tetap dibuka, apa ada faedahnya dg menekan Rakyat yg jg jd korban covid? Mikirrrrrr</t>
  </si>
  <si>
    <t>Virus TKA Cina dan virus dongok sdh mewabah di NKRI selama PPKM ini. https://t.co/mbpZ1R2syn</t>
  </si>
  <si>
    <t>Virus TKA Cina dan virus dongok sdh mewabah di NKRI selama PPKM ini.</t>
  </si>
  <si>
    <t>@sensiamat Kemana? Hati hati, inget ppkm gaboleh kluar wkwkwk</t>
  </si>
  <si>
    <t>Kemana? Hati hati, inget ppkm gaboleh kluar wkwkwk</t>
  </si>
  <si>
    <t>@AripArslam kebijakannya gk serius...
 dari awal pandemi bukan membaik malah jd parah, grafik yg meninggalpun naik nanjak.
 dl PSBB skg jadi PPKM Mikro darurat, artinya gk ada progress apa yg dikerjakan rezim @jokowi
 sayang mahasiswa kita @BEM_SI @BEMUI_Official msh terlelap dlm tidurnya</t>
  </si>
  <si>
    <t>kebijakannya gk serius...dari awal pandemi bukan membaik malah jd parah, grafik yg meninggalpun naik nanjak.dl PSBB skg jadi PPKM Mikro darurat, artinya gk ada progress apa yg dikerjakan rezim mahasiswa kita msh terlelap dlm tidurnya</t>
  </si>
  <si>
    <t>Sampai tanggal 10 Juli lah, mendukung PPKM Darurot https://t.co/Z5gBcyPs0X</t>
  </si>
  <si>
    <t>Sampai tanggal Juli lah, mendukung PPKM Darurot</t>
  </si>
  <si>
    <t>@nung_306 @__Sridiana_3va Solusinya mungkin PPKM??
 https://t.co/IQ73nDViQJ</t>
  </si>
  <si>
    <t>Solusinya mungkin PPKM??</t>
  </si>
  <si>
    <t>Sayang gak disebut tanggal dan jam nya! Klo benar video ini diambil saat PPKM diberlakukan berarti ya gak ada gunanya, mau tarik rem darurat, percumaaaahhh!!! https://t.co/yirCyiN1GS</t>
  </si>
  <si>
    <t>Sayang gak disebut tanggal dan jam nya! Klo benar video ini diambil saat PPKM diberlakukan berarti ya gak ada gunanya, mau tarik rem darurat, percumaaaahhh!!!</t>
  </si>
  <si>
    <t>Pernah Perhatian Kemudian Menghilang (PPKM)</t>
  </si>
  <si>
    <t>PPKM Darurat Diberlakukan, Polisi Beri Dispensasi Perpanjangan SIM
 "Terkait pelayanan SIM dan perpanjangan, bagi masyarakat yang habis masa berlakunya mulai dari 3-20 Juli 2021 maka dapat diperpanjang pada 21-27 Juli dengan mekanisme perpanjangan" https://t.co/RdVb5cMmgp</t>
  </si>
  <si>
    <t>PPKM Darurat Diberlakukan, Polisi Beri Dispensasi Perpanjangan SIM"Terkait pelayanan SIM dan perpanjangan, bagi masyarakat yang habis masa berlakunya mulai dari $NUMBER$ Juli maka dapat diperpanjang pada $NUMBER$ Juli dengan mekanisme perpanjangan"</t>
  </si>
  <si>
    <t>Ppkm darurat diterapkan, tapi kalau asing masih masuk dalam negri, ya tetep aja sia sia usahanya, jadi jangan fokus menyalahkan rakyat tapi lihatlah penyakit itu datang dari luar bukan dari dalamv</t>
  </si>
  <si>
    <t>@geloraco PPKm, yang asing masuk.
 Yang satu dikandangin buat jadi santapan bagi lainnya</t>
  </si>
  <si>
    <t>PPKm, yang asing masuk.Yang satu dikandangin buat jadi santapan bagi lainnya</t>
  </si>
  <si>
    <t>@nndhpsr Lah bukannya ppkm?</t>
  </si>
  <si>
    <t>Lah bukannya ppkm?</t>
  </si>
  <si>
    <t>Tolong kasih solusi @CommuterLine hari pertama PPKM namun kepadatan terjadi diluar stasiun bukannya percuma ya ? #PPKM #stasiunbojonggede https://t.co/IXR3iF6wwj</t>
  </si>
  <si>
    <t>Tolong kasih solusi hari pertama PPKM namun kepadatan terjadi diluar stasiun bukannya percuma ya ?</t>
  </si>
  <si>
    <t>PPKM = Para Pengangguran Kembali Musim</t>
  </si>
  <si>
    <t>Percuma lu mau PPKM di rumah dowang ga kemane mane, org dluar gampang bgt masuk kok lagi bandara kaga ditutup wkwkw https://t.co/eDS6pbcU9Y</t>
  </si>
  <si>
    <t>Percuma lu mau PPKM di rumah dowang ga kemane mane, org dluar gampang bgt masuk kok lagi bandara kaga ditutup wkwkw</t>
  </si>
  <si>
    <t>Gue yakin RSUD yg paksa org ngaku positif covid 19 gak bakal diusut. Kan begini, Luhut Panjaitan bilang jgn sebar hoaks saat PPKM Darurat. Si anies baswedan suruh herdernya sebar hoaks dtgnya TKA china. Langsung ditangkis sama si Plate katanya itu tahun 2020. Jadi menurut gue,</t>
  </si>
  <si>
    <t>Gue yakin RSUD yg paksa org ngaku positif covid gak bakal diusut. Kan begini, Luhut Panjaitan bilang jgn sebar hoaks saat PPKM Darurat. Si anies baswedan suruh herdernya sebar hoaks dtgnya TKA china. Langsung ditangkis sama si Plate katanya itu tahun . Jadi menurut gue,</t>
  </si>
  <si>
    <t>@infoJATIASIH Min infomasi terkini ppkm darurat dijatiasih dan sekitar nya gmn nih. Pada patuh atau gmn?</t>
  </si>
  <si>
    <t>Min infomasi terkini ppkm darurat dijatiasih dan sekitar nya gmn nih. Pada patuh atau gmn?</t>
  </si>
  <si>
    <t>Buat temen temen semua yang mau lewat perbatasan bandung - subang hati hati nya euy aya operasi ppkm</t>
  </si>
  <si>
    <t>Ga suka PPKM sukanya PPK KM</t>
  </si>
  <si>
    <t>Covid-19 varian delta akan menyebar seperti kobaran api pada daerah yg tingkat vaksinnya rendah. 
 Ayo yg belum divaksin segera daftar. Please patuh jg pada PPKM. https://t.co/zFKXx9VQAt</t>
  </si>
  <si>
    <t>Covid-19 varian delta akan menyebar seperti kobaran api pada daerah yg tingkat vaksinnya rendah. Ayo yg belum divaksin segera daftar. Please patuh jg pada PPKM.</t>
  </si>
  <si>
    <t>PPKM = Pernah Perhatian Kemudian Menghilang, alias dighosting</t>
  </si>
  <si>
    <t>@angellasvydn_ Yok yok yok. Mumpung lagi dirumah efek ppkm</t>
  </si>
  <si>
    <t>Yok yok yok. Mumpung lagi dirumah efek ppkm</t>
  </si>
  <si>
    <t>aku suka ppkm without m. pepek. 
 canda pepek.</t>
  </si>
  <si>
    <t>aku suka ppkm without m. pepek. canda pepek.</t>
  </si>
  <si>
    <t>PPKM tak jelas tehnis jelas merugikan rakyat .. 
 https://t.co/yAlM3HXObF</t>
  </si>
  <si>
    <t>PPKM tak jelas tehnis jelas merugikan rakyat ..</t>
  </si>
  <si>
    <t>Arahan dan ajakan untuk tidak melakukan kegiatan dalam kerumunan besar termasuk beribadah.
 Jadi mengutamakan keselamatan masyarakat banyak jauh lebih penting.
 Mari kita dukung pemerintah dengan PPKM Darurat.
 @jokowi Lawan Pandemi https://t.co/MwiSmNWBll</t>
  </si>
  <si>
    <t>Arahan dan ajakan untuk tidak melakukan kegiatan dalam kerumunan besar termasuk beribadah.Jadi mengutamakan keselamatan masyarakat banyak jauh lebih penting.Mari kita dukung pemerintah dengan PPKM Darurat. Lawan Pandemi</t>
  </si>
  <si>
    <t>Patuhi Aturan PPKM
 Pelaksanaan PPKM untuk menyelamatkan masyarakat https://t.co/LhITsEMIee</t>
  </si>
  <si>
    <t>Patuhi Aturan PPKMPelaksanaan PPKM untuk menyelamatkan masyarakat</t>
  </si>
  <si>
    <t>@adit_insomnia Sangat efektif dong ya ppkm sampe gak berasa udh tgl 21</t>
  </si>
  <si>
    <t>Sangat efektif dong ya ppkm sampe gak berasa udh tgl</t>
  </si>
  <si>
    <t>@susipudjiastuti bu dampak dari ppkm saya yang bekerja di parawisata tidak ada pemasukan sama sekali🥺</t>
  </si>
  <si>
    <t>bu dampak dari ppkm saya yang bekerja di parawisata tidak ada pemasukan sama sekali</t>
  </si>
  <si>
    <t>PPKM
 Pas Pertama Ketemu Malu</t>
  </si>
  <si>
    <t>PPKMPas Pertama Ketemu Malu</t>
  </si>
  <si>
    <t>ppkm nanggung , jln gede doang ditutup tp bisa lewat jln kicil. buang2 waktu muter HAHAHAHA 🙂🙂🙂🙂🙂🙂🙂🙂🙂🙂🙂🙂🙂🙂🙂</t>
  </si>
  <si>
    <t>ppkm nanggung , jln gede doang ditutup tp bisa lewat jln kicil. buang2 waktu muter HAHAHAHA</t>
  </si>
  <si>
    <t>Ini yg sy rangkum dr Twitter ttg arti PPKM
 Pemiskinan pribumi komunis makmur
 Planga Plongo Kelakuan Mukidi
 Pak Presiden Kapan Mundur 
 Presiden Pinter Kalau Mundur
 Planga Plongo Kayak Monyet
 Plintat Plintut Kayak M
 Pembatasan pemerintah kurang modal
 #RakyatBersatuJokowiTumbang</t>
  </si>
  <si>
    <t>Ini yg sy rangkum dr Twitter ttg arti PPKMPemiskinan pribumi komunis makmurPlanga Plongo Kelakuan MukidiPak Presiden Kapan Mundur Presiden Pinter Kalau MundurPlanga Plongo Kayak MonyetPlintat Plintut Kayak MPembatasan pemerintah kurang modal</t>
  </si>
  <si>
    <t>ppkm pak presiden kapan mundur</t>
  </si>
  <si>
    <t>@B0c4hkeling Dukung pelaksanaan PPKM darurat</t>
  </si>
  <si>
    <t>Dukung pelaksanaan PPKM darurat</t>
  </si>
  <si>
    <t>@detikcom Coba diganti istilahnya jadi "PPKM GENTING," mungkin bisa lebih efektif, jangan lupa pelaksananya "dimandiin kembang" seperti dulu ada mobil yg mandiin kembang di sono. 
 Siapa tahu bisa jd efektif.</t>
  </si>
  <si>
    <t>Coba diganti istilahnya jadi "PPKM GENTING," mungkin bisa lebih efektif, jangan lupa pelaksananya "dimandiin kembang" seperti dulu ada mobil yg mandiin kembang di sono. Siapa tahu bisa jd efektif.</t>
  </si>
  <si>
    <t>Ppkm setengah hati, malah nerima warga asing dateng.
 Dah lah emang goblok atau sengaja sungkem ndlosor sama asing</t>
  </si>
  <si>
    <t>Ppkm setengah hati, malah nerima warga asing dateng.Dah lah emang goblok atau sengaja sungkem ndlosor sama asing</t>
  </si>
  <si>
    <t>Liat byk org batal nikah krn ppkm darurat padahal udah siap segala macem sedi jg ya. Kalo umumin ppkm nya seminggu sebelum mungkin blm sampe sebar undangan (?) repot jg kasi tau gajadinya</t>
  </si>
  <si>
    <t>Kemarin PSBB sekarang PPKM.
 Bentar lagi PPKN, BALAGHOH, MANTIQ, QOWA'ID dll</t>
  </si>
  <si>
    <t>Kemarin PSBB sekarang PPKM.Bentar lagi PPKN, BALAGHOH, MANTIQ, QOWA'ID dll</t>
  </si>
  <si>
    <t>@maman1965 Hi kang, terima kasih sudah memberi kesempatan, berikut ini produk yg baru saja kami release dan berteoatan dengan ditetapkannya PPKM darurat.
 https://t.co/nCQyr0zx9O</t>
  </si>
  <si>
    <t>Hi kang, terima kasih sudah memberi kesempatan, berikut ini produk yg baru saja kami release dan berteoatan dengan ditetapkannya PPKM darurat.</t>
  </si>
  <si>
    <t>PPKM darurat, penyekatan utk membatasi mobikitas dilakukan jam 21.00 -04.00,
 Knp jadi pagi dan sore..mgkn jam disana yg salah? 😁😁😁</t>
  </si>
  <si>
    <t>PPKM darurat, penyekatan utk membatasi mobikitas dilakukan jam ,Knp jadi pagi dan sore..mgkn jam disana yg salah?</t>
  </si>
  <si>
    <t>Pusat kuliner di 2 pasar ditutup sampai 20 Juli karena langgar PPKM darurat.
 Bekasi bagaimana Bang Pepen @Rahmat_Effendi_?
 https://t.co/MskzwjtvDM</t>
  </si>
  <si>
    <t>Pusat kuliner di pasar ditutup sampai Juli karena langgar PPKM darurat.Bekasi bagaimana Bang Pepen ?</t>
  </si>
  <si>
    <t>efek ppkm jadi dirumah aja guys!🥵🥵 https://t.co/UFx9tPjd16</t>
  </si>
  <si>
    <t>efek ppkm jadi dirumah aja guys!</t>
  </si>
  <si>
    <t>PELAN PELAN KITA MATI. (PPKM)
 Rakyat butuh makan
 Kegoblokan yg hakiki https://t.co/DiPlyJZKPo</t>
  </si>
  <si>
    <t>PELAN PELAN KITA MATI. (PPKM)Rakyat butuh makanKegoblokan yg hakiki</t>
  </si>
  <si>
    <t>@anjares90 Disini masih terjadi perbedaan pemahaman PPKM Darurat.
 PPKM Darurat bukan lockdown. Indonesia tdk/belum pernah menerapkan lockdown.</t>
  </si>
  <si>
    <t>Disini masih terjadi perbedaan pemahaman PPKM Darurat.PPKM Darurat bukan lockdown. Indonesia tdk/belum pernah menerapkan lockdown.</t>
  </si>
  <si>
    <t>PPKM Darurat balek tidor wae lah</t>
  </si>
  <si>
    <t>@VIVAcoid Cluster PPKM</t>
  </si>
  <si>
    <t>Cluster PPKM</t>
  </si>
  <si>
    <t>@UyokBack ini yg disesalkan 😔
 bukan membantu warga terdampak PPKM Mikro darurat ala @Jokowi tetapi justru menambah beban warga krn mesti kehilangan property dagangannya...
 STOPlah cara-cara gini @Puspen_TNI 🙏🏻
 suara kalian mana bisul @DPR_RI ?</t>
  </si>
  <si>
    <t>ini yg disesalkan bukan membantu warga terdampak PPKM Mikro darurat ala tetapi justru menambah beban warga krn mesti kehilangan property dagangannya...STOPlah cara-cara gini suara kalian mana bisul ?</t>
  </si>
  <si>
    <t>@geloraco Mana berani,wong masa ppkm aja malah WNA nya trs datang kan spesial namanya</t>
  </si>
  <si>
    <t>Mana berani,wong masa ppkm aja malah WNA nya trs datang kan spesial namanya</t>
  </si>
  <si>
    <t>@Unsoedfess1963 Sama, malah waktu ppkm ini kampusku ga nerima bimbingan (dosennya kudu offline ga nerima online) jadinya nunggu tgl 20:(</t>
  </si>
  <si>
    <t>Sama, malah waktu ppkm ini kampusku ga nerima bimbingan (dosennya kudu offline ga nerima online) jadinya nunggu tgl</t>
  </si>
  <si>
    <t>@zwirasakti tentaranya masih berdatangan kok.. wlo ppkm mereka tetap boleh dateng 😩</t>
  </si>
  <si>
    <t>tentaranya masih berdatangan kok.. wlo ppkm mereka tetap boleh dateng</t>
  </si>
  <si>
    <t>PPKM, pelan pelan kita misqueen...</t>
  </si>
  <si>
    <t>Selamat pagi sobat
 Semoga sehat selalu dan penuh bahagia.
 Tetap patuhi prokes dan ikuti ppkm darurat.
 Utk keselamatan dan kesehatan kita bersama.
 Salam...
 🙏🙏🙏 https://t.co/fFXD36RZtt</t>
  </si>
  <si>
    <t>Selamat pagi sobatSemoga sehat selalu dan penuh bahagia.Tetap patuhi prokes dan ikuti ppkm darurat.Utk keselamatan dan kesehatan kita bersama.Salam...</t>
  </si>
  <si>
    <t>@dviluz Ppkm Cantiiikk</t>
  </si>
  <si>
    <t>Ppkm Cantiiikk</t>
  </si>
  <si>
    <t>Catering langganan semenjak pindah ke cibubur namanya catering bu yati, nah selama ppkm darurat ini dia ikutan lockdown dongs😅 nyari2 alternatif dapetlah via instagram, catering bu retno.. baru hari pertama kemarin, alhamdulillah laki w cocok.. alhamdulillah ada andalan lain💃</t>
  </si>
  <si>
    <t>Catering langganan semenjak pindah ke cibubur namanya catering bu yati, nah selama ppkm darurat ini dia ikutan lockdown dongs nyari2 alternatif dapetlah via instagram, catering bu retno.. baru hari pertama kemarin, alhamdulillah laki w cocok.. alhamdulillah ada andalan lain</t>
  </si>
  <si>
    <t>PPKM, Percepatan Penegakan Khilafah ala Min hajin nubuwwah
 #SyariahPalingAdil</t>
  </si>
  <si>
    <t>PPKM, Percepatan Penegakan Khilafah ala Min hajin nubuwwah</t>
  </si>
  <si>
    <t>Ppkm darurat, kurang"i keluar rumah. Tidak boleh nongkrong dkk, Tapi tempat vaksin rame ne ra masuk akal, tidak ada sosdistance lagi 🙏 wow</t>
  </si>
  <si>
    <t>Ppkm darurat, kurang"i keluar rumah. Tidak boleh nongkrong dkk, Tapi tempat vaksin rame ne ra masuk akal, tidak ada sosdistance lagi wow</t>
  </si>
  <si>
    <t>@Unsoedfess1963 Engga, lg ppkm soalnya jd mending olahraga aja di kos</t>
  </si>
  <si>
    <t>Engga, lg ppkm soalnya jd mending olahraga aja di kos</t>
  </si>
  <si>
    <t>ppkm, tp ada berita orang china ada yang dateng ke indonesia. Uhuy. Kaya tahun lalu. Ppkm dpt berita kek gt juga. jadi suudzon 😥</t>
  </si>
  <si>
    <t>ppkm, tp ada berita orang china ada yang dateng ke indonesia. Uhuy. Kaya tahun lalu. Ppkm dpt berita kek gt juga. jadi suudzon</t>
  </si>
  <si>
    <t>Di tengah lonjakan kasus covid-19 di negeri ini pemerintah akhirnya memberlakukan PPKM tapi pemerintah membiarkan 20 tenaga kerja asing (TKA) dari China tiba di Bandara Internasional Sultan Hasanuddin,Sulawesi Selatan, Sabtu (3/7) lalu.simak vidio nya yuk
 https://t.co/sZMXcgK2B9</t>
  </si>
  <si>
    <t>Di tengah lonjakan kasus covid-19 di negeri ini pemerintah akhirnya memberlakukan PPKM tapi pemerintah membiarkan tenaga kerja asing (TKA) dari China tiba di Bandara Internasional Sultan Hasanuddin,Sulawesi Selatan, Sabtu (3/7) lalu.simak vidio nya yuk</t>
  </si>
  <si>
    <t>Ingat ya temans ini hari ke 4 PPKM darurat jangan keluar rumah kalau tdk urgent , mending nonton pertandingan Brazil v Peru , siapkan camilan biar tambah seru ......</t>
  </si>
  <si>
    <t>Ingat ya temans ini hari ke PPKM darurat jangan keluar rumah kalau tdk urgent , mending nonton pertandingan Brazil v Peru , siapkan camilan biar tambah seru ......</t>
  </si>
  <si>
    <t>@milisiperang Efek ppkm : pas perhatian kamunya menghilang</t>
  </si>
  <si>
    <t>Efek ppkm : pas perhatian kamunya menghilang</t>
  </si>
  <si>
    <t>Wakil Ketua Komisi III DPR RI Ahmad Sahroni meminta aparat kepolisian menindak tegas warga yang sengaja menerobos jalan saat penerapan kebijakan pemberlakuan pembatasan kegiatan masyarakat (PPKM) darurat.
 #TegasTegakkanPPKMDarurat https://t.co/Gj9o8FwJZZ</t>
  </si>
  <si>
    <t>Wakil Ketua Komisi III DPR RI Ahmad Sahroni meminta aparat kepolisian menindak tegas warga yang sengaja menerobos jalan saat penerapan kebijakan pemberlakuan pembatasan kegiatan masyarakat (PPKM) darurat.</t>
  </si>
  <si>
    <t>@VIVAcoid Kesono nya aja susah, kena PPKM</t>
  </si>
  <si>
    <t>Kesono nya aja susah, kena PPKM</t>
  </si>
  <si>
    <t>Kesian asli, kaya serbasalah hidup. Keluar rumah, bimbang kena virus, gak keluar bingung kebutuhan.. Blum lagi akhir bulan tagihan muncul. Meledak kepala. Corona ga kena, depresi yang ada. 
 Kalo mau PPKM darurat, ya harusnya pemerintah harus bisa jamin kebutuhan masyarakat.</t>
  </si>
  <si>
    <t>Kesian asli, kaya serbasalah hidup. Keluar rumah, bimbang kena virus, gak keluar bingung kebutuhan.. Blum lagi akhir bulan tagihan muncul. Meledak kepala. Corona ga kena, depresi yang ada. Kalo mau PPKM darurat, ya harusnya pemerintah harus bisa jamin kebutuhan masyarakat.</t>
  </si>
  <si>
    <t>Pemberlakuan PPKM Darurat untuk wilayah jawa dan Bali harus dipatuhi semua masyarakatnya,
 Jgn ngeyel... Please... Jgn ngeyel...! 
 #TegasTegakkanPPKMDarurat https://t.co/6cXFjWPGaC</t>
  </si>
  <si>
    <t>Pemberlakuan PPKM Darurat untuk wilayah jawa dan Bali harus dipatuhi semua masyarakatnya,Jgn ngeyel... Please... Jgn ngeyel...!</t>
  </si>
  <si>
    <t>@KompasTV Rakyat kelaparan ga dilaporin akibat dampak PPKM yg membatasi mrk utk berdagang dan bekerja</t>
  </si>
  <si>
    <t>Rakyat kelaparan ga dilaporin akibat dampak PPKM yg membatasi mrk utk berdagang dan bekerja</t>
  </si>
  <si>
    <t>PPKM bisa juga Pelan Pelan Kita Miskin ya ternyata huhu 🥲</t>
  </si>
  <si>
    <t>PPKM bisa juga Pelan Pelan Kita Miskin ya ternyata huhu</t>
  </si>
  <si>
    <t>Rakyat kelaparan ga dilaporin akibat dampak PPKM yg membatasi mrk utk berdagang dan bekerja https://t.co/MXhCebWkuR</t>
  </si>
  <si>
    <t>@AdityaK_94 @iyasiapatau @malangkuliner @mahasiswamlg Lagi PPKM bg
 Gak iso dolen²</t>
  </si>
  <si>
    <t>Lagi PPKM bgGak iso dolen</t>
  </si>
  <si>
    <t>PPKM DARURAT ancaman sebagai sumber masalah baru di negeri ini.
 Apalagi jika masyarakat tetap saja sebagai obyek kesalahan oleh sudut pandang pemerintah.
 @jokowi https://t.co/uIlV9O7UDa</t>
  </si>
  <si>
    <t>PPKM DARURAT ancaman sebagai sumber masalah baru di negeri ini.Apalagi jika masyarakat tetap saja sebagai obyek kesalahan oleh sudut pandang pemerintah.</t>
  </si>
  <si>
    <t>PPKM
 (Pelan pelan Kita Mati)
 Mari sama sama kita mati 😀
 #IndonesiaKolaps
 #IndonesiaKolaps https://t.co/MnawGnmFN5</t>
  </si>
  <si>
    <t>PPKM(Pelan pelan Kita Mati)Mari sama sama kita mati</t>
  </si>
  <si>
    <t>@MCentre69 Pak buat program makan utk keluarga yg kesulitan makan terdampak ppkm. Diatur tiap rw atau masjid atau lainnya. InsyaAllah bisa membantu sdr2x kita dari kelaparan. Pelajaran 212 tdk ada yg kelaparan, makanan berlimpah dari umat Islam seluruh penjuru Indonesia</t>
  </si>
  <si>
    <t>Pak buat program makan utk keluarga yg kesulitan makan terdampak ppkm. Diatur tiap rw atau masjid atau lainnya. InsyaAllah bisa membantu sdr2x kita dari kelaparan. Pelajaran tdk ada yg kelaparan, makanan berlimpah dari umat Islam seluruh penjuru Indonesia</t>
  </si>
  <si>
    <t>Libur semesteran tapi ppkm 🥲</t>
  </si>
  <si>
    <t>Libur semesteran tapi ppkm</t>
  </si>
  <si>
    <t>@Cobeh09 Berlebihan sekali, arogan... klo gak boleh berjualan ya dikasih biaya hidup selama ppkm... baru ditindak klo dah dijalankan kewajiban negara🥵</t>
  </si>
  <si>
    <t>Berlebihan sekali, arogan... klo gak boleh berjualan ya dikasih biaya hidup selama ppkm... baru ditindak klo dah dijalankan kewajiban negara</t>
  </si>
  <si>
    <t>@Dennysiregar7 Ya elah giliran dana haji mau di audit aja rezim langsung bikin PPKM zona merah zona hitam covid 19 varian rasa baru 🤣🤣🤣🤣 sadar woy tolol 🤣🤣</t>
  </si>
  <si>
    <t>Ya elah giliran dana haji mau di audit aja rezim langsung bikin PPKM zona merah zona hitam covid varian rasa baru sadar woy tolol</t>
  </si>
  <si>
    <t>@Itheunk3 @LOVEYOUMOMMY2 @TRendusara @faiza_adam @PDemokrat @JakartaDemokrat @RAMujiyono @NinanoyJ @kholil78 @bowmen_m @L4DYOR17 @fatiahalkatiri @UCIKINI @AgusYudhoyono @SBYudhoyono @panca66 @Stevaniehuangg Ember... Kita disuruh di Rumah ajeee. PPKM lah apalah. Laaahh tuuu di Soetta bejibun pada konvoi kek parade kemerdekaan noh si org2 dari negeri mana tau.
 Ancooorrrr</t>
  </si>
  <si>
    <t>Ember... Kita disuruh di Rumah ajeee. PPKM lah apalah. Laaahh tuuu di Soetta bejibun pada konvoi kek parade kemerdekaan noh si org2 dari negeri mana tau.Ancooorrrr</t>
  </si>
  <si>
    <t>@fuegoleopald kan masa ppkm gini hrus kurangin keluar rumah 🙅‍♀️</t>
  </si>
  <si>
    <t>kan masa ppkm gini hrus kurangin keluar rumah</t>
  </si>
  <si>
    <t>@geloraco @erna_st PPKM.. Petugas Pedagang Kembali Mumet</t>
  </si>
  <si>
    <t>PPKM.. Petugas Pedagang Kembali Mumet</t>
  </si>
  <si>
    <t>Bagaimana covid mau ga makin menggila jika dalam PPKM Darurat masih ada ‘pengecualian’. 
 Ada sebuah ‘kuasa’ yang mencengkeram kuat negeri ini hingga sekelas presiden dan DPR saja tidak berdaya. Bahkan untuk sekedar protes. 
 #IndonesiaKolaps https://t.co/kzHoTw8ch6</t>
  </si>
  <si>
    <t>Bagaimana covid mau ga makin menggila jika dalam PPKM Darurat masih ada pengecualian. Ada sebuah kuasa yang mencengkeram kuat negeri ini hingga sekelas presiden dan DPR saja tidak berdaya. Bahkan untuk sekedar protes.</t>
  </si>
  <si>
    <t>Sidak, Tindak, Tegas dan Terukur kepada perusahaan besar yang melanggar PPKM, tak peduli siapapun pemiliknya. Beda sama yang menindak rakyat kecil yg tak berdaya. Katanya Humanis tapi bahan makanan warteg ikut diangkut. Ambyar🥴🥴 https://t.co/fCpnjbDMeL</t>
  </si>
  <si>
    <t>Sidak, Tindak, Tegas dan Terukur kepada perusahaan besar yang melanggar PPKM, tak peduli siapapun pemiliknya. Beda sama yang menindak rakyat kecil yg tak berdaya. Katanya Humanis tapi bahan makanan warteg ikut diangkut. Ambyar</t>
  </si>
  <si>
    <t>@ekowboy2 Dan semoga pak @aniesbaswedan jg berani menindak aparat yg semena2 terhdap rakyat kecil yg lemah yg berdalih penindakan PPKM darurat di wilayahnya 🙏</t>
  </si>
  <si>
    <t>Dan semoga pak jg berani menindak aparat yg semena2 terhdap rakyat kecil yg lemah yg berdalih penindakan PPKM darurat di wilayahnya</t>
  </si>
  <si>
    <t>@tempodotco yaudah gausah ngebacot terus klo rakyat kecil masih gelar dagangannya disaat PPKM darurat..</t>
  </si>
  <si>
    <t>yaudah gausah ngebacot terus klo rakyat kecil masih gelar dagangannya disaat PPKM darurat..</t>
  </si>
  <si>
    <t>@FKadrun Pak buat program makan utk keluarga yg kesulitan makan terdampak ppkm. Diatur tiap rw atau masjid atau lainnya. InsyaAllah bisa membantu sdr2x kita dari kelaparan. Pelajaran 212 tdk ada yg kelaparan, makanan berlimpah dari umat Islam seluruh penjuru Indonesia</t>
  </si>
  <si>
    <t>PPKM
 Pelan
 Pelan
 Kok
 Masuk?
 🤣</t>
  </si>
  <si>
    <t>PPKMPelanPelanKokMasuk?</t>
  </si>
  <si>
    <t>@bungsucilik Udah PPKM, matematika dll mbul klo d mks 😂</t>
  </si>
  <si>
    <t>Udah PPKM, matematika dll mbul klo d mks</t>
  </si>
  <si>
    <t>Dan jalan2 tp krn lg ppkm jd gabole jalan2 dulu👍🏻</t>
  </si>
  <si>
    <t>Dan jalan2 tp krn lg ppkm jd gabole jalan2 dulu</t>
  </si>
  <si>
    <t>@KING__VADUKA PPKM itu untuk menyelamatkan rakyat atau menyengsarakan rakyat ?</t>
  </si>
  <si>
    <t>PPKM itu untuk menyelamatkan rakyat atau menyengsarakan rakyat ?</t>
  </si>
  <si>
    <t>ppkm = pen peluk km</t>
  </si>
  <si>
    <t>@pedeh_ Ppkm jadi naik</t>
  </si>
  <si>
    <t>Ppkm jadi naik</t>
  </si>
  <si>
    <t>PPKM
 Pengen
 Pacaran
 Kamunya
 Menolak</t>
  </si>
  <si>
    <t>PPKMPengenPacaranKamunyaMenolak</t>
  </si>
  <si>
    <t>Ya masyarakat Indonesia, mungkinkah tidak selalu bersama handphone kemana-mana, walau terbentang jarak antara kita ... 
 Jadi kudet, gak update info ttg PPKM. 
 Ya petugas sing sabar membimbing, kasih info, kasih pencerahan, biar jadi Sang Pencerah ... https://t.co/snlr2oFUaS</t>
  </si>
  <si>
    <t>Ya masyarakat Indonesia, mungkinkah tidak selalu bersama handphone kemana-mana, walau terbentang jarak antara kita ... Jadi kudet, gak update info ttg PPKM. Ya petugas sing sabar membimbing, kasih info, kasih pencerahan, biar jadi Sang Pencerah ...</t>
  </si>
  <si>
    <t>PPKM
 Pengen 
 Putus
 Karena
 Menjenuhkan</t>
  </si>
  <si>
    <t>PPKMPengen PutusKarenaMenjenuhkan</t>
  </si>
  <si>
    <t>@FriskaRSimbolon Pagi kak, Sehubungan dengan di berlakukan PPKM Darurat Per 7 Juli 2021 - 20 Juli 2021 rute 7D : TMII - Pancoran beroperasi mulai pkl 05:00 - 18:00 WIB. Terima kasih ^ZL</t>
  </si>
  <si>
    <t>Pagi kak, Sehubungan dengan di berlakukan PPKM Darurat Per Juli - Juli rute D : TMII - Pancoran beroperasi mulai pkl :00 - :00 WIB. Terima kasih ^ZL</t>
  </si>
  <si>
    <t>efek PPKM jawa - bali 
 cabe jawa merantau ke padang https://t.co/FJigrwkyWG</t>
  </si>
  <si>
    <t>efek PPKM jawa - bali cabe jawa merantau ke padang</t>
  </si>
  <si>
    <t>@Dennysiregar7 Semua efek PPKM : plonga plongo koyok mukidi https://t.co/Iu92AymYio</t>
  </si>
  <si>
    <t>Semua efek PPKM : plonga plongo koyok mukidi</t>
  </si>
  <si>
    <t>PPKM
 Perasaanku 
 Padamu
 Kian 
 Menghilang</t>
  </si>
  <si>
    <t>PPKMPerasaanku PadamuKian Menghilang</t>
  </si>
  <si>
    <t>@sasugadewajik @GuyonWaton Itu kalo PPKM gak punya pulsa atw paket data kan gak betah PPKM, gak bisa bales tweet @GuyonWaton 😂😂</t>
  </si>
  <si>
    <t>Itu kalo PPKM gak punya pulsa atw paket data kan gak betah PPKM, gak bisa bales tweet</t>
  </si>
  <si>
    <t>@Bengkeltanah2 Sepertinya emang sengaja ingin menyerang pemerintah dg isiu ppkm ... anehnya Pandemi Melonjak yg disalahin Pemerintah jg. ..</t>
  </si>
  <si>
    <t>Sepertinya emang sengaja ingin menyerang pemerintah dg isiu ppkm ... anehnya Pandemi Melonjak yg disalahin Pemerintah jg. ..</t>
  </si>
  <si>
    <t>PPKM: Longgar ke TKA,Ketat ke Warga Sendiri
 Lagi'kebijakan penguasa menjadi ironi bagi rakyatnya sendiri.Disaat pemerintah menghimbau masyarakat untuk taat pada prokes dan kebijakan Pemberlakuan Pembatasan Kegiatan Masyarakat Darurat pada3hingga20Juli 2021 https://t.co/E4OSeM6mPM</t>
  </si>
  <si>
    <t>PPKM: Longgar ke TKA,Ketat ke Warga SendiriLagi'kebijakan penguasa menjadi ironi bagi rakyatnya sendiri.Disaat pemerintah menghimbau masyarakat untuk taat pada prokes dan kebijakan Pemberlakuan Pembatasan Kegiatan Masyarakat Darurat pada3hingga20Juli</t>
  </si>
  <si>
    <t>@RamliRizal Bazzer itu kemungkinan anak anak pki yg sdh gedek,mereka rata rata miskin jadi mereka hanya itu untuk cari makan akibat susah dapat lapangan kerja ada 10 jt Lapangan kerja sdh di ambil oleh cina komonis yg terus masuk tanpa berhenti walaupun PPKM darurat itu berlaku utk rakyat</t>
  </si>
  <si>
    <t>Bazzer itu kemungkinan anak anak pki yg sdh gedek,mereka rata rata miskin jadi mereka hanya itu untuk cari makan akibat susah dapat lapangan kerja ada jt Lapangan kerja sdh di ambil oleh cina komonis yg terus masuk tanpa berhenti walaupun PPKM darurat itu berlaku utk rakyat</t>
  </si>
  <si>
    <t>PPKM
 Pak pak kowe mundur....ooo...</t>
  </si>
  <si>
    <t>PPKMPak pak kowe mundur....ooo...</t>
  </si>
  <si>
    <t>#TolongPatuhiAturanPPKM
 https://t.co/xKl2uHAgod
 Jika masalah subsidi atau stimulus sektor industri tidak diperjelas dan menyebabkan mereka nekat tidak mematuhi PPKM Darurat, pasti kaum buruh yang akan menjadi korban, baik secara ekonomi maupun kesehatan.</t>
  </si>
  <si>
    <t>:// masalah subsidi atau stimulus sektor industri tidak diperjelas dan menyebabkan mereka nekat tidak mematuhiPPKM Darurat, pasti kaum buruh yang akan menjadi korban, baik secara ekonomi maupun kesehatan.</t>
  </si>
  <si>
    <t>Buat para pengusaha nih,
 👉Jika ada tempat usaha yang nekat melanggar ketentuan selama PPKM Darurat maka sanksi pencabutan izin usaha bisa dijatuhkan.
 Jadi, #TolongPatuhiAturanPPKM Darurat yaak 🙏
 https://t.co/GoGXpAoily</t>
  </si>
  <si>
    <t>Buat para pengusaha nih,Jika ada tempat usaha yang nekat melanggar ketentuan selama PPKM Darurat maka sanksi pencabutan izin usaha bisa dijatuhkan.Jadi, Darurat yaak</t>
  </si>
  <si>
    <t>Terlihat selama beberapa hari pelaksanaan PPKM Darurat, mobilitas masyarakat masih tinggi.
 Apa pada gak sadar yaak?
 Atau emang gak takut kena corona gitu ??
 #TolongPatuhiAturanPPKM Darurat yaak, agar pandemi ini bisa teratasi.
 https://t.co/W5KJJoqfx9</t>
  </si>
  <si>
    <t>Terlihat selama beberapa hari pelaksanaan PPKM Darurat, mobilitas masyarakat masih tinggi.Apa pada gak sadar yaak?Atau emang gak takut kena corona gitu ?? Darurat yaak, agar pandemi ini bisa teratasi.</t>
  </si>
  <si>
    <t>Pelanggaran PPKM Darurat masih ditemui di sejumlah daerah. 
 Padahal pelaksanaan PPKM Darurat bertujuan untuk menyelamatkan masyarakat.
 Jadii..
 #TolongPatuhiAturanPPKM 
 https://t.co/CTnoN04bMQ https://t.co/pG93tm3Pmq</t>
  </si>
  <si>
    <t>PelanggaranPPKM Daruratmasih ditemui di sejumlah daerah. Padahal pelaksanaanPPKMDarurat bertujuan untuk menyelamatkan masyarakat.Jadii..</t>
  </si>
  <si>
    <t>@bertanyarl Lagi ngerasain gini, saking capeknya dirumah terus keknya. Wktu itu nangis cmn gara gara lihat berita orng yg ga mematuhi ppkm 😭😭😭😭</t>
  </si>
  <si>
    <t>Lagi ngerasain gini, saking capeknya dirumah terus keknya. Wktu itu nangis cmn gara gara lihat berita orng yg ga mematuhi ppkm</t>
  </si>
  <si>
    <t>Mengapa bukan Wapres yg ditugasi menjadi Ketua kordinator PPKM?. Kalau ketuanya setingkat mentri akan sulit melakukan koordinasi karena ada ego sekroral. Mentri memerintah mentri lain koordinasinya kurang efektif. Jadi Wapres mestinya diberi peran terhadap penangan Covid-19 ini.</t>
  </si>
  <si>
    <t>Udah 6 hari PPKM, masih bertahan di rumah aja</t>
  </si>
  <si>
    <t>Udah hari PPKM, masih bertahan di rumah aja</t>
  </si>
  <si>
    <t>Dukung Papua sebagian tuan rumah pelaksanaan PON XX Papua 2021
 PPKM Atasi Covid https://t.co/iYV5vkY3pf</t>
  </si>
  <si>
    <t>Dukung Papua sebagian tuan rumah pelaksanaan PON XX Papua PPKM Atasi Covid</t>
  </si>
  <si>
    <t>dimulai dengan bismillah, mari kita akhiri dengan alhamdulillah. yuk semoga masih inget kata bu Ruth “revisinya saya tunggu 2minggu aja yah”☺️ abis ppkm boleh yaaaah kita refreshing dikittt!! https://t.co/ycIJcNpLvK</t>
  </si>
  <si>
    <t>dimulai dengan bismillah, mari kita akhiri dengan alhamdulillah. yuk semoga masih inget kata bu Ruth revisinya saya tunggu minggu aja yah abis ppkm boleh yaaaah kita refreshing dikittt!!</t>
  </si>
  <si>
    <t>Fixxxx gw jadi nonton 🏴󠁧󠁢󠁥󠁮󠁧󠁿 vs 🇮🇹
 🥺🥺🥺
 Tapi kenapa pas lagi PPKM gini?
 😭😭😭</t>
  </si>
  <si>
    <t>Fixxxx gw jadi nonton vs Tapi kenapa pas lagi PPKM gini?</t>
  </si>
  <si>
    <t>PPKM = Pak Presiden Kapan Mundur... 
 Mundur woiii.. Merusak negara.</t>
  </si>
  <si>
    <t>PPKM = Pak Presiden Kapan Mundur... Mundur woiii.. Merusak negara.</t>
  </si>
  <si>
    <t>@___Mr_J03n4____ Yg kapan hati ngadain event yg "meal-meal" Itu, per outlet cuma 50jt.
 Padahal yg dijual bisa jadi ratusan kali lipat dr si ibu. Meski bukan di masa PPKM, tp kerumunannya lebih parah.
 Ini bukan keadilan tapi.....</t>
  </si>
  <si>
    <t>Yg kapan hati ngadain event yg "meal-meal" Itu, per outlet cuma jt.Padahal yg dijual bisa jadi ratusan kali lipat dr si ibu. Meski bukan di masa PPKM, tp kerumunannya lebih parah.Ini bukan keadilan tapi.....</t>
  </si>
  <si>
    <t>Kepada BAPAK berbaju putih nan ELEGAN ☺️☺️☺️
 Rakyat cuman butuh "Keadilan". 
 Hanya saja seringkali terdengar kebijakan peraturan bermunculan. Sekarang PPKM namun abai akan "Kesejahteraan". 😪
 #MundurAjaPakDe
 #MundurAjaPakDe https://t.co/gAUj7d8bLS</t>
  </si>
  <si>
    <t>Kepada BAPAK berbaju putih nan ELEGAN Rakyat cuman butuh "Keadilan". Hanya saja seringkali terdengar kebijakan peraturan bermunculan. Sekarang PPKM namun abai akan "Kesejahteraan".</t>
  </si>
  <si>
    <t>@Kita_AMLTF @AMLers_ Alhamdhlillah. Dapat beli sembako pas dimasa PPKM terimakasih min @Kita_AMLTF 🙏</t>
  </si>
  <si>
    <t>Alhamdhlillah. Dapat beli sembako pas dimasa PPKM terimakasih min</t>
  </si>
  <si>
    <t>Morning Kawula Mudaa!
 Coba kasih tau doong kepanjangan PPKM versi lo apa sih??
 Cth: PPKM = Pengen Pulang Kepelukan Mantan
 PPKM versi gw itu ............
 #DGITM https://t.co/fqMqA2v81i</t>
  </si>
  <si>
    <t>Morning Kawula Mudaa!Coba kasih tau doong kepanjangan PPKM versi lo apa sih??Cth: PPKM = Pengen Pulang Kepelukan MantanPPKM versi gw itu ............</t>
  </si>
  <si>
    <t>@TsuyuHortenshia Aku suka ppkm wihtout m</t>
  </si>
  <si>
    <t>Aku suka ppkm wihtout m</t>
  </si>
  <si>
    <t>@siboyfriend @FWBESS Kalo ga ppkm gass?</t>
  </si>
  <si>
    <t>Kalo ga ppkm gass?</t>
  </si>
  <si>
    <t>@aquarianbct @detikcom Regulasi sudah jelas jangan mudik, masih mudik maksa malah galang masa meawan petugas. Posko dibakarin. PPKM darurat suruh WFH 100% dan WFH 50% yg esensial masih masuk juga. Karepe opo?</t>
  </si>
  <si>
    <t>Regulasi sudah jelas jangan mudik, masih mudik maksa malah galang masa meawan petugas. Posko dibakarin. PPKM darurat suruh WFH % dan WFH % yg esensial masih masuk juga. Karepe opo?</t>
  </si>
  <si>
    <t>Sementara untuk 4 hari penerapan PPKM Darurat yg dilaksanakan di Jawa Timur ini</t>
  </si>
  <si>
    <t>Sementara untuk hari penerapan PPKM Darurat yg dilaksanakan di Jawa Timur ini</t>
  </si>
  <si>
    <t>ppkm pelan pelan kalo masukin</t>
  </si>
  <si>
    <t>@musniumar Rakyatnya gak dapet kompensasi dari PPKM , ehh malah bagi² ke influencer . Pemandangan gak sedap.</t>
  </si>
  <si>
    <t>Rakyatnya gak dapet kompensasi dari PPKM , ehh malah bagi ke influencer . Pemandangan gak sedap.</t>
  </si>
  <si>
    <t>PPKM : Pernah Peduli Kemudian Menghilang</t>
  </si>
  <si>
    <t>sebelum ppkm udah libur duluan. tapi emang anaknya males malesan jadi ga olahraga, malah nambah lemak. sekarang udah ppkm, di sekitar kampung juga banyak yg meninggal malah baru start olahraga</t>
  </si>
  <si>
    <t>Dukung pemerintah Tumpas Habis gerakan separatis Papua yang menghambat pembangunan di Papua
  PPKM Atasi Covid https://t.co/lDZyp6D32v</t>
  </si>
  <si>
    <t>Dukung pemerintah Tumpas Habis gerakan separatis Papua yang menghambat pembangunan di Papua PPKM Atasi Covid</t>
  </si>
  <si>
    <t>Dan beliau memberikan peringatan kepada perusahaan non esensial dengan meminta karyawan merekam dgn video hp sebagai bentuk arahan agar semua mematuhi aturan kebijakan PPKM DARURAT. https://t.co/ynPExTrBxX</t>
  </si>
  <si>
    <t>Dan beliau memberikan peringatan kepada perusahaan non esensial dengan meminta karyawan merekam dgn video hp sebagai bentuk arahan agar semua mematuhi aturan kebijakan PPKM DARURAT.</t>
  </si>
  <si>
    <t>@FOOD_FESS Buka dari subuh sih nder. Tapi gatau kalo ppkm gini buka jam berapa</t>
  </si>
  <si>
    <t>Buka dari subuh sih nder. Tapi gatau kalo ppkm gini buka jam berapa</t>
  </si>
  <si>
    <t>cepet balik jbr lagi dong 😭😭
 ppkm nyusahin bnget, giliran orang luar masuk ke indo gas bnget. orang luar pualau jawa mau ke jawa ribet bnget 😭😭 https://t.co/2RP8lWsHeg</t>
  </si>
  <si>
    <t>cepet balik jbr lagi dong ppkm nyusahin bnget, giliran orang luar masuk ke indo gas bnget. orang luar pualau jawa mau ke jawa ribet bnget</t>
  </si>
  <si>
    <t>@jokowi Org di lock down ga dikasih makan dan ga boleh cari makan, Pelan Pelan Kami Mati boz....itu plesetan ppkm dari masyarakat.</t>
  </si>
  <si>
    <t>Org di lock down ga dikasih makan dan ga boleh cari makan, Pelan Pelan Kami Mati boz....itu plesetan ppkm dari masyarakat.</t>
  </si>
  <si>
    <t>@detikcom Jelas gampanglah,wong penduduk nya cuma berapa? Penduduk Jakarta aja lebih banyak daripada Brunei kan? Dan pemerintah serta warga Brunei gak bandel dan manut,lha kita ada Prokes, PSBB dan PPKM aja melawan padahal pemerintah pusat berbuat demi mengurangi penularan virusnya.</t>
  </si>
  <si>
    <t>Jelas gampanglah,wong penduduk nya cuma berapa? Penduduk Jakarta aja lebih banyak daripada Brunei kan? Dan pemerintah serta warga Brunei gak bandel dan manut,lha kita ada Prokes, PSBB dan PPKM aja melawan padahal pemerintah pusat berbuat demi mengurangi penularan virusnya.</t>
  </si>
  <si>
    <t>#KhilafahSistemIslam
 #RakyatButuhMakan
 "PPKM Darurat demi Kepentingan Rakyat atau Korporat?"
 https://t.co/c3DEUXkovA https://t.co/AOjgLDUitK</t>
  </si>
  <si>
    <t>"PPKM Darurat demi Kepentingan Rakyat atau Korporat?"</t>
  </si>
  <si>
    <t>sarapan menu ppkm kuaci, air putih plus wedangan sereh, secang am sambiloto #sendokgarpu @ Jakarta, Indonesia https://t.co/I635YAfFBB</t>
  </si>
  <si>
    <t>sarapan menu ppkm kuaci, air putih plus wedangan sereh, secang am sambiloto Jakarta, Indonesia</t>
  </si>
  <si>
    <t>@adolphmatherss rekomendasi anime seru selama ppkm?</t>
  </si>
  <si>
    <t>rekomendasi anime seru selama ppkm?</t>
  </si>
  <si>
    <t>Waspada, semoga ada solusi terbaik, tidak cukup dengan membagi sembako dan PPKM darurat bukan hanya Jakarta https://t.co/XkRdfP3yWi</t>
  </si>
  <si>
    <t>Waspada, semoga ada solusi terbaik, tidak cukup dengan membagi sembako dan PPKM darurat bukan hanya Jakarta</t>
  </si>
  <si>
    <t>Kerja bersama nangani Covid, pesan Presiden AS sama dengan pesan Presiden Indonesia. Memang harusnya begitu, bukan nyinyir di sosmed &amp;amp; bikin gaduh sendiri, tapi do nothing. Yuk vaksin &amp;amp; patuh prokes 6M, spy PPKM darurat cepet selesai https://t.co/zMt4Mq1Hjz</t>
  </si>
  <si>
    <t>Kerja bersama nangani Covid, pesan Presiden AS sama dengan pesan Presiden Indonesia. Memang harusnya begitu, bukan nyinyir di sosmed &amp;amp; bikin gaduh sendiri, tapi do nothing. Yuk vaksin &amp;amp; patuh prokes M, spy PPKM darurat cepet selesai</t>
  </si>
  <si>
    <t>@sbhkngl ppkm heeeeh</t>
  </si>
  <si>
    <t>ppkm heeeeh</t>
  </si>
  <si>
    <t>Selamat pagi Kaum rebahaaann..
 Mimpi apa semalam? 🤭🤭 #miminkepo
 Gimana dengan kondisi selama PPKM?
 Mudah-mudahan fisik, hati, dan dompet masih aman yaak ..
 📸: @ryanwewew 
 📍: Sikunir Golden Sunrise Wonosobo
 IG : @pendakicantika
 #pendakicantik #IndonesiaPastiBisa https://t.co/sZs4TP5i1W</t>
  </si>
  <si>
    <t>Selamat pagi Kaum rebahaaann..Mimpi apa semalam? dengan kondisi selama PPKM?Mudah-mudahan fisik, hati, dan dompet masih aman yaak ..: : Sikunir Golden Sunrise WonosoboIG :</t>
  </si>
  <si>
    <t>Gubernur Khofifah beserta rombongan bergerak menuju Lapangan Desa Beji, Kecamatan Jenu guna meninjau pelaksanaan vaksinasi, swab test Covid-19, dan pemantauan terhadap pelaksanaan PPKM Darurat di wilayah setempat</t>
  </si>
  <si>
    <t>@mynameisndy Ih emang udah bisa ke Bandung? Bukannya ppkm?!</t>
  </si>
  <si>
    <t>Ih emang udah bisa ke Bandung? Bukannya ppkm?!</t>
  </si>
  <si>
    <t>PPKM : Pelan Pelan Kita Mati</t>
  </si>
  <si>
    <t>@na_dirs Gak aneh Gus. Biarin aja. Bikin stres aja liatnya mana lagi ppkm gini.</t>
  </si>
  <si>
    <t>Gak aneh Gus. Biarin aja. Bikin stres aja liatnya mana lagi ppkm gini.</t>
  </si>
  <si>
    <t>di jakbar seperti tdk ada ppkm</t>
  </si>
  <si>
    <t>@nggapntng1 Lgi ppkm, mending drmh aja</t>
  </si>
  <si>
    <t>Lgi ppkm, mending drmh aja</t>
  </si>
  <si>
    <t>@TomDiksi Lagi ppkm woe😭😭</t>
  </si>
  <si>
    <t>Lagi ppkm woe</t>
  </si>
  <si>
    <t>@cheffarnolld Nahh, lagian gk yakin after ppkm case covid ny bakal menururn 🤦‍♂️</t>
  </si>
  <si>
    <t>Nahh, lagian gk yakin after ppkm case covid ny bakal menururn</t>
  </si>
  <si>
    <t>kirain kmaren ah ppkm berakhir mau bawa adam kerumah opung johornya, udah lama gak dapat jatah beras dr sana. Eh ppkm diperpanjang weslaaahh</t>
  </si>
  <si>
    <t>temen gue ldr sama pacarnya udh 7 bulan. barusan bikin ig story yang kesel gitu karna ppkm diperpanjang dan akses nyebrang yg ke beda pulau makin susah.
 padahal dia sndiri kemaren kemaren tuh jalan-jalan mulu.
 emosi ajasi gue liat orang kek begitu sjsjshs</t>
  </si>
  <si>
    <t>temen gue ldr sama pacarnya udh bulan. barusan bikin ig story yang kesel gitu karna ppkm diperpanjang dan akses nyebrang yg ke beda pulau makin susah.padahal dia sndiri kemaren kemaren tuh jalan-jalan mulu.emosi ajasi gue liat orang kek begitu sjsjshs</t>
  </si>
  <si>
    <t>@memefess PPKM:
 Pemerintah Pada Kemana Moralnya?!</t>
  </si>
  <si>
    <t>PPKMemerintah Pada Kemana Moralnya?!</t>
  </si>
  <si>
    <t>@shopanddrive pagi pak mau nanya utk cek aki layanan garansi gmn...?saat ppkm ini, saya bulan juli jadwal pertama buat di cek.</t>
  </si>
  <si>
    <t>pagi pak mau nanya utk cek aki layanan garansi gmn...?saat ppkm ini, saya bulan juli jadwal pertama buat di cek.</t>
  </si>
  <si>
    <t>bisa2nya gue mimpi ppkm diperpanjang sampe 6 bulan YAALLAH</t>
  </si>
  <si>
    <t>bisa2nya gue mimpi ppkm diperpanjang sampe bulan YAALLAH</t>
  </si>
  <si>
    <t>@CNNIndonesia pPKM ga efektif dong</t>
  </si>
  <si>
    <t>pPKM ga efektif dong</t>
  </si>
  <si>
    <t>PPKM = Pande Pande Kalian Muter</t>
  </si>
  <si>
    <t>@mohmahfudmd Segera tayang "Azab Mentri Nonton film saat rakyat sengsara ppkm"</t>
  </si>
  <si>
    <t>Segera tayang "Azab Mentri Nonton film saat rakyat sengsara ppkm"</t>
  </si>
  <si>
    <t>eh ini ppkm smpe tanggal brp dah?</t>
  </si>
  <si>
    <t>Selamat pagi, kamu! 
 Tetap semangat walaupun PPKM diperpanjang 😘
 Jangan lupa sarapan pagi ini, minum vitamin, dan double masks yha! 😷 https://t.co/STDzIhDK7e</t>
  </si>
  <si>
    <t>Selamat pagi, kamu! Tetap semangat walaupun PPKM diperpanjang Jangan lupa sarapan pagi ini, minum vitamin, dan double masks yha!</t>
  </si>
  <si>
    <t>emg klo bleh tau kerjaan km apa kok g setuju ppkm? jwp jjr frends</t>
  </si>
  <si>
    <t>PPKM day-15 dingin banget 🥶</t>
  </si>
  <si>
    <t>PPKM day-15 dingin banget</t>
  </si>
  <si>
    <t>Selama PPKM Darurat ini, Wahid juga memastikan pembelajaran siswa SMA, SMK, dan SLB di Jatim dilakukan jarak jauh, alias daring.</t>
  </si>
  <si>
    <t>ppkm diperpanjang sampai 31 Juli
 vaksin berbayar dibatalkan oleh presiden
 kasus covid-19 15/7 bertambah 56 ribu</t>
  </si>
  <si>
    <t>ppkm diperpanjang sampai Julivaksin berbayar dibatalkan oleh presidenkasus covid-19 /7 bertambah ribu</t>
  </si>
  <si>
    <t>@P3nj3l4j4h_id Saya menyesal mendukung pakde @jokowi jika ppkm di perpanjang lagi , saya mengalami sendiri susah nya kmarin saya mengantar adik mau ke rumah sakit , saya mendatangi 5 rumah sakit di surakarta ,namung semua nya menolak dikarenakan kuota penuh , yh saya jengkelkan jln pda d tutup</t>
  </si>
  <si>
    <t>Saya menyesal mendukung pakde jika ppkm di perpanjang lagi , saya mengalami sendiri susah nya kmarin saya mengantar adik mau ke rumah sakit , saya mendatangi rumah sakit di surakarta ,namung semua nya menolak dikarenakan kuota penuh , yh saya jengkelkan jln pda d tutup</t>
  </si>
  <si>
    <t>Daripada PPKM diperpanjang..bukanny lbih baik..wajib ada sertifikat vaksin ?!!..yg tdk punya sertifikat vaksin..tdk boleh keluar wilayah..itu lbih tepat..
 #VaksinUntukIndonesia 
 #cukupsudahppkm
 #PPKMSengsarakanRakyat 
 #stopppkm</t>
  </si>
  <si>
    <t>Daripada PPKM diperpanjang..bukanny lbih baik..wajib ada sertifikat vaksin ?!!..yg tdk punya sertifikat vaksin..tdk boleh keluar wilayah..itu lbih tepat..</t>
  </si>
  <si>
    <t>@trsnptr PPKm tutup</t>
  </si>
  <si>
    <t>PPKm tutup</t>
  </si>
  <si>
    <t>ppkm di perpanjang ni?</t>
  </si>
  <si>
    <t>Telah disiapkan jauh sebelum PPKM tapi kondisinya begini saat ini, kalian di kompas nulis berita apa iklan kinerja sih ? https://t.co/xhAuWkX8EI</t>
  </si>
  <si>
    <t>Telah disiapkan jauh sebelum PPKM tapi kondisinya begini saat ini, kalian di kompas nulis berita apa iklan kinerja sih ?</t>
  </si>
  <si>
    <t>ngeliat berita di internet selama ppkm kok kayak dijajah negara sendiri yawla</t>
  </si>
  <si>
    <t>Suasana malam PPKM di batu retno wonogiri https://t.co/6TDj50mynQ</t>
  </si>
  <si>
    <t>Suasana malam PPKM di batu retno wonogiri</t>
  </si>
  <si>
    <t>@memefess PPKM : Pelan Pelan Kita meninggoy</t>
  </si>
  <si>
    <t>PPKM : Pelan Pelan Kita meninggoy</t>
  </si>
  <si>
    <t>Jiji liat org so alim, gapercaya covid,
 Klean yg uda giring psbb, ppkm, nyalahin pemerintah, relawan covid dll tp nyebar hoax vaksin
 Emang maunya klian giring rasa lapar jd kemarahan kan?
 Ya, saya tau dari kelompok mana kalian berasal.
 Kalian cuma ANJING
 LEPAS JUBAHMU SETAN !</t>
  </si>
  <si>
    <t>Jiji liat org so alim, gapercaya covid,Klean yg uda giring psbb, ppkm, nyalahin pemerintah, relawan covid dll tp nyebar hoax vaksinEmang maunya klian giring rasa lapar jd kemarahan kan?Ya, saya tau dari kelompok mana kalian berasal.Kalian cuma ANJINGLEPAS JUBAHMU SETAN !</t>
  </si>
  <si>
    <t>@txtdrpemerintah gpp minta maaf pake teks atau engga, tpi ya jangan batu heiii pak luhuuutt... nyawa orng lain yg kena dampak selama PPKM gk bsa balik lagi pakk.. makanya jgn apa apa srabat srebet kebijakanmu, masa lbh pinter orng biasa dripada menteri. cabut aja pak dagang cilok</t>
  </si>
  <si>
    <t>gpp minta maaf pake teks atau engga, tpi ya jangan batu heiii pak luhuuutt... nyawa orng lain yg kena dampak selama PPKM gk bsa balik lagi pakk.. makanya jgn apa apa srabat srebet kebijakanmu, masa lbh pinter orng biasa dripada menteri. cabut aja pak dagang cilok</t>
  </si>
  <si>
    <t>PPKM kapan berakhir sih ;( diperpanjang mulu kek sim. Udah rindu gunung https://t.co/wG7SaARnQ3</t>
  </si>
  <si>
    <t>PPKM kapan berakhir sih diperpanjang mulu kek sim. Udah rindu gunung</t>
  </si>
  <si>
    <t>PPKM diundur sampe hamin idup lagi</t>
  </si>
  <si>
    <t>Vaksin Pelajar. 
 PPKM Pulihkan Bangsa https://t.co/3Py37mp9zp</t>
  </si>
  <si>
    <t>Vaksin Pelajar. PPKM Pulihkan Bangsa</t>
  </si>
  <si>
    <t>Perpanjangan PPKMMMMMMMMMMMMMMMMMMMMMMMMMMMMMMMMMMMMMMMMMMMMMM
 Jokowi: Perpanjangan PPKM Darurat Hal Sensitif, Jangan Sampai Keliru...
 https://t.co/6lxrpEWnAR 
 ..</t>
  </si>
  <si>
    <t>Perpanjangan PPKMMMMMMMMMMMMMMMMMMMMMMMMMMMMMMMMMMMMMMMMMMMMMMJokowi: Perpanjangan PPKM Darurat Hal Sensitif, Jangan Sampai Keliru... ..</t>
  </si>
  <si>
    <t>180rb testing itu kemajuan
 Tp pemerintah harusnya testing minial bgt 500rb setiap hari selama masih ada PPKM</t>
  </si>
  <si>
    <t>rb testing itu kemajuanTp pemerintah harusnya testing minial bgt rb setiap hari selama masih ada PPKM</t>
  </si>
  <si>
    <t>@StanChimmy1 Yaampun kak namu 😭 kapan kita jodoh kak tunggu ppkm selesai yaa 😔</t>
  </si>
  <si>
    <t>Yaampun kak namu kapan kita jodoh kak tunggu ppkm selesai yaa</t>
  </si>
  <si>
    <t>@gusuran76 entah apapun alesan buzerrp itu bang..saya juga gak setuju kalau ppkm di perpanjang..</t>
  </si>
  <si>
    <t>entah apapun alesan buzerrp itu bang..saya juga gak setuju kalau ppkm di perpanjang..</t>
  </si>
  <si>
    <t>@eT3k3WeR_ ga ada masalah dgn PPKM cun.. selama itu dilaksankan, rakyat ttp dapet makan
 rakyat pasti setuju dgn PPKM</t>
  </si>
  <si>
    <t>ga ada masalah dgn PPKM cun.. selama itu dilaksankan, rakyat ttp dapet makanrakyat pasti setuju dgn PPKM</t>
  </si>
  <si>
    <t>@radenrauf Nyari yang sekiranya bisa ngajak chat lah minimal. Bosan ppkm darurat tanpa chat
 #LoveStory https://t.co/jS1EOccsQC</t>
  </si>
  <si>
    <t>Nyari yang sekiranya bisa ngajak chat lah minimal. Bosan ppkm darurat tanpa chat</t>
  </si>
  <si>
    <t>@Zahrah40291660 @PutraWadapi kelaparan mendera mulai mendera, karna usaha di tutup (dibubarkan) saat PPKM nggak dikasih makan...</t>
  </si>
  <si>
    <t>kelaparan mendera mulai mendera, karna usaha di tutup (dibubarkan) saat PPKM nggak dikasih makan...</t>
  </si>
  <si>
    <t>@jntexpressid min saya jd dicomplain cust karena paket dari tgl 11 smp skrg mandeg di Solo. Ngerti sih ppkm, tp ini mah paketnya ga dikirim2 namanya.</t>
  </si>
  <si>
    <t>min saya jd dicomplain cust karena paket dari tgl smp skrg mandeg di Solo. Ngerti sih ppkm, tp ini mah paketnya ga dikirim2 namanya.</t>
  </si>
  <si>
    <t>@fldzt Itu dah pasti laaaah. Mana ppkm gini. Mungkin yg buka cuma yg kaya tendaan pinggir jalan gitu lho</t>
  </si>
  <si>
    <t>Itu dah pasti laaaah. Mana ppkm gini. Mungkin yg buka cuma yg kaya tendaan pinggir jalan gitu lho</t>
  </si>
  <si>
    <t>@ayah_neisha @adriCB8 Biadab...ptgas ppkm sampai mnghilangkn sbelah mata nya...tnggu azab allah s.w.t...dunia sementara akhirat selamanya....</t>
  </si>
  <si>
    <t>Biadab...ptgas ppkm sampai mnghilangkn sbelah mata nya...tnggu azab allah s.w.t...dunia sementara akhirat selamanya....</t>
  </si>
  <si>
    <t>@TonyChopperBali PPKM pagi - malam judulnya 😅</t>
  </si>
  <si>
    <t>PPKM pagi - malam judulnya</t>
  </si>
  <si>
    <t>@DedieRuji @kompascom Justru krn lu punya junjungan kagak mau/mampu terapkan LD,bsnya cm bikin PPKM,masy treak
 Gagah"an bikin UU karantina,melaksanakannya gak mampu.Entah krn kebijakan lbh ke ekonomi drpd nyawa,entah dah bangkrut:(</t>
  </si>
  <si>
    <t>Justru krn lu punya junjungan kagak mau/mampu terapkan LD,bsnya cm bikin PPKM,masy treakGagah"an bikin UU karantina,melaksanakannya gak mampu.Entah krn kebijakan lbh ke ekonomi drpd nyawa,entah dah bangkrut</t>
  </si>
  <si>
    <t>Jleeeeeb. Alasan karena Pas lg PPKM, nonton tiap hari juga bodoamaaaat. https://t.co/SlHN8jgJAi</t>
  </si>
  <si>
    <t>Jleeeeeb. Alasan karena Pas lg PPKM, nonton tiap hari juga bodoamaaaat.</t>
  </si>
  <si>
    <t>@jokowi Pak @jokowi usul program vaksinasi itu dibuatkan hubnya per kepala daerah saja setingkat walikota coba bapak liat per area itu brapa persen warga yg sudah vaksin sehingga kalau kedepannya mau ppkm mikro bisa berdsarkan area yg memang banyak kasus penularan dan banyak belom vaksin</t>
  </si>
  <si>
    <t>Pak usul program vaksinasi itu dibuatkan hubnya per kepala daerah saja setingkat walikota coba bapak liat per area itu brapa persen warga yg sudah vaksin sehingga kalau kedepannya mau ppkm mikro bisa berdsarkan area yg memang banyak kasus penularan dan banyak belom vaksin</t>
  </si>
  <si>
    <t>@NotSuroboyoBus @andickhead HAHHAHAHAH oke oke 😂, tapi masi masi ppkm gini cu mana bisa 😣😏😏</t>
  </si>
  <si>
    <t>HAHHAHAHAH oke oke , tapi masi masi ppkm gini cu mana bisa</t>
  </si>
  <si>
    <t>@StanChimmy1 Ini lagi suga huhu kak pengen banget aku belom ad suga cuman g bisa fotoin box sama bindernya karna ppkm g bisa balik kerumah huhu, di bali lagi galak"nya penyekatan dimana" capek sendiri ;( maap ya curhat frustasi nih saking pengennya ;(</t>
  </si>
  <si>
    <t>Ini lagi suga huhu kak pengen banget aku belom ad suga cuman g bisa fotoin box sama bindernya karna ppkm g bisa balik kerumah huhu, di bali lagi galak"nya penyekatan dimana" capek sendiri maap ya curhat frustasi nih saking pengennya</t>
  </si>
  <si>
    <t>@hyowmiiin sama sama. blum buka nih, kan lg ppkm</t>
  </si>
  <si>
    <t>sama sama. blum buka nih, kan lg ppkm</t>
  </si>
  <si>
    <t>Penyaluran Bansos. 
 PPKM Pulihkan Bangsa https://t.co/oFip5ev69N</t>
  </si>
  <si>
    <t>Penyaluran Bansos. PPKM Pulihkan Bangsa</t>
  </si>
  <si>
    <t>@Askrlfess Ak katolik gereja biasanya jam setengah 8 beres nya kurleb jam 9an. Tp skrg lg online gara2 ppkm
 Kalau yg kristen kurang tau, biasanya lebih lama sih</t>
  </si>
  <si>
    <t>Ak katolik gereja biasanya jam setengah beres nya kurleb jam an. Tp skrg lg online gara2 ppkmKalau yg kristen kurang tau, biasanya lebih lama sih</t>
  </si>
  <si>
    <t>@Dennysiregar7 itu membuktikan pemerintah itu punya duit yg cukup buat nanggulangi effect PPKM cm lelet dlm PELAKSANAAN nya krn takut di korupsi..
 ga heran bu risma jd tmbh temperamental.. sedih gw liat nya..</t>
  </si>
  <si>
    <t>itu membuktikan pemerintah itu punya duit yg cukup buat nanggulangi effect PPKM cm lelet dlm PELAKSANAAN nya krn takut di korupsi..ga heran bu risma jd tmbh temperamental.. sedih gw liat nya..</t>
  </si>
  <si>
    <t>PPKM diperpanjang 10x pun nggak bakal bisa mengatasi wabah selama kadrun masih ada,,</t>
  </si>
  <si>
    <t>PPKM diperpanjang x pun nggak bakal bisa mengatasi wabah selama kadrun masih ada,,</t>
  </si>
  <si>
    <t>Mau pulkam ke surabaya pas ppkm darurat susah beud, 
 dadakan apalagi, 
 ditambah dengan syarat dan ketentuan berlaku
 🙁 
 😑</t>
  </si>
  <si>
    <t>Mau pulkam ke surabaya pas ppkm darurat susah beud, dadakan apalagi, ditambah dengan syarat dan ketentuan berlaku</t>
  </si>
  <si>
    <t>@detikinet Enak, ga ada PPKM di antariksa</t>
  </si>
  <si>
    <t>Enak, ga ada PPKM di antariksa</t>
  </si>
  <si>
    <t>@tempodotco Korban sdh berjatuhan di mana2 ternyata penanganan PPKM blm maksimal,sama kali ya sama kedatangan TKA china jg blm maksimal,wis2 ruwet...ruwet</t>
  </si>
  <si>
    <t>Korban sdh berjatuhan di mana2 ternyata penanganan PPKM blm maksimal,sama kali ya sama kedatangan TKA china jg blm maksimal,wis2 ruwet...ruwet</t>
  </si>
  <si>
    <t>@renonew36 @msaid_didu Petrus kaum gorong-gorong ya...jilat terus biar dapat sepeda..atau nunggu komisaris PT PPKM</t>
  </si>
  <si>
    <t>Petrus kaum gorong-gorong ya...jilat terus biar dapat sepeda..atau nunggu komisaris PT PPKM</t>
  </si>
  <si>
    <t>@TeddyGusnaidi Sebenarnya dalam masa ppkm ini gak perlu ditambah darurat jika semua masyarakat tahu dan paham kondisi pandemi sekarang ini. Semua harus mengutamakan prokes.</t>
  </si>
  <si>
    <t>Sebenarnya dalam masa ppkm ini gak perlu ditambah darurat jika semua masyarakat tahu dan paham kondisi pandemi sekarang ini. Semua harus mengutamakan prokes.</t>
  </si>
  <si>
    <t>@DkiSantoso @jokowi Bukannya lagi PPKM pak pasar saja ditutup jam 2 itu kok malam-malam datangnya 🤔</t>
  </si>
  <si>
    <t>Bukannya lagi PPKM pak pasar saja ditutup jam itu kok malam-malam datangnya</t>
  </si>
  <si>
    <t>enggak ada salahnya ya belajar dari negara lain dalam hal menghadapi pandemi corona, salah satu contoh ppkm bertingkat/level pedasnya kiripik ma icih tiap daerah beda level tergantung tingkat keparahan https://t.co/8cEiUB3f26</t>
  </si>
  <si>
    <t>enggak ada salahnya ya belajar dari negara lain dalam hal menghadapi pandemi corona, salah satu contoh ppkm bertingkat/level pedasnya kiripik ma icih tiap daerah beda level tergantung tingkat keparahan</t>
  </si>
  <si>
    <t>@SaveMoslem1 Gua simak dari atas. Sampai bawah ad yg bilang ini mau latihan, kalo ini mau latihan gak mungkin di saat pandemi mereka mau masuk indo dan posisi mereka sangat strategis untuk perang... tentara kita di mna di sekatan ppkm di PKL ap di mna</t>
  </si>
  <si>
    <t>Gua simak dari atas. Sampai bawah ad yg bilang ini mau latihan, kalo ini mau latihan gak mungkin di saat pandemi mereka mau masuk indo dan posisi mereka sangat strategis untuk perang... tentara kita di mna di sekatan ppkm di PKL ap di mna</t>
  </si>
  <si>
    <t>Pak Luhut Kalau Ada yang Beri Masukan Tolong Didengarkan, Kesampingkan Dulu Ego!
 Ini Saran Dari Pakar Agar PPKM Darurat Berhasil. https://t.co/vtFgIFINb2</t>
  </si>
  <si>
    <t>Pak Luhut Kalau Ada yang Beri Masukan Tolong Didengarkan, Kesampingkan Dulu Ego!Ini Saran Dari Pakar Agar PPKM Darurat Berhasil.</t>
  </si>
  <si>
    <t>@WongFekok @DivHumas_Polri Harusnya pimpinan Polri back up bawahan sdh berjuang dilapangan mengatur PPKM sampai2 didorong, ditarik. Saya salut dg Polri yg bertugas masih tegak berdiri menghalangi mobil. Pimpinan Polri jangan diam saja tegas tegas tegas</t>
  </si>
  <si>
    <t>Harusnya pimpinan Polri back up bawahan sdh berjuang dilapangan mengatur PPKM sampai2 didorong, ditarik. Saya salut dg Polri yg bertugas masih tegak berdiri menghalangi mobil. Pimpinan Polri jangan diam saja tegas tegas tegas</t>
  </si>
  <si>
    <t>Jabatan doang yang tinggi tapi otak gak di pake.
 Adakan PPKM tapi yang melanggar dipenjara,Dasar gak ngotak.
 #ganti_sistem
 #otak_mana_otak</t>
  </si>
  <si>
    <t>Jabatan doang yang tinggi tapi otak gak di pake.Adakan PPKM tapi yang melanggar dipenjara,Dasar gak ngotak.</t>
  </si>
  <si>
    <t>Aku siap meramaikan skena kopi2an gaul dan membawa botol minumku yg puerek abis ppkm</t>
  </si>
  <si>
    <t>@classicmaedchen @harrykajoddy @oktalinee @tatarsundal Sebagai pedagang Street Food, gw sangat² relate dengan reply mba nya. Dr sebelum PPKM pun omzet udah merosot jauh, bahkan buat sehari² pun nombok dr duit simpenan. Dan skrg PPKM bikin makin nyesek disaat pengeluaran terus ada tp pemasukan NIHIL 🙃</t>
  </si>
  <si>
    <t>Sebagai pedagang Street Food, gw sangat relate dengan reply mba nya. Dr sebelum PPKM pun omzet udah merosot jauh, bahkan buat sehari pun nombok dr duit simpenan. Dan skrg PPKM bikin makin nyesek disaat pengeluaran terus ada tp pemasukan NIHIL</t>
  </si>
  <si>
    <t>@ajengcute16__ @PutraWadapi @jokowi Harus lengkap dong.
 Lanjutkan PPKM skaligus penuhi kebutuhan pokok seluruh rakyat dlm wil ppkm.
 Kalo gak, sdh ketahuan bersama propaganda buzzeRp @Dennysiregar7 akan dijadikan alasan stop ppkm. Dan bencana lbh bsr di depan mata.</t>
  </si>
  <si>
    <t>Harus lengkap dong.Lanjutkan PPKM skaligus penuhi kebutuhan pokok seluruh rakyat dlm wil ppkm.Kalo gak, sdh ketahuan bersama propaganda buzzeRp akan dijadikan alasan stop ppkm. Dan bencana lbh bsr di depan mata.</t>
  </si>
  <si>
    <t>Stop Tipu Tipu. 
 PPKM Pulihkan Bangsa https://t.co/AMFSeijshh</t>
  </si>
  <si>
    <t>Stop Tipu Tipu. PPKM Pulihkan Bangsa</t>
  </si>
  <si>
    <t>PPKM diperpanjang jadi PPPPPPPPPPKKKKKMMMMM</t>
  </si>
  <si>
    <t>BuZZer² belaga normal dgn tolak PPKM belaga bela rakyat pdahal tkut rusuh lalu ganti kepemimpinan dan mereka dipenjara ..</t>
  </si>
  <si>
    <t>BuZZer belaga normal dgn tolak PPKM belaga bela rakyat pdahal tkut rusuh lalu ganti kepemimpinan dan mereka dipenjara ..</t>
  </si>
  <si>
    <t>@tvOneNews Lebih baik kita PPKM ..Pura Pura Kita Menurut...dari pada Pelan Pelan Kita Mati....</t>
  </si>
  <si>
    <t>Lebih baik kita PPKM ..Pura Pura Kita Menurut...dari pada Pelan Pelan Kita Mati....</t>
  </si>
  <si>
    <t>Mas bojo nih kerja di Suramadu guys. Dia bagian dari Tim yg memantau jembatan Suramadu. Kayak kecepatan anginnya, sensor cctv, lampu-lampu, dll. Kebetulan selama PPKM begini &amp;amp; orang Madura kalo mau Idul Adha selalu mudik besar, makanya jadi masuk 24jam. Biasanya shift kok.</t>
  </si>
  <si>
    <t>Mas bojo nih kerja di Suramadu guys. Dia bagian dari Tim yg memantau jembatan Suramadu. Kayak kecepatan anginnya, sensor cctv, lampu-lampu, dll. Kebetulan selama PPKM begini &amp;amp; orang Madura kalo mau Idul Adha selalu mudik besar, makanya jadi masuk jam. Biasanya shift kok.</t>
  </si>
  <si>
    <t>@DPR_RI Mbak Puan mana Bantuan Dewan pada masyarakat yg terdampak PPKM Darurat, PKL sangat terdampak buat makan saja Susah.</t>
  </si>
  <si>
    <t>Mbak Puan mana Bantuan Dewan pada masyarakat yg terdampak PPKM Darurat, PKL sangat terdampak buat makan saja Susah.</t>
  </si>
  <si>
    <t>@txtdrberseragam Yok masa ppkm gini tp kangen jogja :' https://t.co/dUyC3bGMzn</t>
  </si>
  <si>
    <t>Yok masa ppkm gini tp kangen jogja :'</t>
  </si>
  <si>
    <t>@geloraco Ini udah benar memberikan bansos pd masy kecil yg terdampak pademi krn mrk berusaha di tengah masy ppkm darurat jg gak akan signifikan kec mrk bs jualan online krn masy jg enggan keluar rumah kl gak benrr2 perlu sampai kondisi normal</t>
  </si>
  <si>
    <t>Ini udah benar memberikan bansos pd masy kecil yg terdampak pademi krn mrk berusaha di tengah masy ppkm darurat jg gak akan signifikan kec mrk bs jualan online krn masy jg enggan keluar rumah kl gak benrr2 perlu sampai kondisi normal</t>
  </si>
  <si>
    <t>Menanti nama baru PPKM Darurat.. apakah ganti nama jadi PPKM siaga, ato PPKM Darurat revisi II, atau PPKM Darurat jilid II dengan penyesuaian, bisa juga relaksasi PPKM Darurat, kayaknya yg jelas lebih ga ketat dibanding yg skrg</t>
  </si>
  <si>
    <t>Semalam cuma sempat vcan aja sama kakek soalnya kakek sebutin namaku terus jadi diteleponkan.. karena lumayan jauh apalagi lagi ppkm jadi belum ada kesempatan ketemu lagi setelah beberapa minggu😭😭😭</t>
  </si>
  <si>
    <t>Semalam cuma sempat vcan aja sama kakek soalnya kakek sebutin namaku terus jadi diteleponkan.. karena lumayan jauh apalagi lagi ppkm jadi belum ada kesempatan ketemu lagi setelah beberapa minggu</t>
  </si>
  <si>
    <t>@Hici_yori @Rna38_ aku mah ga ada bedanya sih mau ppkm apa engga, tetep gas kerjaa 😭😂</t>
  </si>
  <si>
    <t>aku mah ga ada bedanya sih mau ppkm apa engga, tetep gas kerjaa</t>
  </si>
  <si>
    <t>/kle ppkm beneran di perpanjang smp akhir juli?</t>
  </si>
  <si>
    <t>@dhaniaadwi @dr_tompi DISINI KAN PPKM BKN LOCKDOWN BEDA DONG MASA GABISA BEDAIN</t>
  </si>
  <si>
    <t>DISINI KAN PPKM BKN LOCKDOWN BEDA DONG MASA GABISA BEDAIN</t>
  </si>
  <si>
    <t>Jika PPKM diperpanjang dan hasilnya sama aja, apakah dilanjutkan dengan babak extra time?</t>
  </si>
  <si>
    <t>abis ppkm kayaknya bakal nekat ke bali motoran sendiri🙂</t>
  </si>
  <si>
    <t>abis ppkm kayaknya bakal nekat ke bali motoran sendiri</t>
  </si>
  <si>
    <t>@KataOpreker Dlm sikon PPKM, bagi rakyat jelata cukup bergizi n semoga barokah &amp;amp; sehat ... Aamiin 🤲💪🙏</t>
  </si>
  <si>
    <t>Dlm sikon PPKM, bagi rakyat jelata cukup bergizi n semoga barokah &amp;amp; sehat ... Aamiin</t>
  </si>
  <si>
    <t>Tros katanya ga nerapin lokdon dan pakai istilah macem" kyk psbb atau ppkm ye itu namanye Diskresi bund. Ngesampingin undang" yg ada demi asas kemanfaatan. Kalau penjatuhan sanksi hukum mah tetep acuannya ke undang" ybs. Ga masalah itu mah keles. XDD</t>
  </si>
  <si>
    <t>@eko_kuntadhi Mungkin maksudnya PPKM singkatan dari Proyek Penuh Korupsi dan Mangkrak kali aa @eko_kuntadhi</t>
  </si>
  <si>
    <t>Mungkin maksudnya PPKM singkatan dari Proyek Penuh Korupsi dan Mangkrak kali aa</t>
  </si>
  <si>
    <t>Dengan adanya ppkm ini mencoba trading dari 140rb semalam dapat segini :) mulai open mind! Money management harus kuat! Hehe temen-temen mungkin ada yang maen gak? ✌️ https://t.co/MS4N7qnZJL</t>
  </si>
  <si>
    <t>Dengan adanya ppkm ini mencoba trading dari rb semalam dapat segini mulai open mind! Money management harus kuat! Hehe temen-temen mungkin ada yang maen gak?</t>
  </si>
  <si>
    <t>ppkm : percaya pasti keadaan membaik.
 so, jgn berpikir u/ menyerah menjalani hari² yg makin sulit. yakinlah pertolonganNya psti ada &amp;amp; apa yg Tuhan rencanakan bg kita tdk dpt terselami o/ siapapun. rencNya sllu yg terbaik. 
 yuuk berkarya lagi😊
 semangaaat 
 Tuhan beserta kita 🙏 https://t.co/mU2crpom7i</t>
  </si>
  <si>
    <t>ppkm : percaya pasti keadaan membaik.so, jgn berpikir u/ menyerah menjalani hari yg makin sulit. yakinlah pertolonganNya psti ada &amp;amp; apa yg Tuhan rencanakan bg kita tdk dpt terselami o/ siapapun. rencNya sllu yg terbaik. yuuk berkarya lagisemangaaat Tuhan beserta kita</t>
  </si>
  <si>
    <t>Plonga Plongo Koq Mimpin.... ppkm</t>
  </si>
  <si>
    <t>@Widyarenee_ Patuhi PPKM...</t>
  </si>
  <si>
    <t>Patuhi PPKM...</t>
  </si>
  <si>
    <t>@geloraco Mesjid boleh saja digunakan oleh muadzin atau mrk yg memang bisa bertakbir tp tentu tdk bs digunakan spt kl tdk ppkm darurat. Kl ppkm darurat tdj didukung maka ekonomi dan kesehatan masy akan terus terdampak dsn tergerus</t>
  </si>
  <si>
    <t>Mesjid boleh saja digunakan oleh muadzin atau mrk yg memang bisa bertakbir tp tentu tdk bs digunakan spt kl tdk ppkm darurat. Kl ppkm darurat tdj didukung maka ekonomi dan kesehatan masy akan terus terdampak dsn tergerus</t>
  </si>
  <si>
    <t>PPKM - Pelan Pelan Kamu Menghilang</t>
  </si>
  <si>
    <t>@Bank_Aconk Kita dukung PPKM</t>
  </si>
  <si>
    <t>Kita dukung PPKM</t>
  </si>
  <si>
    <t>@YanHarahap Ini yg merusak ppkm, dia sendiri suruh orang berkerumun</t>
  </si>
  <si>
    <t>Ini yg merusak ppkm, dia sendiri suruh orang berkerumun</t>
  </si>
  <si>
    <t>Ppkm diperpanjang sampai semua org khatam madilog</t>
  </si>
  <si>
    <t>@dinshax @_shahussain06 Dah ppkm lom dini?</t>
  </si>
  <si>
    <t>Dah ppkm lom dini?</t>
  </si>
  <si>
    <t>PPKM
 Percayalah
 Pasti
 Kamu
 Mampu 
 Jalani Hidup dengan lebih baik, hari ini di sini sekarang 
 Enjoy your life https://t.co/xtESN8kJ2s</t>
  </si>
  <si>
    <t>PPKMPercayalahPastiKamuMampu Jalani Hidup dengan lebih baik, hari ini di sini sekarang Enjoy your life</t>
  </si>
  <si>
    <t>@arlinatama Padahal dy jg ada komorbid kak.. Berani sekali dy tanpa masker.. Ppkm pp.. Ga mikir imbas ke keluarga dan ke rekan kerjanya gmn nantinya.. Egois sekali laki² ini..</t>
  </si>
  <si>
    <t>Padahal dy jg ada komorbid kak.. Berani sekali dy tanpa masker.. Ppkm pp.. Ga mikir imbas ke keluarga dan ke rekan kerjanya gmn nantinya.. Egois sekali laki ini..</t>
  </si>
  <si>
    <t>@tvOneNews Kalo kerumunan yg kek gini apakah tidak termasuk pelanggaran ppkm..?</t>
  </si>
  <si>
    <t>Kalo kerumunan yg kek gini apakah tidak termasuk pelanggaran ppkm..?</t>
  </si>
  <si>
    <t>@autumnlatte_kyu Kasus meningkat udah zona merah kayaknya sih dan ada juga SE Bupati terkait PPKM tapi dari awal kabupaten gak boleh WFH sih terkait persentase pegawai, pembatasan pelayanan aja say</t>
  </si>
  <si>
    <t>Kasus meningkat udah zona merah kayaknya sih dan ada juga SE Bupati terkait PPKM tapi dari awal kabupaten gak boleh WFH sih terkait persentase pegawai, pembatasan pelayanan aja say</t>
  </si>
  <si>
    <t>@OposisiCerdas itu standar, yang aneh itu kalau ga menutup, ketika india awal meningkat byk negara yang menutup tapi anehnya indonesia malah ada warga india yg masuk pake pswt carteran, habis itu lgsung nyebar varian india, itupun ga langsung lockdown tp akhirnya yg muncul ppkm.lihatnya pusing</t>
  </si>
  <si>
    <t>itu standar, yang aneh itu kalau ga menutup, ketika india awal meningkat byk negara yang menutup tapi anehnya indonesia malah ada warga india yg masuk pake pswt carteran, habis itu lgsung nyebar varian india, itupun ga langsung lockdown tp akhirnya yg muncul ppkm.lihatnya pusing</t>
  </si>
  <si>
    <t>PPKM waktunya diperpanjang dan bila hasilnya sama aja , maka akan dilakukan ADU PINALTI
 #ppkm #ppkmgakbertanggungjawab #ppkmsontoloyo #ppkmnegripinokio</t>
  </si>
  <si>
    <t>PPKM waktunya diperpanjang dan bila hasilnya sama aja , maka akan dilakukan ADU PINALTI</t>
  </si>
  <si>
    <t>@adearmando1 Kan koar-koar lu dulu ama densi yg akhirnya bikin ppkm sekarang, kok ngelempar omongan biadab ke ke orang? Gak sadar elu sendiri begitu?</t>
  </si>
  <si>
    <t>Kan koar-koar lu dulu ama densi yg akhirnya bikin ppkm sekarang, kok ngelempar omongan biadab ke ke orang? Gak sadar elu sendiri begitu?</t>
  </si>
  <si>
    <t>Lagi PPKM banyak kebakaran, apa orang-orang ga makin emosi cobaa???</t>
  </si>
  <si>
    <t>Selama PPKM jadi shift malem, mata jadi makin sipit dong 😩</t>
  </si>
  <si>
    <t>Selama PPKM jadi shift malem, mata jadi makin sipit dong</t>
  </si>
  <si>
    <t>Pak presiden program PPKM kenapa ujung ujungnya kok menutup warung kecil kecil ?
 Warung kecil pembelinya paling banyak 3 itupun bergantian ,mungkin kalah jauh sama rombongan tim PPKM jumlahnya ?
 Dosa besar membiarkan sesuatu demi jabatan https://t.co/TQCLqlhVHr</t>
  </si>
  <si>
    <t>Pak presiden program PPKM kenapa ujung ujungnya kok menutup warung kecil kecil ?Warung kecil pembelinya paling banyak itupun bergantian ,mungkin kalah jauh sama rombongan tim PPKM jumlahnya ?Dosa besar membiarkan sesuatu demi jabatan</t>
  </si>
  <si>
    <t>@detikcom Tigas pemda mendata dgn baik mrk yg terdampak ppkm darurat tanpa terlewatkan shg ppkm darurat bs berlangsung dgn baik dan kl mrk gak adaptasi masy jg sudah semakin sadar dan mrk jg enggan keluar apalagi kl mrk bs stay di rumah shg tetap aja masy menngah ke bawah akan terdampak</t>
  </si>
  <si>
    <t>Tigas pemda mendata dgn baik mrk yg terdampak ppkm darurat tanpa terlewatkan shg ppkm darurat bs berlangsung dgn baik dan kl mrk gak adaptasi masy jg sudah semakin sadar dan mrk jg enggan keluar apalagi kl mrk bs stay di rumah shg tetap aja masy menngah ke bawah akan terdampak</t>
  </si>
  <si>
    <t>@mharisman Setuju. Tidak terbayang sampai kapan PPKM digelar, di ujung saat normal akan kembali beredar varian delta ini.
 Kecuali saat bertahan di rumah, vaksinasi digenjot maksimal 2-3 juta per hari.</t>
  </si>
  <si>
    <t>Setuju. Tidak terbayang sampai kapan PPKM digelar, di ujung saat normal akan kembali beredar varian delta ini.Kecuali saat bertahan di rumah, vaksinasi digenjot maksimal $NUMBER$ juta per hari.</t>
  </si>
  <si>
    <t>@txtdrjkt ppkm mulu dong ini mah, sampe nabi isa turun</t>
  </si>
  <si>
    <t>ppkm mulu dong ini mah, sampe nabi isa turun</t>
  </si>
  <si>
    <t>YLBHI: Pemerintah Pakai Istilah PSBB hingga PPKM untuk Hindari Kewajiban Penuhi Kebutuhan Warga
 ===
 Dari sisi hukum salah n dari sisi non hukum gak bener, dzolim &amp;amp; pelit pada rakyat, malah dpt ditafsirkan melindungi koruptor kroni &amp;amp; oligarkinya.
 ===
  https://t.co/NFVeGvmFwg</t>
  </si>
  <si>
    <t>YLBHI: Pemerintah Pakai Istilah PSBB hingga PPKM untuk Hindari Kewajiban Penuhi Kebutuhan Warga==ari sisi hukum salah n dari sisi non hukum gak bener, dzolim &amp;amp; pelit pada rakyat, malah dpt ditafsirkan melindungi koruptor kroni &amp;amp; oligarkinya.===</t>
  </si>
  <si>
    <t>@virgoboyzzzz Berita dalam negeri!!! 
 Dikarenakan ppkm yang diperpanjang banyak para warga yang membuka jasa open bo. 
 Sekian terimakasih</t>
  </si>
  <si>
    <t>Berita dalam negeri!!! Dikarenakan ppkm yang diperpanjang banyak para warga yang membuka jasa open bo. Sekian terimakasih</t>
  </si>
  <si>
    <t>@tirta_hudhi Coba tegur ky dr @tirta_hudhi ke dr lois 
 Masa PPKM malah honeymoon
 Klp rakyat yg spt itu kan dr @tirta_hudhi protes tuh
 Ttp fair dan objektif dok
 Semangat</t>
  </si>
  <si>
    <t>Coba tegur ky dr ke dr lois Masa PPKM malah honeymoonKlp rakyat yg spt itu kan dr protes tuhTtp fair dan objektif dokSemangat</t>
  </si>
  <si>
    <t>@mekaliana53 LDR + PPKM, aku bisa apa siss</t>
  </si>
  <si>
    <t>LDR + PPKM, aku bisa apa siss</t>
  </si>
  <si>
    <t>Ini bisa nggak sih approvenya nggak mepet2 lagi PPKM takut bank tutup cepet, kalau mepet panik..
 Terus bisa nggak sih *** buka penurunan UKT permanen? I mean bapak aku pensiun gajinya turun.. kl tiap semester harus ngajuin ini tuh RIBET CUY
 Mana online juga ane ga dapet- https://t.co/xVhGr5nyWy</t>
  </si>
  <si>
    <t>Ini bisa nggak sih approvenya nggak mepet2 lagi PPKM takut bank tutup cepet, kalau mepet panik..Terus bisa nggak sih *** buka penurunan UKT permanen? I mean bapak aku pensiun gajinya turun.. kl tiap semester harus ngajuin ini tuh RIBET CUYMana online juga ane ga dapet-</t>
  </si>
  <si>
    <t>Headset mendem sebelah ditambah charger kabelnya robek ditambah ppkm</t>
  </si>
  <si>
    <t>@FWBESS Minat si, cmn ppkm</t>
  </si>
  <si>
    <t>Minat si, cmn ppkm</t>
  </si>
  <si>
    <t>Selamat hari raya idul adha 1442h🙏
 My first time lebaran jauh dari keluarga:') buat kalian yg anak rantau atau yg emg lgi gk bisa kumpul keluarga semoga semua diberi kesabaran dan kekuatan ya, aamiin.
 Ngadain sholat ied di masjid/lapangan gk di tmpt kalian? or msh ppkm juga?</t>
  </si>
  <si>
    <t>Selamat hari raya idul adha hMy first time lebaran jauh dari keluarga:') buat kalian yg anak rantau atau yg emg lgi gk bisa kumpul keluarga semoga semua diberi kesabaran dan kekuatan ya, aamiin.Ngadain sholat ied di masjid/lapangan gk di tmpt kalian? or msh ppkm juga?</t>
  </si>
  <si>
    <t>Ortu w kekeuh bat nyari masjid yg ngadain sholat ied. Siap, ppkm👌</t>
  </si>
  <si>
    <t>Ortu w kekeuh bat nyari masjid yg ngadain sholat ied. Siap, ppkm</t>
  </si>
  <si>
    <t>Corona, Covid-19, Coronces, PPKM, PPKM Mikro, Penebalan PPKM Mikro, PPKM Darurat, New Normal (Skip), Herd Immunity, PSBB, PSBL, AKB, 3-5M, Prokes, ODP, PDP, OTG, Rapid, PCR, Genose, Tusuk hidung, Home, . Thats all we have and happy #EidAlAdha</t>
  </si>
  <si>
    <t>Corona, Covid-19, Coronces, PPKM, PPKM Mikro, Penebalan PPKM Mikro, PPKM Darurat, New Normal (Skip), Herd Immunity, PSBB, PSBL, AKB, $NUMBER$M, Prokes, ODP, PDP, OTG, Rapid, PCR, Genose, Tusuk hidung, Home, . Thats all we have and happy</t>
  </si>
  <si>
    <t>@hijikataswife Hooh,,,, kayaknya gara gara ppkm</t>
  </si>
  <si>
    <t>Hooh,,,, kayaknya gara gara ppkm</t>
  </si>
  <si>
    <t>Lebaran kambing ppkm edition : sepi benerrr</t>
  </si>
  <si>
    <t>@tsuboemi Heeee kok ena bgt gaada ppkm ueueee</t>
  </si>
  <si>
    <t>Heeee kok ena bgt gaada ppkm ueueee</t>
  </si>
  <si>
    <t>Mundur teratur. Ya Allah semoga minggu depan udah ga ppkm darurat lagi😔</t>
  </si>
  <si>
    <t>Mundur teratur. Ya Allah semoga minggu depan udah ga ppkm darurat lagi</t>
  </si>
  <si>
    <t>@papa_sheva @FerdinandHaean3 Iya mudah2an semua yang sudah berkorban di PPKM bisa sabar, karena jika sistem kesehatan kollaps seperti negara lain yang banyak korban sehingga susah buat mencari pemakaman, pasti bisa digoreng bahwa pemerintah telah gagal. Pemerintah harus cari keseimbangan dan percepat vaksin</t>
  </si>
  <si>
    <t>Iya mudah2an semua yang sudah berkorban di PPKM bisa sabar, karena jika sistem kesehatan kollaps seperti negara lain yang banyak korban sehingga susah buat mencari pemakaman, pasti bisa digoreng bahwa pemerintah telah gagal. Pemerintah harus cari keseimbangan dan percepat vaksin</t>
  </si>
  <si>
    <t>PPKM Darurat ini sebenarnya gampang dan gak membutuhkan biaya sampai triliunan, gak usah penyekatan sampai bikin heboh. Cukup tutup semua SPBU niscaya tidak ada kendaraan yg jalan dalam 2 hari setelah ditutup. Gak percaya? Coba aja om pleciden</t>
  </si>
  <si>
    <t>PPKM Darurat ini sebenarnya gampang dan gak membutuhkan biaya sampai triliunan, gak usah penyekatan sampai bikin heboh. Cukup tutup semua SPBU niscaya tidak ada kendaraan yg jalan dalam hari setelah ditutup. Gak percaya? Coba aja om pleciden</t>
  </si>
  <si>
    <t>ini mngkin efek dr ppkm diperpanjang kali, makanya ad aj orang2 kurang kerjaan bikin nih hastag #sange 🤦😒</t>
  </si>
  <si>
    <t>ini mngkin efek dr ppkm diperpanjang kali, makanya ad aj orang2 kurang kerjaan bikin nih hastag</t>
  </si>
  <si>
    <t>@vgyuuuuu sama kak.... sekolah ku udah ptm pas ujian kenaikan kemarin eh keburu ppkm ahshshhsgs :”</t>
  </si>
  <si>
    <t>sama kak.... sekolah ku udah ptm pas ujian kenaikan kemarin eh keburu ppkm ahshshhsgs :</t>
  </si>
  <si>
    <t>"Jika ingin menguasai orang bodoh, bungkuslah kebathilan dengan jubah agama." 
 Lupa sama orang yang punya quote ini.
 Selamat pagi Bang Ferdinand
 Pontianak musim durian nehh,.
 PPKM selesai sudah boleh berkunjung nih 😀
 ..,. https://t.co/G7lUE2PjJh</t>
  </si>
  <si>
    <t>"Jika ingin menguasai orang bodoh, bungkuslah kebathilan dengan jubah agama." Lupa sama orang yang punya quote ini.Selamat pagi Bang FerdinandPontianak musim durian nehh,.PPKM selesai sudah boleh berkunjung nih ..,.</t>
  </si>
  <si>
    <t>@fatshasubandy @txtdarigajelas skip ppkm🙏</t>
  </si>
  <si>
    <t>skip ppkm</t>
  </si>
  <si>
    <t>Kasus covid yg sekarang banyak itu lak akibat sebelum ppkm kendor banget prokesnya? Kenapa kok ppkm targetnya kasus menurun bersamaan dengan ppkm krlar? Harus e itu lak kayak, target stlh ppkm? Dampak ppkm ke jml kasus kayaknya baru kerasa beberapa minggu kemudian deh.</t>
  </si>
  <si>
    <t>PPKM NEXXTH LEVBEULLLL https://t.co/UPTJTz2n8C</t>
  </si>
  <si>
    <t>PPKM NEXXTH LEVBEULLLL</t>
  </si>
  <si>
    <t>mulai nyaman dgn panggung, kudu mandek karena PPKM, yok korona udh yok. https://t.co/QBPgqfePrd</t>
  </si>
  <si>
    <t>mulai nyaman dgn panggung, kudu mandek karena PPKM, yok korona udh yok.</t>
  </si>
  <si>
    <t>Siapa yang mau juga terus terusan dibatasi dalam beraktivitas,apalagi untuk seseorang yg penghasilannya harian.. Ayo taat Prokes ketat dan dukung PPKM agar angka Positif covid19 segera menurun dan PPKM di hentikan. 
 #StopBebalPatuhiAturanPPKM https://t.co/KrxZ0J1AHe</t>
  </si>
  <si>
    <t>Siapa yang mau juga terus terusan dibatasi dalam beraktivitas,apalagi untuk seseorang yg penghasilannya harian.. Ayo taat Prokes ketat dan dukung PPKM agar angka Positif covid19 segera menurun dan PPKM di hentikan.</t>
  </si>
  <si>
    <t>@nameisnoval PPKM adalah kalian (Para Pemuda Kontol Malas),</t>
  </si>
  <si>
    <t>PPKM adalah kalian (Para Pemuda Kontol Malas),</t>
  </si>
  <si>
    <t>PPKM Darurat ini mau tidak mau harus diperpanjang karena beban faskes masih tinggi, angka kematian masih tinggi, jadi kalau tidak diperpanjang ini akan berkontribusi pada perburukan situasi, tapi tentu tidak bisa lama-lama.
 #StopBebalPatuhiAturanPPKM https://t.co/sM1mIeLxRI</t>
  </si>
  <si>
    <t>PPKM Darurat ini mau tidak mau harus diperpanjang karena beban faskes masih tinggi, angka kematian masih tinggi, jadi kalau tidak diperpanjang ini akan berkontribusi pada perburukan situasi, tapi tentu tidak bisa lama-lama.</t>
  </si>
  <si>
    <t>@muannas_alaidid @aniesbaswedan Anies:""masa bodoh mau itu esensial apa esenseres pokoknya harus ikut aturan PPKM,ini semua demi keselamatan warga agar tidak banyak jatuh korban jiwa lagi"'😵</t>
  </si>
  <si>
    <t>Anies:""masa bodoh mau itu esensial apa esenseres pokoknya harus ikut aturan PPKM,ini semua demi keselamatan warga agar tidak banyak jatuh korban jiwa lagi"'</t>
  </si>
  <si>
    <t>kenapa sih padang harus ppkm 😢</t>
  </si>
  <si>
    <t>kenapa sih padang harus ppkm</t>
  </si>
  <si>
    <t>Pemprov DKI melakukan monitoring terhadap perusahan di Jakarta di masa PPKM Darurat. Dari 276 kantor yang disidak, sebanyak 202 perusahaan ditutup sementara.</t>
  </si>
  <si>
    <t>Pemprov DKI melakukan monitoring terhadap perusahan di Jakarta di masa PPKM Darurat. Dari kantor yang disidak, sebanyak perusahaan ditutup sementara.</t>
  </si>
  <si>
    <t>Nih yah makin ngeyel ni, pemerintah ntar makin lama nerapin ppkm nya, udah cape tau ih dua taun ini idup segala dilarang. Yuk mending kita patuhin aja prokes, pake masker doang sama jangan berkerumun pliss. Bisa ko bisa, biar covid ini cepet beresnya yuk 😔</t>
  </si>
  <si>
    <t>Nih yah makin ngeyel ni, pemerintah ntar makin lama nerapin ppkm nya, udah cape tau ih dua taun ini idup segala dilarang. Yuk mending kita patuhin aja prokes, pake masker doang sama jangan berkerumun pliss. Bisa ko bisa, biar covid ini cepet beresnya yuk</t>
  </si>
  <si>
    <t>Giliran bangun pagi and WFH ehhh malah PPKM, kalo gag PPKM kan bisa gowes.</t>
  </si>
  <si>
    <t>Rencana bulan ini mau ke jogja gajadi grgr ppkm darurat sedih gak balik 2th 🥺😢</t>
  </si>
  <si>
    <t>Rencana bulan ini mau ke jogja gajadi grgr ppkm darurat sedih gak balik th</t>
  </si>
  <si>
    <t>PPKM
 Pelan-pelan kantong miskin</t>
  </si>
  <si>
    <t>PPKMPelan-pelan kantong miskin</t>
  </si>
  <si>
    <t>@Adi_8002 @SBYudhoyono PPKM : Partai Penggemar Korupsi Morat Marit 🤣🤣. Kelaparan</t>
  </si>
  <si>
    <t>PPKM : Partai Penggemar Korupsi Morat Marit . Kelaparan</t>
  </si>
  <si>
    <t>Kebijakan mematikan lampu udah diterapkan tapi malah ada pembobolan Mini market. Apakah semakin lama PPKM tingkat kriminalitas smakin tinggi? Wah gatau deh cape tp ga pngn nyerah🚀💆</t>
  </si>
  <si>
    <t>Kebijakan mematikan lampu udah diterapkan tapi malah ada pembobolan Mini market. Apakah semakin lama PPKM tingkat kriminalitas smakin tinggi? Wah gatau deh cape tp ga pngn nyerah</t>
  </si>
  <si>
    <t>@DraftAnakUnpad Gua jg ngidam bgt ksana, tp nunggu ppkm beres</t>
  </si>
  <si>
    <t>Gua jg ngidam bgt ksana, tp nunggu ppkm beres</t>
  </si>
  <si>
    <t>PPKM sudah benar dalam hadapi pandemi, Yuk Disiplin PPKM
 https://t.co/bClQHFlSdo</t>
  </si>
  <si>
    <t>PPKM sudah benar dalam hadapi pandemi, Yuk Disiplin PPKM</t>
  </si>
  <si>
    <t>@tribunnews Pasal2nya aja utk sanksi bagi pelanggar UU kekarantinaan saja yg dicomot, sedangkan pemenuhan kebutuhan hidup bagi rakyat selama PPKM tdk dipenuhi.</t>
  </si>
  <si>
    <t>Pasal2nya aja utk sanksi bagi pelanggar UU kekarantinaan saja yg dicomot, sedangkan pemenuhan kebutuhan hidup bagi rakyat selama PPKM tdk dipenuhi.</t>
  </si>
  <si>
    <t>Di saat PPKM darurat seperti ini, masih ada penerbangan dari luar negeri. Entah mereka yang datang disuruh isolasi dulu atau langsung ke tempat tujuan.</t>
  </si>
  <si>
    <t>@jokowi Saya berharap UU tahun 2018 pasal 1 ayat 55 klu gak salah,yg terdampak ppkm tolong dong BPK presiden kami di perhatikan,kami hanya pegawai serabutan.</t>
  </si>
  <si>
    <t>Saya berharap UU tahun pasal ayat klu gak salah,yg terdampak ppkm tolong dong BPK presiden kami di perhatikan,kami hanya pegawai serabutan.</t>
  </si>
  <si>
    <t>@AREAJULID ironis sekali mereka di denda karna nekat jualan untuk bertahan hidup saat kondisi ppkm, tapi ini knp pengadilan ngadain sidang tatap muka anyingg bodoh sekali pemerintahan di negaraku ckckckc</t>
  </si>
  <si>
    <t>ironis sekali mereka di denda karna nekat jualan untuk bertahan hidup saat kondisi ppkm, tapi ini knp pengadilan ngadain sidang tatap muka anyingg bodoh sekali pemerintahan di negaraku ckckckc</t>
  </si>
  <si>
    <t>@inidewww @kittendumbbb ap ppkm versi mu mnieez</t>
  </si>
  <si>
    <t>ap ppkm versi mu mnieez</t>
  </si>
  <si>
    <t>memantau secara langsung tentang situasi penyekatan PPKM Darurat melalui udara.</t>
  </si>
  <si>
    <t>Liat berita tiap hari selama PPKM sekitar 500an bahkan lebih, TKA Tiongkok masuk ke indonesia via bandara Soekarno Hatta tujuan kendari, manado, morowali dan tanpa protokol.
 Yakin indonesia lagi baik2 saja??</t>
  </si>
  <si>
    <t>Liat berita tiap hari selama PPKM sekitar an bahkan lebih, TKA Tiongkok masuk ke indonesia via bandara Soekarno Hatta tujuan kendari, manado, morowali dan tanpa protokol.Yakin indonesia lagi baik2 saja??</t>
  </si>
  <si>
    <t>PPKM hanya menciptakan Cluster Baru Transmisi Covid yg akan berdampak 2-3 minggu kemudian.
 Jadi masalah Covid-19 tdk akan pernah Turun tapi membuat semakin tinggi dan tdk mampu lagi ditangani fasilitas RS dan klinik. Mummet
 *Video kejadian di Surabaya, 
 *sumber WK. https://t.co/2Y9kquYZdG</t>
  </si>
  <si>
    <t>PPKM hanya menciptakan Cluster Baru Transmisi Covid yg akan berdampak $NUMBER$ minggu kemudian.Jadi masalah Covid-19 tdk akan pernah Turun tapi membuat semakin tinggi dan tdk mampu lagi ditangani fasilitas RS dan klinik. Mummet*Video kejadian di Surabaya, *sumber WK.</t>
  </si>
  <si>
    <t>apa kabar PIK ?
 kena PPKM nggak ?</t>
  </si>
  <si>
    <t>apa kabar PIK ?kena PPKM nggak ?</t>
  </si>
  <si>
    <t>Yang penting sekarang...
 Partai manapun yang berjuang untuk rakyat apalagi yang membantu langsung di tengah PPKM Darurat, wajib didukung! 💪🏻
 *Berbeda pandangan boleh tapi jangan sampai saling membenci👌
 Setuju nggak guys??</t>
  </si>
  <si>
    <t>Yang penting sekarang...Partai manapun yang berjuang untuk rakyat apalagi yang membantu langsung di tengah PPKM Darurat, wajib didukung! *Berbeda pandangan boleh tapi jangan sampai saling membenciSetuju nggak guys??</t>
  </si>
  <si>
    <t>@kakdenn Gas sih, habis ppkm baru bisa😌</t>
  </si>
  <si>
    <t>Gas sih, habis ppkm baru bisa</t>
  </si>
  <si>
    <t>Ini udh ppkm hari keberapa sih? Sampe lupa gini karna keasikan dirumah. Jiakkkhhhhh</t>
  </si>
  <si>
    <t>@barutauiniapa @republikaonline Udah nyari makan susah malah diadakan ppkm, rakyat disiram siram eh sekarang minta bantuan🤣</t>
  </si>
  <si>
    <t>Udah nyari makan susah malah diadakan ppkm, rakyat disiram siram eh sekarang minta bantuan</t>
  </si>
  <si>
    <t>PPKM Darurat 3 hingga 20 Juli 2021, akan memberi sanksi bagi yang melanggar, nyatanya TKA dengan mudah berdatangan. Mengapa hal ini terus berulang ?
 Simak jawabannya di channel MMC!
 Keywords YouTube :
 PPKM: Longgar ke TKA
 Ppkm: Ketat ke Warga
 Pemerintah Lebih Berpihak ke Asing https://t.co/xHqweFCMLj</t>
  </si>
  <si>
    <t>PPKM Darurat hingga Juli , akan memberi sanksi bagi yang melanggar, nyatanya TKA dengan mudah berdatangan. Mengapa hal ini terus berulang ?Simak jawabannya di channel MMC!Keywords YouTube KM: Longgar ke TKAPpkm: Ketat ke WargaPemerintah Lebih Berpihak ke Asing</t>
  </si>
  <si>
    <t>Katanya sedang PPKM Darurat tapi mana dana santunannya, tapi malak dengan denda!</t>
  </si>
  <si>
    <t>Salah satu kebijakan untuk mendukung aturan PPKM Darurat tersebut adalah penyekatan jalan demi mengurangi mobilitas penduduk ya</t>
  </si>
  <si>
    <t>PPKM membuatku halu 😓😓</t>
  </si>
  <si>
    <t>PPKM membuatku halu</t>
  </si>
  <si>
    <t>ppkm cepet kelar kek udah bosen bat pengen kerja lagiii</t>
  </si>
  <si>
    <t>Klo mau dibilang berjamaah di Masjid dibolehkan saat ini dgn cara berjarak, maka di Gereja, Pura, Wihara, Klenteng pun juga bisa dilakukan dgn berjarak. Tapi, di aturan ppkm tidak disebutkan *diperbolehkan dengan berjarak*.</t>
  </si>
  <si>
    <t>@jokowi Ppkm anak istri gk makan 
 Enak yah jadi presiden
 Cuma ngomong doang</t>
  </si>
  <si>
    <t>Ppkm anak istri gk makan Enak yah jadi presidenCuma ngomong doang</t>
  </si>
  <si>
    <t>ppkm, pagi pagi kangen mbakx</t>
  </si>
  <si>
    <t>PPKM = Pernah Perhatian Kemudian Menghilang.</t>
  </si>
  <si>
    <t>@sadeesfaction PPKM Darurat selamatkan rakyat..
 #PPKMVaksinasiSaveNKRI</t>
  </si>
  <si>
    <t>PPKM Darurat selamatkan rakyat..</t>
  </si>
  <si>
    <t>@TuguDian @liliestha @puslatluhkp @brsdm_kp @bppp_banyuwangi Monggo Pak..main ke TA...siaaappp pokoknya...ini masih mulai musim..setelah PPKM kami tunggu..hehe...🙏🙏🙏</t>
  </si>
  <si>
    <t>Monggo Pak..main ke TA...siaaappp pokoknya...ini masih mulai musim..setelah PPKM kami tunggu..hehe...</t>
  </si>
  <si>
    <t>PPKM darurat
 Tak berarti hidupmu tamat
 Hanya untuk diam sesaat
 Agar kita semua selamat
 -----
 #kataselamat #PPKMDarurat</t>
  </si>
  <si>
    <t>PPKM daruratTak berarti hidupmu tamatHanya untuk diam sesaatAgar kita semua selamat-----</t>
  </si>
  <si>
    <t>Pemberlakuan Pembatasan Kegiatan Masyarakat (PPKM) Darurat telah memasuki hari ke-4 dalam pelaksanaannya loh!</t>
  </si>
  <si>
    <t>PPKM. Pagi Pagi Kamu Merindu.</t>
  </si>
  <si>
    <t>Kejam ke rakyat kecil, santun ke koruptor &amp;amp; TKA....
 Nggak kasih dana lockdown, tapi memalak dendanya ....
 MIRIS! Usai Tukang Bubur, Giliran Penjual Bakso Didenda 5 Juta karena Langgar PPKM Darurat | PORTAL ISLAM https://t.co/Q0XY1YT3Y8</t>
  </si>
  <si>
    <t>Kejam ke rakyat kecil, santun ke koruptor &amp;amp; TKA....Nggak kasih dana lockdown, tapi memalak dendanya ....MIRIS! Usai Tukang Bubur, Giliran Penjual Bakso Didenda Juta karena Langgar PPKM Darurat | PORTAL ISLAM</t>
  </si>
  <si>
    <t>@paineapplee ppkm cui</t>
  </si>
  <si>
    <t>Yang Langgar PPKM Darurat bakal didenda, emang ada aja celah cuannya, wkwk...</t>
  </si>
  <si>
    <t>@EleJokow Harus patuh ppkm jgn sampe full harus 70% dari kapasitas</t>
  </si>
  <si>
    <t>Harus patuh ppkm jgn sampe full harus % dari kapasitas</t>
  </si>
  <si>
    <t>@sbyfess Ke puskesmas aja nanti konsulnya bisa online selama ppkm, selama ada bpjs aman kok.</t>
  </si>
  <si>
    <t>Ke puskesmas aja nanti konsulnya bisa online selama ppkm, selama ada bpjs aman kok.</t>
  </si>
  <si>
    <t>@Luken81419736 @RachlanNashidik Nih singkatan PPKM buat begundal politisi busuk. PARTAI PENGGEMAR KORUPSI MERANA. 😀😀😀</t>
  </si>
  <si>
    <t>Nih singkatan PPKM buat begundal politisi busuk. PARTAI PENGGEMAR KORUPSI MERANA.</t>
  </si>
  <si>
    <t>@caesar_emil @Nikiae11 @chokie2nd @zi_vot @SitiRoehaye PPKM DARURAT SOLUSI TEPAT 
 #GrupBelumPunyaNama 
 #OlengTetapBersama</t>
  </si>
  <si>
    <t>PPKM DARURAT SOLUSI TEPAT</t>
  </si>
  <si>
    <t>Ini mah fix kena ppkm. Gak gerak2 paketnya 😔 https://t.co/IrAbnMgNAM</t>
  </si>
  <si>
    <t>Ini mah fix kena ppkm. Gak gerak2 paketnya</t>
  </si>
  <si>
    <t>@batteriesfly untung disini ppkm 👍☺️</t>
  </si>
  <si>
    <t>untung disini ppkm</t>
  </si>
  <si>
    <t>@yoshi_sudarso Klo di sini lg adanya ppkm ko hehe</t>
  </si>
  <si>
    <t>Klo di sini lg adanya ppkm ko hehe</t>
  </si>
  <si>
    <t>PPKM, 
 PROGRAM PERSIAPAN KOMUNIS MENJAJAH. https://t.co/I6IMGgQ3ff</t>
  </si>
  <si>
    <t>PPKM, PROGRAM PERSIAPAN KOMUNIS MENJAJAH.</t>
  </si>
  <si>
    <t>@Penyair_Berdiri PPKM Darurat selamatkan rakyat</t>
  </si>
  <si>
    <t>PPKM Darurat selamatkan rakyat</t>
  </si>
  <si>
    <t>@iniselimut @2019JokowiLNJT PPKM planga plongo kok maju 
 Ini Contoh aja jgn baper apalagi lopar lapor</t>
  </si>
  <si>
    <t>PPKM planga plongo kok maju Ini Contoh aja jgn baper apalagi lopar lapor</t>
  </si>
  <si>
    <t>@aziz_yedahardi @obenkz Yang aku soroti penyekatannya, karena PPKM juga bisa dilakukan tanpa harus dilakukan penyekatan. Dalam aturan PPKM sudah jelas bidang usaha apa yang boleh buka, maka kalo mau mengurangi mobilitas , dilihat penyebabnya, karena sebagian karyawan masih wajib masuk.</t>
  </si>
  <si>
    <t>Yang aku soroti penyekatannya, karena PPKM juga bisa dilakukan tanpa harus dilakukan penyekatan. Dalam aturan PPKM sudah jelas bidang usaha apa yang boleh buka, maka kalo mau mengurangi mobilitas , dilihat penyebabnya, karena sebagian karyawan masih wajib masuk.</t>
  </si>
  <si>
    <t>percakapan dua bapak paruh baya tidak bermasker dalem angkot :
 “di Brunei PPKM dikasih duit, kita PPKM mati ditempat.”
 “sebenernya dokter ngerti gak si penyakitnya? sakit bisul, jantung, kecelakaan kok semuanya diisolasi covid”</t>
  </si>
  <si>
    <t>percakapan dua bapak paruh baya tidak bermasker dalem angkot i Brunei PPKM dikasih duit, kita PPKM mati ditempat.sebenernya dokter ngerti gak si penyakitnya? sakit bisul, jantung, kecelakaan kok semuanya diisolasi covid</t>
  </si>
  <si>
    <t>Yang udah bangun, sunmori yuk bodo amat sama ppkm</t>
  </si>
  <si>
    <t>ga boleh keluar keluar min lg ppkm :( https://t.co/eCKgVUsBNm</t>
  </si>
  <si>
    <t>ga boleh keluar keluar min lg ppkm</t>
  </si>
  <si>
    <t>@oktobercerita @panggilmasaja @as3pram @cakasana Waduh pakde bude, ini yang lagi dikejar itu speed vaksinnya. Kalo nakes turun ke bawah... Rasanya sulit dalam hal waktu, mengingat banyak yang masi kerja juga meski ppkm begini, kemarin padet itu salah satunya karena weekend, dua - tiga hari lalu gak sepadat kemarin antrinya</t>
  </si>
  <si>
    <t>Waduh pakde bude, ini yang lagi dikejar itu speed vaksinnya. Kalo nakes turun ke bawah... Rasanya sulit dalam hal waktu, mengingat banyak yang masi kerja juga meski ppkm begini, kemarin padet itu salah satunya karena weekend, dua - tiga hari lalu gak sepadat kemarin antrinya</t>
  </si>
  <si>
    <t>PPKM (pelan pelan pernah menghilang)</t>
  </si>
  <si>
    <t>Kalo dulu bangun jam segini, pup, solat, siap2 lari.
 Kalo skrg bangun jam segini, pup, solat, siap2 tidur lagi 😅.
 Selain krn ppkm, kaki msh cidera, ya emang krn udah males lari aja sih 🥺.</t>
  </si>
  <si>
    <t>Kalo dulu bangun jam segini, pup, solat, siap2 lari.Kalo skrg bangun jam segini, pup, solat, siap2 tidur lagi .Selain krn ppkm, kaki msh cidera, ya emang krn udah males lari aja sih .</t>
  </si>
  <si>
    <t>tmn sndr trnyt yg lg ppkm malah keliaran ml</t>
  </si>
  <si>
    <t>@ndorokakung Baiknya memang kapasitas RS diupgrade. Kita awam soal penyakit baru, mengapa disuruh merawat diri sendiri? Kalau begini terus, saya yakin PPKM tidak berhasil, sebab ada penularan yg tak terpantau melalui mrk yg isoman tanpa pengawasan(?)</t>
  </si>
  <si>
    <t>Baiknya memang kapasitas RS diupgrade. Kita awam soal penyakit baru, mengapa disuruh merawat diri sendiri? Kalau begini terus, saya yakin PPKM tidak berhasil, sebab ada penularan yg tak terpantau melalui mrk yg isoman tanpa pengawasan(?)</t>
  </si>
  <si>
    <t>@aewin86 Menghadapi Pandemi memang harus satu komando, sejak awal pemerintah sudah serius dlm hal menyiasati &amp;amp; penangananya, adanya satgas Covid, wisma atlet, pengadaan vaksin, PPKM darurat menjadi produk keseriusan pemerintah menghadapi Pandemi.
 Saya percaya presiden #JokowiAtasiPandemi</t>
  </si>
  <si>
    <t>Menghadapi Pandemi memang harus satu komando, sejak awal pemerintah sudah serius dlm hal menyiasati &amp;amp; penangananya, adanya satgas Covid, wisma atlet, pengadaan vaksin, PPKM darurat menjadi produk keseriusan pemerintah menghadapi Pandemi.Saya percaya presiden</t>
  </si>
  <si>
    <t>@LsOwien PPKM tidak adil ?. PKL dibanda Aceh cuma boleh beroperasi melayani pembeli sampai pukul 20.00 smntara restoran boleh sampai 24 jam melayani pembeli. Walau keduanya cuma boleh pesan antar / bwk plng tapi kenapa kami PKL dibedakan dgn restoran jam operasinya ?.</t>
  </si>
  <si>
    <t>PPKM tidak adil ?. PKL dibanda Aceh cuma boleh beroperasi melayani pembeli sampai pukul smntara restoran boleh sampai jam melayani pembeli. Walau keduanya cuma boleh pesan antar / bwk plng tapi kenapa kami PKL dibedakan dgn restoran jam operasinya ?.</t>
  </si>
  <si>
    <t>@patriafess penataran dhoho tutup selama ppkm ngab</t>
  </si>
  <si>
    <t>penataran dhoho tutup selama ppkm ngab</t>
  </si>
  <si>
    <t>@ucritucriti @delhafiz_ @tirta_hudhi Klo ga mau vaksin, org makin banyak yg trtular dan mati. Makin banyak yg mati, bakalan makin lama ppkm nya, makin lama ppkm nya, makin miskin org2, ga bisa nyari duit, ga bs nyari kerja, dll. 
 Yg kaya mah enak, Yg miskin? Blm lg resiko tertular nya lbh gede klo ga vaksin.</t>
  </si>
  <si>
    <t>Klo ga mau vaksin, org makin banyak yg trtular dan mati. Makin banyak yg mati, bakalan makin lama ppkm nya, makin lama ppkm nya, makin miskin org2, ga bisa nyari duit, ga bs nyari kerja, dll. Yg kaya mah enak, Yg miskin? Blm lg resiko tertular nya lbh gede klo ga vaksin.</t>
  </si>
  <si>
    <t>KAGA JELAS! Labil amat kyk mau pigi party gonta ganti baju. Maunya apa?
 .
 .
 .
 Aturan PPKM Darurat Direvisi: Rumah Ibadah Tak Ditutup, Resepsi Pernikahan Ditiadakan
 Klik untuk baca: https://t.co/4inJCzzZeb</t>
  </si>
  <si>
    <t>KAGA JELAS! Labil amat kyk mau pigi party gonta ganti baju. Maunya apa?...Aturan PPKM Darurat Direvisi: Rumah Ibadah Tak Ditutup, Resepsi Pernikahan DitiadakanKlik untuk baca:</t>
  </si>
  <si>
    <t>@tryinsleepvvell @cakasana Harapannya seperti itu, mumpung ini lagi ppkm darurat, jadi dimaksimalkan ketika masyarakat banyak yang lagi gak kerja... Tentunya juga ditunjang jumlah vaksin yang memadai. Karena ada beberapa kejadian, sudah antri tapi ujungnya gak dapat karena abis</t>
  </si>
  <si>
    <t>Harapannya seperti itu, mumpung ini lagi ppkm darurat, jadi dimaksimalkan ketika masyarakat banyak yang lagi gak kerja... Tentunya juga ditunjang jumlah vaksin yang memadai. Karena ada beberapa kejadian, sudah antri tapi ujungnya gak dapat karena abis</t>
  </si>
  <si>
    <t>Pernah waktu itu sebelum ppkm, gasengaja kita ketemu temen pacarku lg berdua di coffeeshop sama cewe yg keliatan lebih muda drpd dia. Mereka duduk jejer, ngobrol sambil liat laptop terus dari gesture nya aku bisa simpulkan kalo mereka deket kayak orang pacaran.</t>
  </si>
  <si>
    <t>@dendii07 @danangwijanark_ Uhuk ppkm 😆</t>
  </si>
  <si>
    <t>Uhuk ppkm</t>
  </si>
  <si>
    <t>Semangat yok semangat ntat kelar ppkm gaspol penelitian https://t.co/55wQTd5Rd6</t>
  </si>
  <si>
    <t>Semangat yok semangat ntat kelar ppkm gaspol penelitian</t>
  </si>
  <si>
    <t>@cimimong150815 PPKM: PAPA,PENGIN,KAWIN,MANEH</t>
  </si>
  <si>
    <t>PPKM: PAPA,PENGIN,KAWIN,MANEH</t>
  </si>
  <si>
    <t>@yo2thok Makanya rakyat tu dikasih makan pak. Jaman dulu mall dijarah preman jaman sekarang dagangan rakyat dijarah si anu dengan alasan penertipan dan ppkm. Asem🙄</t>
  </si>
  <si>
    <t>Makanya rakyat tu dikasih makan pak. Jaman dulu mall dijarah preman jaman sekarang dagangan rakyat dijarah si anu dengan alasan penertipan dan ppkm. Asem</t>
  </si>
  <si>
    <t>Mbak @nety_rusi sudah baca pernyataan ini? Equity Life mengaku bersalah. 
 Mari kita dukung gubernur menegakkan aturan PPKM Darurat. https://t.co/FmAwd1wTYc https://t.co/SeruzwjYT3</t>
  </si>
  <si>
    <t>Mbak sudah baca pernyataan ini? Equity Life mengaku bersalah. Mari kita dukung gubernur menegakkan aturan PPKM Darurat.</t>
  </si>
  <si>
    <t>@Stevaniehuangg PPKM = Progam Peniadaan Kegiatan Masjid</t>
  </si>
  <si>
    <t>PPKM = Progam Peniadaan Kegiatan Masjid</t>
  </si>
  <si>
    <t>@AlterSideFess Mari kita ppkm 😌😌😌
 Bagus kok</t>
  </si>
  <si>
    <t>Mari kita ppkm Bagus kok</t>
  </si>
  <si>
    <t>PPKM DARURAT....Saya dari Depok jg ga bisa ke Jakarta....mulai senin besok jg naik kereta comuter line jg ga bisa lg...#sabar...Semoga Badai Corona cepat berlalu...(sedekah do'a Al Fatihah) di sehatkan semua yg sakit..Aamiin YRA https://t.co/z4QOfP0yrt</t>
  </si>
  <si>
    <t>PPKM DARURAT....Saya dari Depok jg ga bisa ke Jakarta....mulai senin besok jg naik kereta comuter line jg ga bisa lg......Semoga Badai Corona cepat berlalu...(sedekah do'a Al Fatihah) di sehatkan semua yg sakit..Aamiin YRA</t>
  </si>
  <si>
    <t>PPKM : Pen Peluk Kalo Mau</t>
  </si>
  <si>
    <t>@marlina_idha PPKM merupakan kebijakan pemerintah pusat tp knp yg menerapkan dg tegas dan pengawasan ketat malah disalahkan dan dibuuly ?
 #indonesiabutuhorangjujurdancerdas</t>
  </si>
  <si>
    <t>PPKM merupakan kebijakan pemerintah pusat tp knp yg menerapkan dg tegas dan pengawasan ketat malah disalahkan dan dibuuly ?</t>
  </si>
  <si>
    <t>Kukira Batam g kena ppkm ini ,ah kampret lah</t>
  </si>
  <si>
    <t>@bitcherlove Khan lg ppkm darurat. Tahan diri dulu yah utk ga keluar rmh</t>
  </si>
  <si>
    <t>Khan lg ppkm darurat. Tahan diri dulu yah utk ga keluar rmh</t>
  </si>
  <si>
    <t>@Lelaki_5unyi @pamungkas82 @BEM_SI Loh emangnya sumut ppkm juga?</t>
  </si>
  <si>
    <t>Loh emangnya sumut ppkm juga?</t>
  </si>
  <si>
    <t>@weirdaboyy Yoiii, kan lg ppkm wkwkwkw</t>
  </si>
  <si>
    <t>Yoiii, kan lg ppkm wkwkwkw</t>
  </si>
  <si>
    <t>Masker yg harusnya jadi kesadaran sendiri aja banyak yg lalai.
 Kecuali org² yg emang gak mampu beli masker.
 Lalu kasus melonjak tinggi, pemerintah nyuruh ppkm tapi gak mikir juga dampaknya ke rakyat kecil.
 Mungkin emg sama² salah juga disini.</t>
  </si>
  <si>
    <t>Masker yg harusnya jadi kesadaran sendiri aja banyak yg lalai.Kecuali org yg emang gak mampu beli masker.Lalu kasus melonjak tinggi, pemerintah nyuruh ppkm tapi gak mikir juga dampaknya ke rakyat kecil.Mungkin emg sama salah juga disini.</t>
  </si>
  <si>
    <t>PPKM (PemPek Kuah Model)</t>
  </si>
  <si>
    <t>@JackVardan @sonnysetia Alesan PPKM, warung kelontong ntar di sweeping &amp;amp; semua isi diambil..?</t>
  </si>
  <si>
    <t>Alesan PPKM, warung kelontong ntar di sweeping &amp;amp; semua isi diambil..?</t>
  </si>
  <si>
    <t>Sebenernya ppkm ini memutus rantai penyebaran covid apa memutus rantai pekerjaan orang...
 Banyak banget orang kerja atau pedagang yang d halang halangi... Seharusnya pemerintah punya solusi untuk ini.</t>
  </si>
  <si>
    <t>Sebenernya ppkm ini memutus rantai penyebaran covid apa memutus rantai pekerjaan orang...Banyak banget orang kerja atau pedagang yang d halang halangi... Seharusnya pemerintah punya solusi untuk ini.</t>
  </si>
  <si>
    <t>PPKM
 Pernah Peduli Kemudian Menghilang</t>
  </si>
  <si>
    <t>PPKMPernah Peduli Kemudian Menghilang</t>
  </si>
  <si>
    <t>dulu situasi normal mau bikin surat kehilangan aja ribet amat, apalagi skrg wes pandemi ditambah ppkm, nying lah puasa daud solusi memang 🧘🏻‍♂️</t>
  </si>
  <si>
    <t>dulu situasi normal mau bikin surat kehilangan aja ribet amat, apalagi skrg wes pandemi ditambah ppkm, nying lah puasa daud solusi memang</t>
  </si>
  <si>
    <t>@mutualanbase Kan lagi ppkm gmna siee</t>
  </si>
  <si>
    <t>Kan lagi ppkm gmna siee</t>
  </si>
  <si>
    <t>SE tertanggal 7 Juli 2021 yg ditujukan kepda bupati / wali kota se-Jawa Timur itu mengacu pada Inmendagri 15 / 2021 ttng PPKM Darurat di wilayah Jawa &amp;amp; Bali loh !</t>
  </si>
  <si>
    <t>SE tertanggal Juli yg ditujukan kepda bupati / wali kota se-Jawa Timur itu mengacu pada Inmendagri / ttng PPKM Darurat di wilayah Jawa &amp;amp; Bali loh !</t>
  </si>
  <si>
    <t>PPKM (pernah perhatian kemudian menghilang)</t>
  </si>
  <si>
    <t>@taeyodn MANAA ADA PPKM DIPERPANJANG LAGI SAMPE BULAN DEPANN😭😭😭</t>
  </si>
  <si>
    <t>MANAA ADA PPKM DIPERPANJANG LAGI SAMPE BULAN DEPANN</t>
  </si>
  <si>
    <t>pengen sushi tei dha, mana ppkm beres nya masih lama 👺👺 https://t.co/mB5LnMatGb</t>
  </si>
  <si>
    <t>pengen sushi tei dha, mana ppkm beres nya masih lama</t>
  </si>
  <si>
    <t>@Om_Bregas1 Jam operasional gojek di ppkm ini mulai jam 5.</t>
  </si>
  <si>
    <t>Jam operasional gojek di ppkm ini mulai jam .</t>
  </si>
  <si>
    <t>Baru bbrp hari dan dampak ppkm ini kerasa bgt gak sih.
 Jadi agak sangsi sm pemerintah.
 Awalnya aku mikir mungkin emg warga kita yg salah, masih males pake masker, gak aware sm diri sendiri, masih banyak yg gak percaya virus corona.</t>
  </si>
  <si>
    <t>Baru bbrp hari dan dampak ppkm ini kerasa bgt gak sih.Jadi agak sangsi sm pemerintah.Awalnya aku mikir mungkin emg warga kita yg salah, masih males pake masker, gak aware sm diri sendiri, masih banyak yg gak percaya virus corona.</t>
  </si>
  <si>
    <t>SE itu mengatur ttng penerapan PPKM Darurat di Tempat Ibadah, serta Petunjuk Pelaksanaan malem Takbiran jg</t>
  </si>
  <si>
    <t>@LsOwien Kalau gue sudah nga respek dgn berita virus dan kematian apalagi tntng vaksin. Bgi saya yg lebih pnting dari pada itu bagaimana usaha sya bisa bertahan selama PPKM. Kalau Corona itu bisa menyebar akibat berkerumun maka jkw sudah kena Corona krna serng dikerumunin rakyat.</t>
  </si>
  <si>
    <t>Kalau gue sudah nga respek dgn berita virus dan kematian apalagi tntng vaksin. Bgi saya yg lebih pnting dari pada itu bagaimana usaha sya bisa bertahan selama PPKM. Kalau Corona itu bisa menyebar akibat berkerumun maka jkw sudah kena Corona krna serng dikerumunin rakyat.</t>
  </si>
  <si>
    <t>Video lucu untuk meningkatkan imunitas kita melawan Covid 19.. 🤭
 Yuk kita tetap disiplin prokes dan dukung PPKM Darurat..
 Jokowi Lawan Pandemi 💪 https://t.co/GoKRQ38Tg9</t>
  </si>
  <si>
    <t>Video lucu untuk meningkatkan imunitas kita melawan Covid .. Yuk kita tetap disiplin prokes dan dukung PPKM Darurat..Jokowi Lawan Pandemi</t>
  </si>
  <si>
    <t>@aewin86 Berkaca pd upaya2 negara lain dlm mengatasi pandemi covid-19, upaya
 #JokowiAtasiPandemi sdh sgt optimal. 
 Beliau menetapkan PPKM/PSBB dg memperhatikan karakteristik bangsa ini shg scr ekonomi kita tdk terjun bebas melainkan bs bertahan &amp;amp; bs cepat pulih.</t>
  </si>
  <si>
    <t>Berkaca pd upaya2 negara lain dlm mengatasi pandemi covid-19, upaya sdh sgt optimal. Beliau menetapkan PPKM/PSBB dg memperhatikan karakteristik bangsa ini shg scr ekonomi kita tdk terjun bebas melainkan bs bertahan &amp;amp; bs cepat pulih.</t>
  </si>
  <si>
    <t>Hanyalah di ERA Zaman NOW.
 Ter Lalu...Buaaanyaaakkk...
 Statement Pejabat.
 Ngedabrus.
 ... Rakyat Indonesia yg disalahin.
 Padahal CORONA Dahulunya Buat Bercandaan.
 Saat WUHAN Pertama DATANG.
 Hingga Kini.
 PPKM..TKA.
 Tetap Datang LUAR BIASA.
 Penerbangan Penumpang Kembali Masuk.</t>
  </si>
  <si>
    <t>Hanyalah di ERA Zaman NOW.Ter Lalu...Buaaanyaaakkk...Statement Pejabat.Ngedabrus.... Rakyat Indonesia yg disalahin.Padahal CORONA Dahulunya Buat Bercandaan.Saat WUHAN Pertama DATANG.Hingga Kini.PPKM..TKA.Tetap Datang LUAR BIASA.Penerbangan Penumpang Kembali Masuk.</t>
  </si>
  <si>
    <t>PPKM hari ke - 8 : https://t.co/7KJgivPnTg</t>
  </si>
  <si>
    <t>PPKM hari ke - :</t>
  </si>
  <si>
    <t>NGAKAK...!! Tambal Ban Online PPKM Darurat Begini Jadinya... https://t.co/646QDzgbbK https://t.co/yO6Apz0wJC</t>
  </si>
  <si>
    <t>NGAKAK...!! Tambal Ban Online PPKM Darurat Begini Jadinya...</t>
  </si>
  <si>
    <t>Ppkm=pelan pelan kita miskin☝🏼</t>
  </si>
  <si>
    <t>Ppkmelan pelan kita miskin</t>
  </si>
  <si>
    <t>https://t.co/jAushtEpDz
 PPKM darurat:
 Pemerintah terlambat!!</t>
  </si>
  <si>
    <t>daruratemerintah terlambat!!</t>
  </si>
  <si>
    <t>@Prasetyanu Razia PPKM</t>
  </si>
  <si>
    <t>Razia PPKM</t>
  </si>
  <si>
    <t>@FWBESS Ppkm om</t>
  </si>
  <si>
    <t>Ppkm om</t>
  </si>
  <si>
    <t>@zialogi Apes bener om rakyat Indonesia udh penghasilannya ditekel krn PPKM disuruh mikir solusi pula. Kalo kritik doang ntar dibui</t>
  </si>
  <si>
    <t>Apes bener om rakyat Indonesia udh penghasilannya ditekel krn PPKM disuruh mikir solusi pula. Kalo kritik doang ntar dibui</t>
  </si>
  <si>
    <t>seriusan selama ppkm ni jam tidur ku jadi kaya orang normal uehehe</t>
  </si>
  <si>
    <t>Dibentak Polisi saat Razia PPKM, Pedagang Ngamuk: Bapak Masih Gajian, Saya Gak Buka Gak Makan! https://t.co/hTk5QqJ1XI</t>
  </si>
  <si>
    <t>Dibentak Polisi saat Razia PPKM, Pedagang Ngamuk: Bapak Masih Gajian, Saya Gak Buka Gak Makan!</t>
  </si>
  <si>
    <t>@FWBESS ppkm mas.</t>
  </si>
  <si>
    <t>ppkm mas.</t>
  </si>
  <si>
    <t>@FWBESS Ppkm kang</t>
  </si>
  <si>
    <t>Ppkm kang</t>
  </si>
  <si>
    <t>Ya selamat isoman tahap 2 nadyahhh pPKM BENERAN INIMAH GUE YA ALLAH</t>
  </si>
  <si>
    <t>Ya selamat isoman tahap nadyahhh pPKM BENERAN INIMAH GUE YA ALLAH</t>
  </si>
  <si>
    <t>Compare kebijakan dan pelaksanaan penanggulangan pandemi di EU dan INA boleh saja tapi dilihat juga dong faktor penyebab terhambatnya upaya2 itu. Masyarakat bisa tidak di lockdown total? PSBB/PPKM saja sudah banyak yg pertimbangan dr sosial ekonomi. Kekuatan tiap daerah jg beda.</t>
  </si>
  <si>
    <t>@Arul70848368 Ke zaliman Pemerintah saat ini, Menerapkan PPKM tapi TIDAK memberikan Kompensasi memberikan Kebutuhan Pokok kepada Rakyat, sesuai dengan Perintah UU No.6/2018</t>
  </si>
  <si>
    <t>Ke zaliman Pemerintah saat ini, Menerapkan PPKM tapi TIDAK memberikan Kompensasi memberikan Kebutuhan Pokok kepada Rakyat, sesuai dengan Perintah UU No.6/2018</t>
  </si>
  <si>
    <t>PPKM
 Pernah Pergi Kemudian Muncul https://t.co/OCCZ0h8XNG</t>
  </si>
  <si>
    <t>PPKMPernah Pergi Kemudian Muncul</t>
  </si>
  <si>
    <t>since PPKM, EVERYDAY EVERYMORNING barusan tidur, gue selalu denger kabar orang meninggal. sriouslyyyyy???? weird bgt ga sih?</t>
  </si>
  <si>
    <t>@zainalamochtar 2022 kaya BTS lepas masker di 2022 aamiin... Tapi kl masih PPKM gini ya g ada hasil soale ga jelas aturan nya</t>
  </si>
  <si>
    <t>kaya BTS lepas masker di aamiin... Tapi kl masih PPKM gini ya g ada hasil soale ga jelas aturan nya</t>
  </si>
  <si>
    <t>gakemana mana kirain PPKM, ternyata emang gak ada status aja 😊</t>
  </si>
  <si>
    <t>gakemana mana kirain PPKM, ternyata emang gak ada status aja</t>
  </si>
  <si>
    <t>bisa bisa nya gua ke dokter trs dokternya bilang
 👨‍⚕️: jangan jangan kena di sekolah ya
 🧕: mohon maaf dok, saya udah kerja.. selama ppkm juga wfh kok
 👨‍⚕️: oh kirain masih smp
 🧕:gapapa dok udah biasa.. itu di data saya umur saya 20 dok…</t>
  </si>
  <si>
    <t>bisa bisa nya gua ke dokter trs dokternya bilang: jangan jangan kena di sekolah ya: mohon maaf dok, saya udah kerja.. selama ppkm juga wfh kok: oh kirain masih smp:gapapa dok udah biasa.. itu di data saya umur saya dok</t>
  </si>
  <si>
    <t>@schfess Pake yg masih ada, mau keluar tp masi ppkm soalnya</t>
  </si>
  <si>
    <t>Pake yg masih ada, mau keluar tp masi ppkm soalnya</t>
  </si>
  <si>
    <t>@musaKSQ Dobol om..mrk berjanji cm buat hari ini aja disaat mrk liat rakyat masih bisa makan meskipun lahan penghasilannya ditekel PPKM nan lebay tapi bukan berjanji buat hari esok yg gak tau rakyat msh bisa makan apa nggak akibat kebijakan yg sama</t>
  </si>
  <si>
    <t>Dobol om..mrk berjanji cm buat hari ini aja disaat mrk liat rakyat masih bisa makan meskipun lahan penghasilannya ditekel PPKM nan lebay tapi bukan berjanji buat hari esok yg gak tau rakyat msh bisa makan apa nggak akibat kebijakan yg sama</t>
  </si>
  <si>
    <t>ni warung warung pada sekongkol ga buka apaya, perasaan skrg hari senin. masaiya ppkm ngaruh ke jam buka warung</t>
  </si>
  <si>
    <t>PPKM: Pelan-pelan Kena Mental.</t>
  </si>
  <si>
    <t>@alam_bis Bismillah semoga ini pandemi coroncong cepet reda lagi yaa, ini aja aku seharusnya juga pjj, tapi karena ada urusan ngelab, mau gamau harus swab lagi, izin kepolisian Deket sekolah, pake pakaian lebih ribet, trs waktu terbatas banget gara2 PPKM :'(
 Stay safe ya Alam!</t>
  </si>
  <si>
    <t>Bismillah semoga ini pandemi coroncong cepet reda lagi yaa, ini aja aku seharusnya juga pjj, tapi karena ada urusan ngelab, mau gamau harus swab lagi, izin kepolisian Deket sekolah, pake pakaian lebih ribet, trs waktu terbatas banget gara2 PPKM :'(Stay safe ya Alam!</t>
  </si>
  <si>
    <t>yrl emg skolah dah masuk y? ga online,? bkn nya lgi ppkm</t>
  </si>
  <si>
    <t>Pedagang Sayur Ngamuk ke Petugas Razia PPKM: Di Negara Sendiri pun Kita Dijajah! https://t.co/1rKEWV8fao</t>
  </si>
  <si>
    <t>Pedagang Sayur Ngamuk ke Petugas Razia PPKM: Di Negara Sendiri pun Kita Dijajah!</t>
  </si>
  <si>
    <t>@kyohamaru Knp lebih boros ya, padahal selama ppkm ini ga kmn2, nge gopud jg baru 2x 🥲 tp kok boros bgt ya wkwkwkk</t>
  </si>
  <si>
    <t>Knp lebih boros ya, padahal selama ppkm ini ga kmn2, nge gopud jg baru x tp kok boros bgt ya wkwkwkk</t>
  </si>
  <si>
    <t>PPKM pas final euro ?</t>
  </si>
  <si>
    <t>Ppkm
 Pelan pelan kita miskin :’)</t>
  </si>
  <si>
    <t>PpkmPelan pelan kita miskin</t>
  </si>
  <si>
    <t>@kebijakananies @kebijakananies_ @tatakujiyati @PutraWadapi @TRendusara @Mdy_Asmara1701 Saya warga bogor,rencana mau vaksin di jakarta tgl 16 juli,apa boleh ke wilayah jakarta saat ppkm darurat ini</t>
  </si>
  <si>
    <t>Saya warga bogor,rencana mau vaksin di jakarta tgl juli,apa boleh ke wilayah jakarta saat ppkm darurat ini</t>
  </si>
  <si>
    <t>@tinkestbelle itu dibentak pas ppkm gt sih kayaknya jd kena stop di pos penyekatan gt</t>
  </si>
  <si>
    <t>itu dibentak pas ppkm gt sih kayaknya jd kena stop di pos penyekatan gt</t>
  </si>
  <si>
    <t>seLama masa PPKM Lampu-Lampu jaLan dibanyak titik dikotaku dimatikan, berita tentang begaL &amp;amp; gang kLitih cabang kota kudus juga muLai bermuncuLan, terus gunanya biar apa sih kaLo Lampu jaLannya dimatikan ?</t>
  </si>
  <si>
    <t>@geograrfi Pdhl pgn bgt ngadain mpls lagi, eh dihandle sm sekolah karena PPKM</t>
  </si>
  <si>
    <t>Pdhl pgn bgt ngadain mpls lagi, eh dihandle sm sekolah karena PPKM</t>
  </si>
  <si>
    <t>@regezs13 Hmmm ngak ada yg jualan bubur ayam, takut terkena ciduk satgas PPKM dan denda 5 Jutah😂🤭</t>
  </si>
  <si>
    <t>Hmmm ngak ada yg jualan bubur ayam, takut terkena ciduk satgas PPKM dan denda Jutah</t>
  </si>
  <si>
    <t>mana di-off-in seminggu🙃 perkara ppkm hadeu. sad bgt😫😩
 ditambah, bapak gue jg dirumah dong;) grgr ppkm jdnya nda buka toko hmmm</t>
  </si>
  <si>
    <t>mana di-off-in seminggu perkara ppkm hadeu. sad bgtditambah, bapak gue jg dirumah dong grgr ppkm jdnya nda buka toko hmmm</t>
  </si>
  <si>
    <t>@Kemenag_RI menganjurkan takbiran dan shalat Idul Adha di rumah untuk wilayah PPKM darurat
 @jokowi 
 #JokowiAtasiPandemi 
 @tjhinfar21 
 @Nirmala2205 https://t.co/PYxQ6DYheP</t>
  </si>
  <si>
    <t>menganjurkan takbiran dan shalat Idul Adha di rumah untuk wilayah PPKM darurat</t>
  </si>
  <si>
    <t>@republikaonline Real PPKM nih orang (Pura-Puralah Kau Mendukung) aslinya menjerumuskan.</t>
  </si>
  <si>
    <t>Real PPKM nih orang (Pura-Puralah Kau Mendukung) aslinya menjerumuskan.</t>
  </si>
  <si>
    <t>@DewinthaNonong Yaa meski ppkm tp mbk yaa ngasih solusi jg bagi warganya yg istilahnya hanya bisa makan cuma dari hasil jualan atau apapun yg mengharuskan mereka keluar rumah. Yg kemaren bilang "tidak anti krirtik, tp beri solusi jg"... ya berlaku buat semua dong, bercermin sedikit yuk lah</t>
  </si>
  <si>
    <t>Yaa meski ppkm tp mbk yaa ngasih solusi jg bagi warganya yg istilahnya hanya bisa makan cuma dari hasil jualan atau apapun yg mengharuskan mereka keluar rumah. Yg kemaren bilang "tidak anti krirtik, tp beri solusi jg"... ya berlaku buat semua dong, bercermin sedikit yuk lah</t>
  </si>
  <si>
    <t>@aMrazing Halus pisaaan sogokannya hahaha ewako koh! Semoga rejekinya dilimpahkan dan dilancarkan ya💸💸💸
 Good thing, hari ini ketambahan dana buat bantu-bantu yg terimbas PPKM, I'll credit that to you and my luck today🤝</t>
  </si>
  <si>
    <t>Halus pisaaan sogokannya hahaha ewako koh! Semoga rejekinya dilimpahkan dan dilancarkan yaGood thing, hari ini ketambahan dana buat bantu-bantu yg terimbas PPKM, I'll credit that to you and my luck today</t>
  </si>
  <si>
    <t>#PatuhiAturanPPKMDarurat 
 PPKM Darurat Langkah tepat tuk kendalikan dn cegah lonjakan kopit 19. 
 Bantu para Nakes dgn mematuhi PPKM darurat, kurangi mobilisasi, taat prokes dan ikut vaksin https://t.co/JOpRTrjnwo</t>
  </si>
  <si>
    <t>PPKM Darurat Langkah tepat tuk kendalikan dn cegah lonjakan kopit . Bantu para Nakes dgn mematuhi PPKM darurat, kurangi mobilisasi, taat prokes dan ikut vaksin</t>
  </si>
  <si>
    <t>PPKM = Pernah peduli kemudian menghilang</t>
  </si>
  <si>
    <t>PPKM Darurat demi keselamatan nasional.
 Yuk #PatuhiAturanPPKMDarurat https://t.co/UTlntAtulj</t>
  </si>
  <si>
    <t>PPKM Darurat demi keselamatan nasional.Yuk</t>
  </si>
  <si>
    <t>@idtodayco Pengakuan bahwa :
 Luhut gagal mengendalikan pandemi.
 Jokowi tidak mampu jadi Presiden.
 Wiranto akan dikambinghitamkan.
 Fixed.
 PPKM.
 Pak Presiden Kapan Mundur?</t>
  </si>
  <si>
    <t>Pengakuan bahwa :Luhut gagal mengendalikan pandemi.Jokowi tidak mampu jadi Presiden.Wiranto akan dikambinghitamkan.Fixed.PPKM.Pak Presiden Kapan Mundur?</t>
  </si>
  <si>
    <t>@siganiduniya @womanfeeds_id Iya treatment nyaa setelah ppkm selesai/angka cvdnya melandai aja ya.. kalau di lrissanya ternyata cocok, berarti harus diterusin treatment + krim2nya nder.. soalnya kalau ga berasa perubahan, mending ganti tempat.. yang kuatt&amp;amp;sabar yah nder🤗 semua sakit pasti ada sembuhnya💖</t>
  </si>
  <si>
    <t>Iya treatment nyaa setelah ppkm selesai/angka cvdnya melandai aja ya.. kalau di lrissanya ternyata cocok, berarti harus diterusin treatment + krim2nya nder.. soalnya kalau ga berasa perubahan, mending ganti tempat.. yang kuatt&amp;ampabar yah nder semua sakit pasti ada sembuhnya</t>
  </si>
  <si>
    <t>@Lavienjoe PPKM CINTA TP NANTI DEH AKU SEMPETIN MAMPIR</t>
  </si>
  <si>
    <t>PPKM CINTA TP NANTI DEH AKU SEMPETIN MAMPIR</t>
  </si>
  <si>
    <t>Msh dgn PPKM Darurat min. Semoga Senantiasa Allah lekaskan covid ini berlalu. Aamiin. https://t.co/N2F8BBGgto</t>
  </si>
  <si>
    <t>Msh dgn PPKM Darurat min. Semoga Senantiasa Allah lekaskan covid ini berlalu. Aamiin.</t>
  </si>
  <si>
    <t>@Lelaki_5unyi Gegara PPKM, rakyat miskin juga perlu makan beserta anak2nya. Jika PPKM diterapkan kasi rakyat makan, bukan dagangan rakyat yg dirampok. Sedihku melihat, dana Covid19 juga ada yg kalian dikorupsi, padahal itu haknya org2 miskin !</t>
  </si>
  <si>
    <t>Gegara PPKM, rakyat miskin juga perlu makan beserta anak2nya. Jika PPKM diterapkan kasi rakyat makan, bukan dagangan rakyat yg dirampok. Sedihku melihat, dana Covid19 juga ada yg kalian dikorupsi, padahal itu haknya org2 miskin !</t>
  </si>
  <si>
    <t>Ga main2 ya PPKM Minggu ini sampai idul adha nanti. https://t.co/kb40hg9brB</t>
  </si>
  <si>
    <t>Ga main2 ya PPKM Minggu ini sampai idul adha nanti.</t>
  </si>
  <si>
    <t>@Djoked2 PPKM : Pak Presiden Kuat Malu</t>
  </si>
  <si>
    <t>PPKM : Pak Presiden Kuat Malu</t>
  </si>
  <si>
    <t>Hari ni kantor mulai di shift gegara PPKM, Alhamdulillah gusti kebagian shift siang . ..shift pagi harus masuk jam 6 🥶🥶🥶 jabaning tunduh</t>
  </si>
  <si>
    <t>Hari ni kantor mulai di shift gegara PPKM, Alhamdulillah gusti kebagian shift siang . ..shift pagi harus masuk jam jabaning tunduh</t>
  </si>
  <si>
    <t>Untungnya kemarin ada pak pol yg borong dagangan biar mbak2 yg jualan juga langsung pulang pas jam ppkm</t>
  </si>
  <si>
    <t>@Lelaki_5unyi Kalian para petugas masih gajian tiap bulan, pedagang kaki lima ga jualan selama ppkm ga bakal makan keluarganya. Hrsnya ketersediaan makan sdh di perhitungkan sblm ppkm berjalan bukan sdh setengah jalan baru dipikirkan....</t>
  </si>
  <si>
    <t>Kalian para petugas masih gajian tiap bulan, pedagang kaki lima ga jualan selama ppkm ga bakal makan keluarganya. Hrsnya ketersediaan makan sdh di perhitungkan sblm ppkm berjalan bukan sdh setengah jalan baru dipikirkan....</t>
  </si>
  <si>
    <t>Sudahi euforia euro dan copa america yaa, ppkm masih 8 hari lagi.
 Kalo gak diperpanjang</t>
  </si>
  <si>
    <t>Sudahi euforia euro dan copa america yaa, ppkm masih hari lagi.Kalo gak diperpanjang</t>
  </si>
  <si>
    <t>@alfryll @ssefnum ppkm neng</t>
  </si>
  <si>
    <t>ppkm neng</t>
  </si>
  <si>
    <t>@LuhutBinsarFans Pak...new normal aja,sudahi ppkm ini,sangat memberatkan kami</t>
  </si>
  <si>
    <t>Pak...new normal aja,sudahi ppkm ini,sangat memberatkan kami</t>
  </si>
  <si>
    <t>Kmrin keluar dari zona merah tb tb boom ppkm :( bapak jg gbisa ga ngikuti pemerintah y pak:(</t>
  </si>
  <si>
    <t>Kmrin keluar dari zona merah tb tb boom ppkm bapak jg gbisa ga ngikuti pemerintah y pak</t>
  </si>
  <si>
    <t>@SINDOnews Berarti tdk ada penyekatan&amp;amp;penjagaan selama ppkm darurat</t>
  </si>
  <si>
    <t>Berarti tdk ada penyekatan&amp;ampenjagaan selama ppkm darurat</t>
  </si>
  <si>
    <t>selama PPKM harga pindang yg tadinya sekeranjang 6500 - 7000 sekarang jadi 9000 😌</t>
  </si>
  <si>
    <t>selama PPKM harga pindang yg tadinya sekeranjang - sekarang jadi</t>
  </si>
  <si>
    <t>Ppkm anjir, go https://t.co/KwhwQw51QV</t>
  </si>
  <si>
    <t>Ppkm anjir, go</t>
  </si>
  <si>
    <t>@RachlanNashidik Turut berdukacita..🙏
 Tapi Bukannya selama ini yg banyak "BACOT itu kau.!
 Saat ini semua pihak lagi berusaha keras utk saling membantu utk penanganan covid-19,dan juga saat ini Pemerintah sdg melakukan PPKM DARURAT,,seharusnya pada saling bantu,,bukannya nyinyir/ngebacot doang.,</t>
  </si>
  <si>
    <t>Turut berdukacita..Tapi Bukannya selama ini yg banyak "BACOT itu kau.!Saat ini semua pihak lagi berusaha keras utk saling membantu utk penanganan covid-19,dan juga saat ini Pemerintah sdg melakukan PPKM DARURAT,,seharusnya pada saling bantu,,bukannya nyinyir/ngebacot doang.,</t>
  </si>
  <si>
    <t>PPKM harus dijalani, kerugian akan didapatkan. Beberapa mahasiswa-mahasiswi saya tak bisa masuk kota, harusnya mereka berada di kampus agar bisa tamat Semester ini. Melengkapi persyaratan masuk kota, berarti mengeluarkan uang.</t>
  </si>
  <si>
    <t>Gaperlu disuruh di rumah aja pake embel² ppkm
 Kalau ga ada duit mah gaperlu di suruh, udah di rumah aja terus ini mah</t>
  </si>
  <si>
    <t>Gaperlu disuruh di rumah aja pake embel ppkmKalau ga ada duit mah gaperlu di suruh, udah di rumah aja terus ini mah</t>
  </si>
  <si>
    <t>@Wiwiarisaaaa lagi ppkm</t>
  </si>
  <si>
    <t>Situasi PPKM 
 pembeli : boleh makan di tempat mbak? 
 Penjual : wah karena sedang PPKM jadi gak boleh pak
 Pembeli : duh saya udah laper bngt nih mbak, bentaran doang kok
 Penjual:duh yaudah pak boleh, tapi jaga jarak dan jangan lepas masker ya 
 Pembeli: iya deh daripada kelaperan https://t.co/mZzgbYuO5O</t>
  </si>
  <si>
    <t>Situasi PPKM pembeli : boleh makan di tempat mbak? Penjual : wah karena sedang PPKM jadi gak boleh pakPembeli : duh saya udah laper bngt nih mbak, bentaran doang kokPenjualuh yaudah pak boleh, tapi jaga jarak dan jangan lepas masker ya Pembeli: iya deh daripada kelaperan</t>
  </si>
  <si>
    <t>PSBB, PPKM dan berbagai istilah sejenisnya = KONTOL</t>
  </si>
  <si>
    <t>@kopikirankmu Dulu psbb 2020 ditemenin, sekarang ppkm sendirian 🙂</t>
  </si>
  <si>
    <t>Dulu psbb ditemenin, sekarang ppkm sendirian</t>
  </si>
  <si>
    <t>@bertanyarl Aku dapet tiap hari dr bulan lalu, sebelum 7.7 jg, ss
 mpe hari ini jg dapet, voc minimal 0 rupiah tiap hari,
 Padahal aku terhitung sering belanja, tp ga tiap hari jg
 Kayanya gerakan ppkm, biar pd blanja dr rumah jg?</t>
  </si>
  <si>
    <t>Aku dapet tiap hari dr bulan lalu, sebelum jg, ssmpe hari ini jg dapet, voc minimal rupiah tiap hari,Padahal aku terhitung sering belanja, tp ga tiap hari jgKayanya gerakan ppkm, biar pd blanja dr rumah jg?</t>
  </si>
  <si>
    <t>@tvOneNews Seharusnya pemerintah yg sadar bukan rakyat Krn selama ini pemerintah yg kurang waras dlm mengambil kebijakan....PPKM (Perpanjangan pembodohan kepada masyarakat )...its real mhn maaf kl sy salah...</t>
  </si>
  <si>
    <t>Seharusnya pemerintah yg sadar bukan rakyat Krn selama ini pemerintah yg kurang waras dlm mengambil kebijakan....PPKM (Perpanjangan pembodohan kepada masyarakat )...its real mhn maaf kl sy salah...</t>
  </si>
  <si>
    <t>@liputan6dotcom Yg penting program vaksinasi Nasional yg kini sedang digencarkan dan ditargetkan 1 juta hingga 2 juta setiap harinya tidak mangkrak. Sukseskan program vaksin dan didiplinkan rakyat dgn PPKM Darurat, agar badai segera berlalu.. rakyar sehat negara kuat.</t>
  </si>
  <si>
    <t>Yg penting program vaksinasi Nasional yg kini sedang digencarkan dan ditargetkan juta hingga juta setiap harinya tidak mangkrak. Sukseskan program vaksin dan didiplinkan rakyat dgn PPKM Darurat, agar badai segera berlalu.. rakyar sehat negara kuat.</t>
  </si>
  <si>
    <t>Tolong banget dong pemerintah, PPKM nya udahan aja ya :( kasian temen saya bru hari pertama di rumah udah begini 😭 @Ivleshere https://t.co/KqmQKc2gzx</t>
  </si>
  <si>
    <t>Tolong banget dong pemerintah, PPKM nya udahan aja ya kasian temen saya bru hari pertama di rumah udah begini</t>
  </si>
  <si>
    <t>@mulya78 Ayo vaksin, Patuhi prokes dan PPKM. Berani peduli untuk Indonesia sehat..
 Fb bang😀</t>
  </si>
  <si>
    <t>Ayo vaksin, Patuhi prokes dan PPKM. Berani peduli untuk Indonesia sehat..Fb bang</t>
  </si>
  <si>
    <t>@CNNIndonesia Jangan Dusta, Ayo penuhi kebutuhan pokok rakyat dan biayain hidup rakyat selama PPKM
 Astagfirullah
 #rezimbebanirakyat</t>
  </si>
  <si>
    <t>Jangan Dusta, Ayo penuhi kebutuhan pokok rakyat dan biayain hidup rakyat selama PPKMAstagfirullah</t>
  </si>
  <si>
    <t>@fzn_anly @AREAJULID Aku ppkm ini wfh di kostan😭😭 keluar cuma beli makan sama kebutuhan sehari2. Boro ke bali. Ke kantor aja udah kayak kuburan. Semua pake surat tugas dan harus ke HRD buat ngambil.</t>
  </si>
  <si>
    <t>Aku ppkm ini wfh di kostan keluar cuma beli makan sama kebutuhan sehari2. Boro ke bali. Ke kantor aja udah kayak kuburan. Semua pake surat tugas dan harus ke HRD buat ngambil.</t>
  </si>
  <si>
    <t>Pak Luhut bilang masih terkendali. Kita lihat seperti apa terkendali versi beliau setelah 17 Juli. (14 hari setelah PPKM Darurat mulai).</t>
  </si>
  <si>
    <t>Pak Luhut bilang masih terkendali. Kita lihat seperti apa terkendali versi beliau setelah Juli. (14 hari setelah PPKM Darurat mulai).</t>
  </si>
  <si>
    <t>lagilagi ppkm aaaarghhrhrr pengen kontrol</t>
  </si>
  <si>
    <t>Ppkm udahan plis😭 asu sekeluarga gw makan apaan cok, bapak gw nyari kerja susah bangsat!!! https://t.co/PGEAGnVWlw</t>
  </si>
  <si>
    <t>Ppkm udahan plis asu sekeluarga gw makan apaan cok, bapak gw nyari kerja susah bangsat!!!</t>
  </si>
  <si>
    <t>@caesar_emil SEMANGAT WAK,,,,
 PPKM jgn SAMPAI BUNCIT PERUTNYA YAAAA,,,,WAK</t>
  </si>
  <si>
    <t>SEMANGAT WAK,,,,PPKM jgn SAMPAI BUNCIT PERUTNYA YAAAA,,,,WAK</t>
  </si>
  <si>
    <t>Terus lah bernafas meskipun sedang PPKM.</t>
  </si>
  <si>
    <t>@detikcom Dan ini bocah apa msh hrs berhadapan dg aparat negara krn dlarang berjualan di masa PPKM?</t>
  </si>
  <si>
    <t>Dan ini bocah apa msh hrs berhadapan dg aparat negara krn dlarang berjualan di masa PPKM?</t>
  </si>
  <si>
    <t>/kle lagi PPKM dagang buah yang murah dimana ya ton?.</t>
  </si>
  <si>
    <t>@msaid_didu PPKM mulu........ Udah pelan pelan kita melarat juga</t>
  </si>
  <si>
    <t>PPKM mulu........ Udah pelan pelan kita melarat juga</t>
  </si>
  <si>
    <t>TAPI, seharusnya pihak manajemen lebih bijak sih. dimana sekarang lagi ppkm darurat, secara ga langsung kan mereka ngajak orang banyak buat ke coffee shop nya. rame, amit² muncul klaster baru, pihak coffee shop nya nanti entah denda atau disegel sementara</t>
  </si>
  <si>
    <t>TAPI, seharusnya pihak manajemen lebih bijak sih. dimana sekarang lagi ppkm darurat, secara ga langsung kan mereka ngajak orang banyak buat ke coffee shop nya. rame, amit muncul klaster baru, pihak coffee shop nya nanti entah denda atau disegel sementara</t>
  </si>
  <si>
    <t>Waahh,,, gmn ini? Terkendali tapi siapkan PPKM Darurat hingga 6 minggu. Jadi apanya yg terkendali??? https://t.co/HPAgtzP5i7</t>
  </si>
  <si>
    <t>Waahh,,, gmn ini? Terkendali tapi siapkan PPKM Darurat hingga minggu. Jadi apanya yg terkendali???</t>
  </si>
  <si>
    <t>PPKM = Pengen Pergi Ke Mekkah</t>
  </si>
  <si>
    <t>@duacangkir Pls bener bgt sama kaya unpatti undur trs gr gr ppkm padahal mah tggl online aja anjrit ribet amat</t>
  </si>
  <si>
    <t>Pls bener bgt sama kaya unpatti undur trs gr gr ppkm padahal mah tggl online aja anjrit ribet amat</t>
  </si>
  <si>
    <t>@Dennysiregar7 @jokowi satu kluarga sy udh diberhentikan kerja slm 3 minggu. klo PPKM ditambah lagi gatau bln dpn kita bisa makan apa gak😭</t>
  </si>
  <si>
    <t>satu kluarga sy udh diberhentikan kerja slm minggu. klo PPKM ditambah lagi gatau bln dpn kita bisa makan apa gak</t>
  </si>
  <si>
    <t>@adistyaratu @lifexhaustedd bener bangetttt. bapa gue juga, tadinya harus ngukur kerjaan di daerah srengseng sawah. tapi gara gara ppkm jadi di tunda 2 minggu, alhasil jadi sepi paaldahal itu kerjaan lumayan gede duitnya. 🥲🥲</t>
  </si>
  <si>
    <t>bener bangetttt. bapa gue juga, tadinya harus ngukur kerjaan di daerah srengseng sawah. tapi gara gara ppkm jadi di tunda minggu, alhasil jadi sepi paaldahal itu kerjaan lumayan gede duitnya.</t>
  </si>
  <si>
    <t>Aku biasanya kalo stress pasti cuss ke kos temenku buat mainan sm kucingnya
 Skrg ppkm gini jd ga berani nginep2 😭</t>
  </si>
  <si>
    <t>Aku biasanya kalo stress pasti cuss ke kos temenku buat mainan sm kucingnyaSkrg ppkm gini jd ga berani nginep2</t>
  </si>
  <si>
    <t>@tempodotco Tempo sekali sekali bahas DO sopir2x truk Jalarta Surabaya turun drastis selama PPKM.
 Ngapain ngurusin KAI. Turun ga turun penumpangnya, tetap saja gajian.
 Sopir ga narik, ga makan.
 Emoatilah sedikit lah sama rakyat kecil.</t>
  </si>
  <si>
    <t>Tempo sekali sekali bahas DO sopir2x truk Jalarta Surabaya turun drastis selama PPKM.Ngapain ngurusin KAI. Turun ga turun penumpangnya, tetap saja gajian.Sopir ga narik, ga makan.Emoatilah sedikit lah sama rakyat kecil.</t>
  </si>
  <si>
    <t>PPKM 
 P :ernah
 P:unya 
 K:einginan 
 M:emilikimu</t>
  </si>
  <si>
    <t>PPKM P :ernahP:unya K:einginan M:emilikimu</t>
  </si>
  <si>
    <t>Selasa nich kemana nich but ppkm rn</t>
  </si>
  <si>
    <t>Aku suka PPKM
 Tapi tanpa huruf "PP"</t>
  </si>
  <si>
    <t>Aku suka PPKMTapi tanpa huruf "PP"</t>
  </si>
  <si>
    <t>PPKM darurat dgn menutup semua akses jalan justru menimbulkan kemacetan dan penumpukan dimana2. Dijakan2 kecil dan di gang2 kampung..itu yg justru bikin penularan merajalela..ala memang dibikin demikian pak @jokowi https://t.co/G3abXanDIK</t>
  </si>
  <si>
    <t>PPKM darurat dgn menutup semua akses jalan justru menimbulkan kemacetan dan penumpukan dimana2. Dijakan2 kecil dan di gang2 kampung..itu yg justru bikin penularan merajalela..ala memang dibikin demikian pak</t>
  </si>
  <si>
    <t>@Dennysiregar7 @jokowi Yes setuju Bang. PPKM ini terlalu banyak tekanan dan cukup arogan. Malah kelihatan banyak yg meninggal saat PPKM ini daripada sebelum diterapkan PPKM. Apa pemerintah mau buat Genosida ya.</t>
  </si>
  <si>
    <t>Yes setuju Bang. PPKM ini terlalu banyak tekanan dan cukup arogan. Malah kelihatan banyak yg meninggal saat PPKM ini daripada sebelum diterapkan PPKM. Apa pemerintah mau buat Genosida ya.</t>
  </si>
  <si>
    <t>@Sun270998 @GoJenaka kepingin bangettt tp masih ppkm</t>
  </si>
  <si>
    <t>kepingin bangettt tp masih ppkm</t>
  </si>
  <si>
    <t>@FOODFESS2 Mauu tp msi ppkm😖</t>
  </si>
  <si>
    <t>Mauu tp msi ppkm</t>
  </si>
  <si>
    <t>pengen maen ama mutual bandung tapi masih ppkm :/</t>
  </si>
  <si>
    <t>@txtorangdalam @HeyBudie sabar, PPKM merubah otak saya dikit</t>
  </si>
  <si>
    <t>sabar, PPKM merubah otak saya dikit</t>
  </si>
  <si>
    <t>@LuhutBinsarFans Setuju pak,bgmn kalau kita kembali ke new normal aja,perketat prokes,kebut vaksin, sudahilah ppkm ini,sebab yg mati akan tetap mati,yg hidup harus tetap hidup,himpitan ini bikin imun turun,dan kematian didepan mata.</t>
  </si>
  <si>
    <t>Setuju pak,bgmn kalau kita kembali ke new normal aja,perketat prokes,kebut vaksin, sudahilah ppkm ini,sebab yg mati akan tetap mati,yg hidup harus tetap hidup,himpitan ini bikin imun turun,dan kematian didepan mata.</t>
  </si>
  <si>
    <t>PPKM
 Penata Pernikahan Kembali Misqueen
 😫😩</t>
  </si>
  <si>
    <t>PPKMPenata Pernikahan Kembali Misqueen</t>
  </si>
  <si>
    <t>@bankIpuuul Ntar tunggu PPKM selesei dong🤭</t>
  </si>
  <si>
    <t>Ntar tunggu PPKM selesei dong</t>
  </si>
  <si>
    <t>@eko_kuntadhi Lihat eko di poliwali tuh cina bagai mana ente gak komen membahas ppkm ,cina masuk el9 diam</t>
  </si>
  <si>
    <t>Lihat eko di poliwali tuh cina bagai mana ente gak komen membahas ppkm ,cina masuk el9 diam</t>
  </si>
  <si>
    <t>PPKM ini kek genosida masyarakat menengah ke bawah...</t>
  </si>
  <si>
    <t>China Pun berdatangan ke Indonesia saat PPKM Darurat https://t.co/svYJxxAJdP</t>
  </si>
  <si>
    <t>China Pun berdatangan ke Indonesia saat PPKM Darurat</t>
  </si>
  <si>
    <t>Waspada provokasi
 PPKM Rakyat Sehat https://t.co/W92339rqKn</t>
  </si>
  <si>
    <t>Waspada provokasiPPKM Rakyat Sehat</t>
  </si>
  <si>
    <t>Emang ngumumin ppkm emang ranah orang ekonomi ya? Atau orang kesehatan? Yg org ekonomi pikirin ekonomi rakyat dong, kasian yang ga digaji bulanan sudah bener2 hancur bgt</t>
  </si>
  <si>
    <t>PPKM 6minggu kek setahun kek 2tahun kek terserah lu aja lah bang
 Btw aneh banget ada bahasa 6minggu. Digenepin aja 1bulan apa 2bulan gitu. Biar segi bahasanya nggk ruwet 
 #YNTKTS</t>
  </si>
  <si>
    <t>PPKM minggu kek setahun kek tahun kek terserah lu aja lah bangBtw aneh banget ada bahasa minggu. Digenepin aja bulan apa bulan gitu. Biar segi bahasanya nggk ruwet</t>
  </si>
  <si>
    <t>@synystergate78 Mereka kesal resah mas, dengan kondisi ini. Soal ppkm ini, warga kesusahan untuk mencari rezeki jadi yah gituh. Ppkm tapi mana apa ada bantuan? Ada solusi?. Gak semua masyarkat berdompet tebel, saya pribadi harus keluar buat cari uang, dgn keluar cara iktiar mencari rezeki. https://t.co/mEpLYh7If9</t>
  </si>
  <si>
    <t>Mereka kesal resah mas, dengan kondisi ini. Soal ppkm ini, warga kesusahan untuk mencari rezeki jadi yah gituh. Ppkm tapi mana apa ada bantuan? Ada solusi?. Gak semua masyarkat berdompet tebel, saya pribadi harus keluar buat cari uang, dgn keluar cara iktiar mencari rezeki.</t>
  </si>
  <si>
    <t>PPKM kan jelas kepanjangannya: Pelan Pelan Kita Mati, entah karena wabah atau kelaparan. https://t.co/2JJCx3VYxz</t>
  </si>
  <si>
    <t>PPKM kan jelas kepanjangannya: Pelan Pelan Kita Mati, entah karena wabah atau kelaparan.</t>
  </si>
  <si>
    <t>Kenapa gak mau Lockdown ? Hanya PPKM Darurat terus di tambah PPKM 6 Minggu. https://t.co/OQDFkXP2fA</t>
  </si>
  <si>
    <t>Kenapa gak mau Lockdown ? Hanya PPKM Darurat terus di tambah PPKM Minggu.</t>
  </si>
  <si>
    <t>Gausah nambah susah dgn bikin perpanjang PPKM. Pengen pulang ketemu orangtua aja kayanya susah. Yg ngerasain jauh sm orangtua pasti ngerti, sekhawatir apa gabisa ketemu, mood jg jd drop krn kepikiran.</t>
  </si>
  <si>
    <t>@eg_nrs @bonngbudi semangat terus, PPKM di perpanjang</t>
  </si>
  <si>
    <t>semangat terus, PPKM di perpanjang</t>
  </si>
  <si>
    <t>Ppkm cari kos harian buat mantap² para² orang² nie 💨</t>
  </si>
  <si>
    <t>Ppkm cari kos harian buat mantap para orang nie</t>
  </si>
  <si>
    <t>@dusrimulya Pem hrsnya support ppkm darurat mrk yg terdampak berikan pinjaman tanpa bunga shg mrk bs tetap bertahan hidup tentu mrk yg mmeinjam jg hrs jujir dan gak memanipulasi</t>
  </si>
  <si>
    <t>Pem hrsnya support ppkm darurat mrk yg terdampak berikan pinjaman tanpa bunga shg mrk bs tetap bertahan hidup tentu mrk yg mmeinjam jg hrs jujir dan gak memanipulasi</t>
  </si>
  <si>
    <t>@Kanseulir @Santi_awat Katanya ppkm sudah darurat tapi asing kok bebas masuk</t>
  </si>
  <si>
    <t>Katanya ppkm sudah darurat tapi asing kok bebas masuk</t>
  </si>
  <si>
    <t>Anjir ppkm diperpanjang gua jd penyu madura</t>
  </si>
  <si>
    <t>Baru ngerasa Ppkm kali ini bener2 gak adil ya :")
 Pedagang non esensial di paksa tutup, ada wacana ppkm sampe 6 minggu, tapi gak dikasi bantuan apa2 dari pemerintah
 Emangnya rakyat makan angin ?</t>
  </si>
  <si>
    <t>Baru ngerasa Ppkm kali ini bener2 gak adil ya :")Pedagang non esensial di paksa tutup, ada wacana ppkm sampe minggu, tapi gak dikasi bantuan apa2 dari pemerintahEmangnya rakyat makan angin ?</t>
  </si>
  <si>
    <t>anjg grgr ppkm, aku yg belanja sayur dan harusnya pengeluaran ga sampe budget. ini malah lebih dari budget!!!!! 😭😭🤡🤡
 masih pagi udah bikin mood anjlok bgt 💩</t>
  </si>
  <si>
    <t>anjg grgr ppkm, aku yg belanja sayur dan harusnya pengeluaran ga sampe budget. ini malah lebih dari budget!!!!! masih pagi udah bikin mood anjlok bgt</t>
  </si>
  <si>
    <t>Mungkin PPKM (COVID) untuk masyarakat kecil peran ini sangat merugikan dalam perekonomian, dilain sisi para pejabat yg sedang duduk manis menikmati peran mereka sebagai KORUPTOR yg memanfaatkan situasi sekarang</t>
  </si>
  <si>
    <t>Lockdown 2 mgg yuk buk pak, kalo uang negara ga cukup buat ngasi makan rakyat bolehlah aset koruptor diambil alih aja:)
 Ppkm jadi 6 mgg dan ga ngasi bantuan, jahat bgt sih.</t>
  </si>
  <si>
    <t>Lockdown mgg yuk buk pak, kalo uang negara ga cukup buat ngasi makan rakyat bolehlah aset koruptor diambil alih ajakm jadi mgg dan ga ngasi bantuan, jahat bgt sih.</t>
  </si>
  <si>
    <t>//: ini akibat ppkm apa ya? udara jadi sejuk banget gara2 jalanan sepi</t>
  </si>
  <si>
    <t>Jangan sampe ppkm diperpanjang, alias bilang aja pemerintah gagal, duit bansos ga jalan.</t>
  </si>
  <si>
    <t>umsfess- ppkm katanya diperpanjang sampe tgl brp ya gais? ada yg tau? maap aku ketinggalan info</t>
  </si>
  <si>
    <t>@JekSepotek @bonngbudi Seatap ber 4 menghidupi 3 nyawa dgn jualan sarapan kecil2n msk kriteria ga beh @JekSepotek sm ajudan nya @_m0ndhs_ plus memenuhi kebutuhn dn obat2 an org tua yg lansia.Juga seorang anak balita 🥺 Jualan sepi mas PPKM pula beh.Kalo dpt alhamdulillah bs sedikit nafas lega slm PPKM</t>
  </si>
  <si>
    <t>Seatap ber menghidupi nyawa dgn jualan sarapan kecil2n msk kriteria ga beh sm ajudan nya plus memenuhi kebutuhn dn obat2 an org tua yg lansia.Juga seorang anak balita Jualan sepi mas PPKM pula beh.Kalo dpt alhamdulillah bs sedikit nafas lega slm PPKM</t>
  </si>
  <si>
    <t>@AchmadArik3 ppkm anjrit hahahaha</t>
  </si>
  <si>
    <t>ppkm anjrit hahahaha</t>
  </si>
  <si>
    <t>Warga indo yg masi skeptis covid ini bbrp bukan karna ga taat prokes, ada yg gajiannya bukan bulanan, harian dan tidak pasti. Ditambah ppkm semakin menambah ketidakpastian nafkah mereka untuk keluarga, susu anak/bayar spp sekolah 😢</t>
  </si>
  <si>
    <t>Warga indo yg masi skeptis covid ini bbrp bukan karna ga taat prokes, ada yg gajiannya bukan bulanan, harian dan tidak pasti. Ditambah ppkm semakin menambah ketidakpastian nafkah mereka untuk keluarga, susu anak/bayar spp sekolah</t>
  </si>
  <si>
    <t>@ThoriqReynaldy @willdahamid PSBB, PSBB Transisi, PPKM, PPKM Mikro, PPKM Darurat, tinggal nunggu ada PPKM Ultimate sama PPKM Special Edition. 
 Akhirnya melahirkan banyak istilah hanya utk menghindari kata "LOCKDOWN"</t>
  </si>
  <si>
    <t>PSBB, PSBB Transisi, PPKM, PPKM Mikro, PPKM Darurat, tinggal nunggu ada PPKM Ultimate sama PPKM Special Edition. Akhirnya melahirkan banyak istilah hanya utk menghindari kata "LOCKDOWN"</t>
  </si>
  <si>
    <t>Sebenarnya ga masalah mau PPKM atau lockdown, tapi solusi utk pengusaha apa? Ruang untuk usaha dibatasi padahal pengeluaran terus berjalan ( sewa, gaji, listrik, dll ). Kalo bansos ga pernah dpt krn bisa dikatakan bukan kriteria miskin. Bukannya ga takut covid, takut kok.</t>
  </si>
  <si>
    <t>PPKM di perpanjang pada akhirnya Menjadi
 PPKM ( Pelan Pelan Kita Miskin )</t>
  </si>
  <si>
    <t>PPKM di perpanjang pada akhirnya MenjadiPPKM ( Pelan Pelan Kita Miskin )</t>
  </si>
  <si>
    <t>@AREAJULID taugasi.. gw tau apart di kelapa gading yg mayoritas orang india.. i wonder why mereka bisa masuk kesini😂😂😃 lalu lahirnya ppkm dadakan sperti tahu bulat</t>
  </si>
  <si>
    <t>taugasi.. gw tau apart di kelapa gading yg mayoritas orang india.. i wonder why mereka bisa masuk kesini lalu lahirnya ppkm dadakan sperti tahu bulat</t>
  </si>
  <si>
    <t>Innalilahi wa Inna ilaihi Raji'un
 Sungguh Miris Negeriku
 Tak Mampu Bayar Denda 5 Juta Langgar PPKM Darurat, Pemilik Kafe Pilih Dipenjara
 https://t.co/CMHENIJKCA
 #StopMafiaObatAsing
 #StopMafiaObatAsing</t>
  </si>
  <si>
    <t>Innalilahi wa Inna ilaihi Raji'unSungguh Miris NegerikuTak Mampu Bayar Denda Juta Langgar PPKM Darurat, Pemilik Kafe Pilih Dipenjara</t>
  </si>
  <si>
    <t>@latifaniindah @megaputrib Sudah kalau via halodoc wkwk. Halodoc to the rescue. Disuruh ganti pakan (karena terdiagnosa alergi jua), rutin mandikan, vitamin. Tapi ya memang disarankan suntik ke drh, kalau mau lebih cepat (ini masalahnya. nunggu kasus aktif turun plus ppkm selesai dulu) wkwk. 😫</t>
  </si>
  <si>
    <t>Sudah kalau via halodoc wkwk. Halodoc to the rescue. Disuruh ganti pakan (karena terdiagnosa alergi jua), rutin mandikan, vitamin. Tapi ya memang disarankan suntik ke drh, kalau mau lebih cepat (ini masalahnya. nunggu kasus aktif turun plus ppkm selesai dulu) wkwk.</t>
  </si>
  <si>
    <t>@gioanggasta82 ppkm inget</t>
  </si>
  <si>
    <t>ppkm inget</t>
  </si>
  <si>
    <t>ppkm jgn diperpanjang kasian sodaraku nnti gjd nikah</t>
  </si>
  <si>
    <t>@barcastuff_idn lagi ppkm woy tar dibubarkan satpol PP</t>
  </si>
  <si>
    <t>lagi ppkm woy tar dibubarkan satpol PP</t>
  </si>
  <si>
    <t>@RiegOMG Ini pasti ayahnya rafi dr semalem abis patroli ppkm blm tidur 😁😁</t>
  </si>
  <si>
    <t>Ini pasti ayahnya rafi dr semalem abis patroli ppkm blm tidur</t>
  </si>
  <si>
    <t>@firmantraa Gara² ppkm kali..</t>
  </si>
  <si>
    <t>Gara ppkm kali..</t>
  </si>
  <si>
    <t>@fullmoonfolks Terimakasih sodara2 yg sudah prokes,,kerja dari rumah,tidak keluar2 rumah,tetimakasih... mari kita dukung pemerintah patuhi PPKM untuk indonesia sehat,. Tapi tlong kasih solusinya untuk pekerja harian lepas,pedagang pasar,pedagang2 kecil,buruh2 pabrik..</t>
  </si>
  <si>
    <t>Terimakasih sodara2 yg sudah prokes,,kerja dari rumah,tidak keluar2 rumah,tetimakasih... mari kita dukung pemerintah patuhi PPKM untuk indonesia sehat,. Tapi tlong kasih solusinya untuk pekerja harian lepas,pedagang pasar,pedagang2 kecil,buruh2 pabrik..</t>
  </si>
  <si>
    <t>Pemerintah begitu peduli peduli pada masyarakatnya. Kesehatan &amp;amp; keselamatan rakyatnya jadi prioritas utama.
 Mari kita dukung &amp;amp; taati PPKM &amp;amp; Prokesnya sbg ungkapan terima kasih kita kepada Pemerintah.
 Terima kasih Bpk
 @jokowi 
 @PlateJohnny https://t.co/WSttaNk4n0</t>
  </si>
  <si>
    <t>Pemerintah begitu peduli peduli pada masyarakatnya. Kesehatan &amp;amp; keselamatan rakyatnya jadi prioritas utama.Mari kita dukung &amp;amp; taati PPKM &amp;amp; Prokesnya sbg ungkapan terima kasih kita kepada Pemerintah.Terima kasih Bpk</t>
  </si>
  <si>
    <t>Yg daring aja ceria gini optimis dan semangat sambut masa depan masa yg wfh ngeluh aja PPKM 6 ksn masih wacana trgantung evaluasi setelah tgl 20 juli 2021 yg pnting masyarakat disiplin diminta di rumah ya di rumah ga malu indonesia no 1 dunia kasus covid 19 trtinggi nyadar woy. https://t.co/dbbCUPzGCD</t>
  </si>
  <si>
    <t>Yg daring aja ceria gini optimis dan semangat sambut masa depan masa yg wfh ngeluh aja PPKM ksn masih wacana trgantung evaluasi setelah tgl juli yg pnting masyarakat disiplin diminta di rumah ya di rumah ga malu indonesia no dunia kasus covid trtinggi nyadar woy.</t>
  </si>
  <si>
    <t>PPKM = Pemerintah Pengen Kita Mati https://t.co/SsjQoaRgHZ</t>
  </si>
  <si>
    <t>PPKM = Pemerintah Pengen Kita Mati</t>
  </si>
  <si>
    <t>@AREAJULID W kepikiran para pedagang dan semacamnya yg jualan hari itu ya buat makan hari itu juga. Kok ya kalo kebijakan ppkm diperpanjang gada bantuan dr pemerintah. Bansos dikorupsi, gada info updatenya lg itu kasus gimana... Sdgkn rakyat kaya dibikin mati pelan²</t>
  </si>
  <si>
    <t>W kepikiran para pedagang dan semacamnya yg jualan hari itu ya buat makan hari itu juga. Kok ya kalo kebijakan ppkm diperpanjang gada bantuan dr pemerintah. Bansos dikorupsi, gada info updatenya lg itu kasus gimana... Sdgkn rakyat kaya dibikin mati pelan</t>
  </si>
  <si>
    <t>Gue uda nyusun alesan dari jauh jauh hari biar bisa cabut, eh ppkm diperpanjang. Ah, rasanya ingin berkata kasar.</t>
  </si>
  <si>
    <t>-rek PPKM = Pagi Pagi Kena Marah</t>
  </si>
  <si>
    <t>@Fadim98171431 @febridiansyah Lumayan ini hiburan dikala PPKM... wkwkwk</t>
  </si>
  <si>
    <t>Lumayan ini hiburan dikala PPKM... wkwkwk</t>
  </si>
  <si>
    <t>PPKM, kenapa Gak lockdown sekalian ya. Negara lain lockdown dapet tunjangan kehidupan jadi mereka tenang Masih bisa makan. Ini PPKM jadi Gak Ada tunjangan nya mungkin. Usaha disuruh tutup to gk Ada tunjangan. Mati Karena lapar bisa2 bukan Karena covid. 😢😥😢😥😢😥 #PPKMDarurat</t>
  </si>
  <si>
    <t>PPKM, kenapa Gak lockdown sekalian ya. Negara lain lockdown dapet tunjangan kehidupan jadi mereka tenang Masih bisa makan. Ini PPKM jadi Gak Ada tunjangan nya mungkin. Usaha disuruh tutup to gk Ada tunjangan. Mati Karena lapar bisa2 bukan Karena covid.</t>
  </si>
  <si>
    <t>@NengRivaMoon Iyaa
 Bener bangeet
 Ada covid n ppkm khan
 😅😅</t>
  </si>
  <si>
    <t>IyaaBener bangeetAda covid n ppkm khan</t>
  </si>
  <si>
    <t>@agannyi Itu sih kalo dijadiin isolasi wilayah (lockdown). Karena ada kewajiban pemerintah bertanggungjawab untuk penuhi kebutuhan warganya selama isolasi. Kalo pake pembatasan model ppkm gini doang ya kesannya pemerintah pengen isolasi tapi gak mau keluar duit gede.</t>
  </si>
  <si>
    <t>Itu sih kalo dijadiin isolasi wilayah (lockdown). Karena ada kewajiban pemerintah bertanggungjawab untuk penuhi kebutuhan warganya selama isolasi. Kalo pake pembatasan model ppkm gini doang ya kesannya pemerintah pengen isolasi tapi gak mau keluar duit gede.</t>
  </si>
  <si>
    <t>A/ @LuhutBPanjaitan Ysh. Mari sempurnakan SOP PPKM berkeadilan: (1) Semua WNI yg punya gaji baik ASN maupun swasta yg bukan sektor Esensial dilarang keluar rumah (2) Pekerja harian boleh bekerja dg Prokes ketat, pemerintah bantu masker dan hand sanitizer, libatkan RT/RW mengawasi</t>
  </si>
  <si>
    <t>A/ Ysh. Mari sempurnakan SOP PPKM berkeadilan: (1) Semua WNI yg punya gaji baik ASN maupun swasta yg bukan sektor Esensial dilarang keluar rumah (2) Pekerja harian boleh bekerja dg Prokes ketat, pemerintah bantu masker dan hand sanitizer, libatkan RT/RW mengawasi</t>
  </si>
  <si>
    <t>@One1Read @moslem_nkri ppkm kan gak seluruh wilayah ya, gmna klo yy gak kena ppkm berdonasi kirim bantuan buat yg membutuhkan?</t>
  </si>
  <si>
    <t>ppkm kan gak seluruh wilayah ya, gmna klo yy gak kena ppkm berdonasi kirim bantuan buat yg membutuhkan?</t>
  </si>
  <si>
    <t>#WaspadaProvokasiSaatPandemi
 Kalau kalian tak nurut,, pandemi takkan selesai. Sudah jangan provokasi dan anarki terus. 
 Taati PPKM DARURAT Demi keselamatanmu
  https://t.co/mzDSGDLlQw</t>
  </si>
  <si>
    <t>kalian tak nurut,, pandemi takkan selesai. Sudah jangan provokasi dan anarki terus. Taati PPKM DARURAT Demi keselamatanmu</t>
  </si>
  <si>
    <t>Kenapa harus pake tindak kekerasan apalagi fisik buat patuhin ppkm :( liat noh pejabat yg koru*** anteng2 bae #ups
 Barang jualan yang dirusak buat penghasilan kebutuhan hidup mereka dan lebih parahnya dikenain denda😥</t>
  </si>
  <si>
    <t>Kenapa harus pake tindak kekerasan apalagi fisik buat patuhin ppkm liat noh pejabat yg koru*** anteng2 bae jualan yang dirusak buat penghasilan kebutuhan hidup mereka dan lebih parahnya dikenain denda</t>
  </si>
  <si>
    <t>Aksi Anarkis Satpol PP saat razia PPKM, padahal Warung sudah ikuti aturan Pemerintah tutup jam 7.
 Petugas menampar Pemilik Warung &amp;amp; istrinya, diWarkop Ivan Riyana Panciro Kab Gowa.
 ASTAGHFIRULLAH......
 Sumber InstagramKamerapengawas
 #opposite6890 https://t.co/gscbj5Htc0</t>
  </si>
  <si>
    <t>Aksi Anarkis Satpol PP saat razia PPKM, padahal Warung sudah ikuti aturan Pemerintah tutup jam .Petugas menampar Pemilik Warung &amp;amp; istrinya, diWarkop Ivan Riyana Panciro Kab Gowa.ASTAGHFIRULLAH......Sumber InstagramKamerapengawas</t>
  </si>
  <si>
    <t>@BPJSTKinfo BSU yg 2020 blm tersalurkan semua..... Ini udah PPKM lagi .</t>
  </si>
  <si>
    <t>BSU yg blm tersalurkan semua..... Ini udah PPKM lagi .</t>
  </si>
  <si>
    <t>@tatcaaaa Sekarang itu trend nya nikah tp akad aja karena lagi ppkm 😁</t>
  </si>
  <si>
    <t>Sekarang itu trend nya nikah tp akad aja karena lagi ppkm</t>
  </si>
  <si>
    <t>Koq @Kiyai_MarufAmin buat pernyataan yg tidak mendukung kebijakan pemerintah saat PPKM? 
 Tolong di colek.... Masih tidur kali tuh wapres..... 
 Eh.... Emang kita punya wapres???? 
 Speechless ✨🤦‍♂️
 Cc @jokowi @DivHumas_Polri @Puspen_TNI @BNPB_Indonesia
 https://t.co/N5COs4asrM</t>
  </si>
  <si>
    <t>Koq buat pernyataan yg tidak mendukung kebijakan pemerintah saat PPKM? Tolong di colek.... Masih tidur kali tuh wapres..... Eh.... Emang kita punya wapres???? Speechless Cc ://</t>
  </si>
  <si>
    <t>@potovideoapik @TretanMuslim PPKM diperpanjang sampai 18 cm.</t>
  </si>
  <si>
    <t>PPKM diperpanjang sampai cm.</t>
  </si>
  <si>
    <t>@SupirPete2 @jokowi ppkm : pamong praja kok mukul?</t>
  </si>
  <si>
    <t>ppkm : pamong praja kok mukul?</t>
  </si>
  <si>
    <t>Pemberlakuan ppkm ini bikin sengsara rakyat kecil.
 Kerja gak boleh, mudik apalagi. Naik krl harus ada sktp.
 Mereka gak tau atau emang tutup mata banyak perantau yang kejebak di Jakarta.
 Yang berlakuin ppkm mah enak tinggal duduk manis tapi rekening keisi terus.</t>
  </si>
  <si>
    <t>Pemberlakuan ppkm ini bikin sengsara rakyat kecil.Kerja gak boleh, mudik apalagi. Naik krl harus ada sktp.Mereka gak tau atau emang tutup mata banyak perantau yang kejebak di Jakarta.Yang berlakuin ppkm mah enak tinggal duduk manis tapi rekening keisi terus.</t>
  </si>
  <si>
    <t>@EkaWahy53997626 Iya kak emang PPKM ini buat kita semua susah hidup, karena beli makan pake uang, kalo Gak kerja uang dari mana? Pasti semua pusing… cuma kalo kena covid lebih parah. Bisa jadi kalo Amit2 meninggal gimana? Sekarang semua patuhi prokes jagan takut vaksin pasti ini lebih baik lagi.</t>
  </si>
  <si>
    <t>Iya kak emang PPKM ini buat kita semua susah hidup, karena beli makan pake uang, kalo Gak kerja uang dari mana? Pasti semua pusing cuma kalo kena covid lebih parah. Bisa jadi kalo Amit2 meninggal gimana? Sekarang semua patuhi prokes jagan takut vaksin pasti ini lebih baik lagi.</t>
  </si>
  <si>
    <t>@__AnakKolong Teks aturan PPKM yg baru sdh jelas, berbahasa indonesia kekinian, tak bermakna bias..... Malah diTAFSIR lagi sama BAN SEREP disesuaikan ke selera kelompoknya.
 Ngantuk tuh harusnya tidur, kalo dipaksain terjaga seringnya malah ngelantur.</t>
  </si>
  <si>
    <t>Teks aturan PPKM yg baru sdh jelas, berbahasa indonesia kekinian, tak bermakna bias..... Malah diTAFSIR lagi sama BAN SEREP disesuaikan ke selera kelompoknya.Ngantuk tuh harusnya tidur, kalo dipaksain terjaga seringnya malah ngelantur.</t>
  </si>
  <si>
    <t>gilaa ssih sampai kapan pake laptop teruus! mamakk mmau benerin hp :( 
 huhuhu makin kesel liat berita ppkm diperpanjang terus kapan hpnya dibenerin dongg t___t</t>
  </si>
  <si>
    <t>gilaa ssih sampai kapan pake laptop teruus! mamakk mmau benerin hp huhuhu makin kesel liat berita ppkm diperpanjang terus kapan hpnya dibenerin dongg t___t</t>
  </si>
  <si>
    <t>innalillahi ga tega liat bumil di tampar satpol pp di gowa. ppkm bikin hilang kemanusiaan 😭</t>
  </si>
  <si>
    <t>innalillahi ga tega liat bumil di tampar satpol pp di gowa. ppkm bikin hilang kemanusiaan</t>
  </si>
  <si>
    <t>Saya setuju menegakan ppkm dg baik tp kalian para satpol pp juga baca aturan yg dterapkan di daerah kalian jam brp dberlakukan jangan semena mena bgini!
 Gunakan cara cara yg beradab krn yg kalian lakukan pada pemilik usaha ini bukan lg cara manusiawi! https://t.co/og5HgzsWYd</t>
  </si>
  <si>
    <t>Saya setuju menegakan ppkm dg baik tp kalian para satpol pp juga baca aturan yg dterapkan di daerah kalian jam brp dberlakukan jangan semena mena bgini!Gunakan cara cara yg beradab krn yg kalian lakukan pada pemilik usaha ini bukan lg cara manusiawi!</t>
  </si>
  <si>
    <t>@CakKhum Dia tertular di mall yang ngotot jangan ditutup saat PPKM. Kalau manusia di lingkaran kekuasaan gak soal karena kata LBP semua terkendali. Jadi santai aja. Karena semua fasilitas VVIP kecuali Allah berkehendak lain. Karena setiap yang bernyawa pasti mati. Rakyat tunggu endingnya.</t>
  </si>
  <si>
    <t>Dia tertular di mall yang ngotot jangan ditutup saat PPKM. Kalau manusia di lingkaran kekuasaan gak soal karena kata LBP semua terkendali. Jadi santai aja. Karena semua fasilitas VVIP kecuali Allah berkehendak lain. Karena setiap yang bernyawa pasti mati. Rakyat tunggu endingnya.</t>
  </si>
  <si>
    <t>@riensayangku Lebih setuju PPKM bersifat mikro untuk daerah zona merah,zona lain ekonomi bisa bergerak</t>
  </si>
  <si>
    <t>Lebih setuju PPKM bersifat mikro untuk daerah zona merah,zona lain ekonomi bisa bergerak</t>
  </si>
  <si>
    <t>@__Sridiana_3va Terimakasih Bu dokter sudah mewakili suara hati banyak masyarakat Indonesia 🙏🙏
 Kalo di Medan PPKM = Pande Pandelah Klen Mutar. Karna jln d tutup sebagian, tp masih bisa dri jln lain alhasil macet d jln alternatifnya.</t>
  </si>
  <si>
    <t>Terimakasih Bu dokter sudah mewakili suara hati banyak masyarakat Indonesia Kalo di Medan PPKM = Pande Pandelah Klen Mutar. Karna jln d tutup sebagian, tp masih bisa dri jln lain alhasil macet d jln alternatifnya.</t>
  </si>
  <si>
    <t>@KearifanLokal3 @taraafz “Yang berasumsi kalau vaksin bukan usaha terbaik saat ini untuk melawan pandemi hanya buzzer dan covidiot.”
 1. Memang bukan krn sudah banyak korban KIPI termasuk yg saya kenal pribadi.
 2. PPKM dan pemaksaan vaksin ngelanggar HAM dan bkn solusi</t>
  </si>
  <si>
    <t>Yang berasumsi kalau vaksin bukan usaha terbaik saat ini untuk melawan pandemi hanya buzzer dan covidiot.1. Memang bukan krn sudah banyak korban KIPI termasuk yg saya kenal pribadi.2. PPKM dan pemaksaan vaksin ngelanggar HAM dan bkn solusi</t>
  </si>
  <si>
    <t>@ameLL_16ApriLL Emang PPKM ini buat kita semua susah hidup, karena beli makan pake uang, kalo Gak kerja uang dari mana? Pasti semua pusing cuma kalo kena covid lebih parah. Bisa jadi kalo Amit2 meninggal gimana? Sekarang semua patuhi prokes dan jangan takut vaksin pasti ini bisa lebih baik lagi</t>
  </si>
  <si>
    <t>Emang PPKM ini buat kita semua susah hidup, karena beli makan pake uang, kalo Gak kerja uang dari mana? Pasti semua pusing cuma kalo kena covid lebih parah. Bisa jadi kalo Amit2 meninggal gimana? Sekarang semua patuhi prokes dan jangan takut vaksin pasti ini bisa lebih baik lagi</t>
  </si>
  <si>
    <t>1 bln yg llu, cumn bisa liat km dan saat itu aku langsung jatuh cinta.
 Ada ksempatan kita bertemu, dan aku berusaha baik. Hingga ahirnya kamu merasa nyaman dan kita jatuh cinta.
 Dan udah ppkm km mau kuliah jauh, dan aku harus balik kampung :(
 Mudah datang, cepat hilang.</t>
  </si>
  <si>
    <t>bln yg llu, cumn bisa liat km dan saat itu aku langsung jatuh cinta.Ada ksempatan kita bertemu, dan aku berusaha baik. Hingga ahirnya kamu merasa nyaman dan kita jatuh cinta.Dan udah ppkm km mau kuliah jauh, dan aku harus balik kampung Mudah datang, cepat hilang.</t>
  </si>
  <si>
    <t>isinya timeline skarang toxic, bnyak oknum petugas yg arogan,semena2 dan ringan tangan di ppkm ini. namun skaligus hiburan ketika oknum tersebut sudah diserang habis2an oleh netizennn.. hiburan sekali wahahahaha</t>
  </si>
  <si>
    <t>@jeobinie Kayanya lagi ppkm jadi lamaa</t>
  </si>
  <si>
    <t>Kayanya lagi ppkm jadi lamaa</t>
  </si>
  <si>
    <t>ppkm 6 minggu? kita olahraga kali ye, biar glow ap</t>
  </si>
  <si>
    <t>ppkm minggu? kita olahraga kali ye, biar glow ap</t>
  </si>
  <si>
    <t>@thisbluemarie Abis ppkm mikro darurat waspada mendadak</t>
  </si>
  <si>
    <t>Abis ppkm mikro darurat waspada mendadak</t>
  </si>
  <si>
    <t>PPKM
 Pernah Pacaran Kemudian Mantanan 🤣🤣🤣</t>
  </si>
  <si>
    <t>PPKMPernah Pacaran Kemudian Mantanan</t>
  </si>
  <si>
    <t>Good Morning everyone
 Day 13 PPKM
 Hari ini mimpi nya aneh, berantem sama orang gara2 gangguin gue
 Senggol bacok wkwk
 Have a nice day</t>
  </si>
  <si>
    <t>Good Morning everyoneDay PPKMHari ini mimpi nya aneh, berantem sama orang gara2 gangguin gueSenggol bacok wkwkHave a nice day</t>
  </si>
  <si>
    <t>alkisah masa pandemi di suatu negeri..mekdi bikin kerumunan didenda 500rb dan tukang bubur jualan ditengah PPKM didenda 5jt..rakyat kecil mencari nafkah dibatasi, anak menteri berbahagia bulan madu ke luar negeri, rakyat mati saat isolasi mandiri, pejabat sakit minta diurusi..</t>
  </si>
  <si>
    <t>alkisah masa pandemi di suatu negeri..mekdi bikin kerumunan didenda rb dan tukang bubur jualan ditengah PPKM didenda jt..rakyat kecil mencari nafkah dibatasi, anak menteri berbahagia bulan madu ke luar negeri, rakyat mati saat isolasi mandiri, pejabat sakit minta diurusi..</t>
  </si>
  <si>
    <t>Masalah PPKM pasti bakalan beda pendapat, saya dan suami aja sah debat, karena menurut dia 'lha kamu enak dah ada gaji pokok, lha nek aku PPKM rego baha mundak, gawean sepi' 🥺
 Sik adang2 rejeki pemasukan /hari msti kroso banget</t>
  </si>
  <si>
    <t>Masalah PPKM pasti bakalan beda pendapat, saya dan suami aja sah debat, karena menurut dia 'lha kamu enak dah ada gaji pokok, lha nek aku PPKM rego baha mundak, gawean sepi' Sik adang2 rejeki pemasukan /hari msti kroso banget</t>
  </si>
  <si>
    <t>pemerintah getol ppkm, rakyatnya getol buat cari makan sehari-hari</t>
  </si>
  <si>
    <t>@Innayaputri72 PPKM... (pelan-pelan Kamu Mati)... 
 KEMATIAN PASTI TIBA... tapi ini Dibuat menjemput kematian...!!!</t>
  </si>
  <si>
    <t>PPKM... (pelan-pelan Kamu Mati)... KEMATIAN PASTI TIBA... tapi ini Dibuat menjemput kematian...!!!</t>
  </si>
  <si>
    <t>@HumasPoldaRiau Ditunggu segera PPKM di Riau, khususnya kota pekanbaru</t>
  </si>
  <si>
    <t>Ditunggu segera PPKM di Riau, khususnya kota pekanbaru</t>
  </si>
  <si>
    <t>@handokotjung PPKM perih pertama kali masuk</t>
  </si>
  <si>
    <t>PPKM perih pertama kali masuk</t>
  </si>
  <si>
    <t>PPKM ( Polisi Prindavan Kok Mukul ) https://t.co/qk6RY02FBg</t>
  </si>
  <si>
    <t>PPKM ( Polisi Prindavan Kok Mukul )</t>
  </si>
  <si>
    <t>#WaspadaProvokasiSaatPandemi
 di kediri dan kota2 lainnya marak flyer di WAG mengajak masyarakat utk DEMO ke balai kota menentang PPKM darurat
 memang berbagai cara akan dilakukan membuat kacau negara
 demi memaksakan ideologi mereka
 kita wajib waspada, lanjutkan saja antri vaksin https://t.co/0TxFaPbDNB</t>
  </si>
  <si>
    <t>kediri dan kota2 lainnya marak flyer di WAG mengajak masyarakat utk DEMO ke balai kota menentang PPKM daruratmemang berbagai cara akan dilakukan membuat kacau negarademi memaksakan ideologi merekakita wajib waspada, lanjutkan saja antri vaksin</t>
  </si>
  <si>
    <t>PPKM HANYA MENYENGSARAKAN RAKYAT, CARI REZEKI SUSAH!!!</t>
  </si>
  <si>
    <t>@worksfess Kalo tempatnya jauh dr rumah dan hampir keluar kota atau bahkan di luar kota ya aku bilang gabisa datang. Transportasi nya ribet kan, kalo ppkm. Nanti suruh nunjukin surat izin segala macam yg belum tentu kita punya segala</t>
  </si>
  <si>
    <t>Kalo tempatnya jauh dr rumah dan hampir keluar kota atau bahkan di luar kota ya aku bilang gabisa datang. Transportasi nya ribet kan, kalo ppkm. Nanti suruh nunjukin surat izin segala macam yg belum tentu kita punya segala</t>
  </si>
  <si>
    <t>@detikcom Waduhhhh jgn" yang nyebarin virus selama ppkm mereka lagi</t>
  </si>
  <si>
    <t>Waduhhhh jgn" yang nyebarin virus selama ppkm mereka lagi</t>
  </si>
  <si>
    <t>Kata Gubernur Jatim, PPKM Darurat ini dilakukan untuk menekan mobilitas masyarakat agar penyebaran virus juga bisa ditekan</t>
  </si>
  <si>
    <t>@veaadeeana Aturan PPKM Darurat begitu,saling gotong royong 🤭</t>
  </si>
  <si>
    <t>Aturan PPKM Darurat begitu,saling gotong royong</t>
  </si>
  <si>
    <t>Baca berita di berbagai daerah di Indonesia banyak satpol PP yg merazia pedagang. Perasaan dalam aturan PPKM ga ada larangan jualan deh. Ini Pemda suka inisiatif sendiri biar dibilang kerja.</t>
  </si>
  <si>
    <t>Efek PPKM Darurat, harusnya temenku hari ini menikah, tapi harus diundur 2 bulan, Kasihan tapi harus gimana lagi. Sabar ya bro. Semua akan halal pada waktunya.. .sP¥.</t>
  </si>
  <si>
    <t>Efek PPKM Darurat, harusnya temenku hari ini menikah, tapi harus diundur bulan, Kasihan tapi harus gimana lagi. Sabar ya bro. Semua akan halal pada waktunya.. .sP.</t>
  </si>
  <si>
    <t>ketaatan masyarakat menjalankan PPKM Darurat dan protokol kesehatan serta kesediaan mengikuti vaksinasi Cvd19, merupakan cerminan bela negara di masa pandemi. 
 -~setuju..ini betul... patuhi prokes dan di vaksin👍🏽
 #WaspadaProvokasiSaatPandemi
 https://t.co/uPHBSCkbOn</t>
  </si>
  <si>
    <t>ketaatan masyarakat menjalankan PPKM Darurat dan protokol kesehatan serta kesediaan mengikuti vaksinasi Cvd19, merupakan cerminan bela negara di masa pandemi. -~setuju..ini betul... patuhi prokes dan di vaksin://</t>
  </si>
  <si>
    <t>@MissRevolusi Micahel memang lagi kuliah lanjutan di Amerika. Tinggal di Amerika sekarang. Emang masalah Michael nemenin dimana? Yang masalah itu menteri2 Jokowi, seperti Luthfi, Bahlil, opung Luhut, Monoarfa ngapain lagi PPKM kesana?</t>
  </si>
  <si>
    <t>Micahel memang lagi kuliah lanjutan di Amerika. Tinggal di Amerika sekarang. Emang masalah Michael nemenin dimana? Yang masalah itu menteri2 Jokowi, seperti Luthfi, Bahlil, opung Luhut, Monoarfa ngapain lagi PPKM kesana?</t>
  </si>
  <si>
    <t>@a12un Variabel kepatuhan warga akan prokes mas.. saya aja gak yakin kasus skrg turun krn ppkm darurat ala pemerintah ini. 
 Tapi gini mas:
 Intinya saya jelas mendukung kebijakan lockdown yg baik. Kalo lockdown setengah2 kyk indonesia, mndg lepas aja, risikonya korban akan smakin byk</t>
  </si>
  <si>
    <t>Variabel kepatuhan warga akan prokes mas.. saya aja gak yakin kasus skrg turun krn ppkm darurat ala pemerintah ini. Tapi gini mas:Intinya saya jelas mendukung kebijakan lockdown yg baik. Kalo lockdown setengah2 kyk indonesia, mndg lepas aja, risikonya korban akan smakin byk</t>
  </si>
  <si>
    <t>temen gw siang ini bakal nyampe di smg, trs gw lupa beliin daster pesenan dia yg jumlahnya bejibun sebab dia bakal kerja di smg aduh beli dmn ini lg ppkm jalan ditutup smua 💔</t>
  </si>
  <si>
    <t>temen gw siang ini bakal nyampe di smg, trs gw lupa beliin daster pesenan dia yg jumlahnya bejibun sebab dia bakal kerja di smg aduh beli dmn ini lg ppkm jalan ditutup smua</t>
  </si>
  <si>
    <t>@nonhanamira Anggap aja PPKM itu masa lalu..jd buang aja di tong sampah</t>
  </si>
  <si>
    <t>Anggap aja PPKM itu masa lalu..jd buang aja di tong sampah</t>
  </si>
  <si>
    <t>Tapi kamu nggak tahu susahnya cari makan di waktu PPKM ini 🤣🤣 😡😡😡https://t.co/pPdGKyfVGj</t>
  </si>
  <si>
    <t>Tapi kamu nggak tahu susahnya cari makan di waktu PPKM ini</t>
  </si>
  <si>
    <t>Sabar ya nak habis ppkm ak jemput https://t.co/LhRmPhhiId</t>
  </si>
  <si>
    <t>Sabar ya nak habis ppkm ak jemput</t>
  </si>
  <si>
    <t>WHO tak paham dgn istilah PPKM.., 
 Mungkin dalam persepsi WHO PPKM : "Plongo plongo kapan mundur" https://t.co/deHPf1dA7r</t>
  </si>
  <si>
    <t>WHO tak paham dgn istilah PPKM.., Mungkin dalam persepsi WHO PPKM : "Plongo plongo kapan mundur"</t>
  </si>
  <si>
    <t>@detikcom Test pcr mahal mbahhh kung,. Mau makan aja susah ppkm truss.</t>
  </si>
  <si>
    <t>Test pcr mahal mbahhh kung,. Mau makan aja susah ppkm truss.</t>
  </si>
  <si>
    <t>PPKM terusssss wkwkwk https://t.co/hdWo675X1J</t>
  </si>
  <si>
    <t>PPKM terusssss wkwkwk</t>
  </si>
  <si>
    <t>Avenger lagi makan bareng saat PPKM. Harus panggil Tanos nih untuk bubarin. 😅😄 https://t.co/GYLJUHUDez</t>
  </si>
  <si>
    <t>Avenger lagi makan bareng saat PPKM. Harus panggil Tanos nih untuk bubarin.</t>
  </si>
  <si>
    <t>@ManiseWidiarti Dampak ekonomi karantina atau lockdown total dgn PPKM ini sama kok. Hanya prosesnya nya saja makin cepat atau lambat, krisis ekonomi. Lumpuhnya pelayanan masyarakat. Pailit satu per satu, nanti kebutuhan bisa jd langka dan susah, pabrik berhenti produksi, toko berhenti menjual??</t>
  </si>
  <si>
    <t>Dampak ekonomi karantina atau lockdown total dgn PPKM ini sama kok. Hanya prosesnya nya saja makin cepat atau lambat, krisis ekonomi. Lumpuhnya pelayanan masyarakat. Pailit satu per satu, nanti kebutuhan bisa jd langka dan susah, pabrik berhenti produksi, toko berhenti menjual??</t>
  </si>
  <si>
    <t>#presidenterburukdalamsejarah
 kapan ppkm selesai? kapan Corona ini selesai? 2 tahun belajar online bukannya ngerti malah makin bodoh.</t>
  </si>
  <si>
    <t>ppkm selesai? kapan Corona ini selesai? tahun belajar online bukannya ngerti malah makin bodoh.</t>
  </si>
  <si>
    <t>Semoga badai covid 19 akan segera berakhir, dan dapat mengakhiri mata rantai penyebarannya, PPKM Level yg dicanangkan pemerintah dapt menemui hasil yg maksimal. https://t.co/hUJyG3JTXB</t>
  </si>
  <si>
    <t>Semoga badai covid akan segera berakhir, dan dapat mengakhiri mata rantai penyebarannya, PPKM Level yg dicanangkan pemerintah dapt menemui hasil yg maksimal.</t>
  </si>
  <si>
    <t>PPKM implementasinya kok penyekatan, apalagi menjadi kesulitan bagi warga yang berkepentingan. Berimplikasi banyak keributan dan perdebatan, bahkan pembubaran paksa. Buat apa pula ada struktur pemerintahan dari Presiden sampai Kelurahan/Desa bahkan tingkat RT dan RW. Berdayakan.</t>
  </si>
  <si>
    <t>@dafina__ masih ppkm kak, pura-pura kangen mantan 🤭</t>
  </si>
  <si>
    <t>masih ppkm kak, pura-pura kangen mantan</t>
  </si>
  <si>
    <t>@bertanyarl daripada nongkrang nongkrong gajelas, lagi ppkm begini pula, ya mending masak masak lah, seru, bisa mam makanan enak, gmn siee🤔</t>
  </si>
  <si>
    <t>daripada nongkrang nongkrong gajelas, lagi ppkm begini pula, ya mending masak masak lah, seru, bisa mam makanan enak, gmn siee</t>
  </si>
  <si>
    <t>@yourbebigurl Enak bgt sih kalo bisa kumpul kebo sambil ppkm gini, wfh sambil wot</t>
  </si>
  <si>
    <t>Enak bgt sih kalo bisa kumpul kebo sambil ppkm gini, wfh sambil wot</t>
  </si>
  <si>
    <t>@inizendral Udah covid ketiban PPKM pula... kan stres jadinya mati...</t>
  </si>
  <si>
    <t>Udah covid ketiban PPKM pula... kan stres jadinya mati...</t>
  </si>
  <si>
    <t>setelah PPKM 20 sekian hari, asap taichan seminggu 3x jadi gak kliatan buruk2 bgt lah ya</t>
  </si>
  <si>
    <t>setelah PPKM sekian hari, asap taichan seminggu x jadi gak kliatan buruk2 bgt lah ya</t>
  </si>
  <si>
    <t>@aik_arif @mouldie_sep Sy Surabaya Dok, &amp;amp; efek PPKM hanya berasa ke aktifitas pekerja, bukan ke perilaku masyarakatnya. Jd gak heran kalau Sby ini punya potensi mengerikan.</t>
  </si>
  <si>
    <t>Sy Surabaya Dok, &amp;amp; efek PPKM hanya berasa ke aktifitas pekerja, bukan ke perilaku masyarakatnya. Jd gak heran kalau Sby ini punya potensi mengerikan.</t>
  </si>
  <si>
    <t>@KompasTV ppkm bikin ...tambah rakyat menangis dan terlalu banyak duka di hati kami</t>
  </si>
  <si>
    <t>ppkm bikin ...tambah rakyat menangis dan terlalu banyak duka di hati kami</t>
  </si>
  <si>
    <t>@babyduck_space @FWBESS Ppkm tah mas</t>
  </si>
  <si>
    <t>Ppkm tah mas</t>
  </si>
  <si>
    <t>#SalingBerbagiDimasaPandemi 
 Yuk ah, saling bantu, saling peduli, saling berbagi pada yg mmbutuhkan. PPKM dbuat tuk menekan laju virus. 
 Ayo bantu pemerintah menekan pnyebaran virus dgn patuhi PPKM https://t.co/j4fbaScf25</t>
  </si>
  <si>
    <t>Yuk ah, saling bantu, saling peduli, saling berbagi pada yg mmbutuhkan. PPKM dbuat tuk menekan laju virus. Ayo bantu pemerintah menekan pnyebaran virus dgn patuhi PPKM</t>
  </si>
  <si>
    <t>@Ira_Hamid16 Sudah kak..semoga angka corona bs ditekan yaa dgn PPKM ini</t>
  </si>
  <si>
    <t>Sudah kak..semoga angka corona bs ditekan yaa dgn PPKM ini</t>
  </si>
  <si>
    <t>Ppkm level 3-4, besok level pedas nampol.</t>
  </si>
  <si>
    <t>Ppkm level $NUMBER$, besok level pedas nampol.</t>
  </si>
  <si>
    <t>@ikannhiukecil PPKM bang</t>
  </si>
  <si>
    <t>PPKM bang</t>
  </si>
  <si>
    <t>@susipudjiastuti Bapak juga gak tau sulitnya masyarakat miskin mencari uang untuk makan sehari-hari karena kebijakan PPKM ini. SEHARUSNYA NEGARA MENANGGUNG EKONOMI MASYARAKAT MISKIN SELAMA PPKM. Jadi please stop berakting seperti hanya bapak saja yang pusing 👎</t>
  </si>
  <si>
    <t>Bapak juga gak tau sulitnya masyarakat miskin mencari uang untuk makan sehari-hari karena kebijakan PPKM ini. SEHARUSNYA NEGARA MENANGGUNG EKONOMI MASYARAKAT MISKIN SELAMA PPKM. Jadi please stop berakting seperti hanya bapak saja yang pusing</t>
  </si>
  <si>
    <t>Menurutmu ppkm bakal diperpanjang lagi ga cah?</t>
  </si>
  <si>
    <t>@OrisaOrisi @YRadianto Mau dulu dilockdown ataupun skrg dilockdown (PPKM darurat) sama aja buat lo2 pade pasti direcokin lagi. Krn tujuan lo2 pada kan kepengen rusuh bukannya membantu. Btw kalah 2x pilpres itu emang sakitnya masih terasa iyaa kan.</t>
  </si>
  <si>
    <t>Mau dulu dilockdown ataupun skrg dilockdown (PPKM darurat) sama aja buat lo2 pade pasti direcokin lagi. Krn tujuan lo2 pada kan kepengen rusuh bukannya membantu. Btw kalah x pilpres itu emang sakitnya masih terasa iyaa kan.</t>
  </si>
  <si>
    <t>Dengerin nih biar kenapa kita harus taat protokol kesehatan, dan turut membantu pemerintah dalam menangani pandemi dengan cara PPKM Darurat
 #KitaPercayaJokowi #PresidenBangunIndonesia #PPKMLevel4 #Jokowi https://t.co/V5i09nCwIG</t>
  </si>
  <si>
    <t>Dengerin nih biar kenapa kita harus taat protokol kesehatan, dan turut membantu pemerintah dalam menangani pandemi dengan cara PPKM Darurat</t>
  </si>
  <si>
    <t>@FWBESS Semarang gak ppkm to nder</t>
  </si>
  <si>
    <t>Semarang gak ppkm to nder</t>
  </si>
  <si>
    <t>Berikut chat cewek buat cowonya berdasarkan level PPKM.
 "Sayang lagi apa?" : PPKM Level 1
 "Lagi apa?" : PPKM level 2
 "Ping" : PPKM level 3
 "OH" : LOCKDOWN!</t>
  </si>
  <si>
    <t>Berikut chat cewek buat cowonya berdasarkan level PPKM."Sayang lagi apa?" : PPKM Level "Lagi apa?" : PPKM level "Ping" : PPKM level "OH" : LOCKDOWN!</t>
  </si>
  <si>
    <t>@m_newscom Ini yg tdk habis pikir rakyat.. keluar rumah tdk boleh...otomatis tdk bs mencari nafkah..apakah rakyat tdk perlu mkn? Dan negara tdk bs memenuhi 
 Pangan ...malah ada mentri saat ppkm ini..enjoy dgn menonton sinetron..tdkkah yakin dia akan hisab akherat ? Atau dia tdk meyakininya?</t>
  </si>
  <si>
    <t>Ini yg tdk habis pikir rakyat.. keluar rumah tdk boleh...otomatis tdk bs mencari nafkah..apakah rakyat tdk perlu mkn? Dan negara tdk bs memenuhi Pangan ...malah ada mentri saat ppkm ini..enjoy dgn menonton sinetron..tdkkah yakin dia akan hisab akherat ? Atau dia tdk meyakininya?</t>
  </si>
  <si>
    <t>ppkm kapan selesai 😭</t>
  </si>
  <si>
    <t>@jeonxjeka ppkm tutup ya</t>
  </si>
  <si>
    <t>ppkm tutup ya</t>
  </si>
  <si>
    <t>Ppkm hanya menyisakan kesengsaraan pd rakyat kecil, pukul, tendang dan penjara jd makanan sehari-hari seperti hdp di jaman penjajahan kolonial hrs segera di ubah cara penghukuman pd pelanggar ppkm jgn salahkan rakyat jika bnyk demo anti ppkm https://t.co/2ciGYtEnYM</t>
  </si>
  <si>
    <t>Ppkm hanya menyisakan kesengsaraan pd rakyat kecil, pukul, tendang dan penjara jd makanan sehari-hari seperti hdp di jaman penjajahan kolonial hrs segera di ubah cara penghukuman pd pelanggar ppkm jgn salahkan rakyat jika bnyk demo anti ppkm</t>
  </si>
  <si>
    <t>@jodumeeh Mari mas jojo setelah ppkm 😁</t>
  </si>
  <si>
    <t>Mari mas jojo setelah ppkm</t>
  </si>
  <si>
    <t>@idnkeras Katanya harus jaga jarak dan taati PPKM.lalu kenapa bergerombolan dalam jumlah yang besar malah diperbolehkan😌</t>
  </si>
  <si>
    <t>Katanya harus jaga jarak dan taati PPKM.lalu kenapa bergerombolan dalam jumlah yang besar malah diperbolehkan</t>
  </si>
  <si>
    <t>Suka ppkm tanpa pp</t>
  </si>
  <si>
    <t>@uwulogi Msh PPKM, blm vaksin juga jd gak bisa naik pesawat, hrs PCR pula masuk Bali🥲</t>
  </si>
  <si>
    <t>Msh PPKM, blm vaksin juga jd gak bisa naik pesawat, hrs PCR pula masuk Bali</t>
  </si>
  <si>
    <t>KEPO PAS PPKM:( https://t.co/HdQRPSUuYu https://t.co/KFJUQVcZbp</t>
  </si>
  <si>
    <t>KEPO PAS PPKM</t>
  </si>
  <si>
    <t>#SalingBerbagiDimasaPandemi
 Bantu warga terdampak PPKM Darurat
 https://t.co/NFj4WgGOVo</t>
  </si>
  <si>
    <t>warga terdampak PPKM Darurat</t>
  </si>
  <si>
    <t>#SalingBerbagiDimasaPandemi
 Ribuan masker dan vitamin dibagikan di Malang Raya, Gerakan ini merupakan kepedulian terhadap warga terdampak PPKM Darurat.
 Relawan juga membagikan ratusan nasi bungkus dan hand sanitizer. 
 @jokowi lawan pandemi
 https://t.co/CYkyyZycD9</t>
  </si>
  <si>
    <t>masker dan vitamin dibagikan di Malang Raya, Gerakan ini merupakan kepedulian terhadap warga terdampak PPKM Darurat.Relawan juga membagikan ratusan nasi bungkus dan hand sanitizer. lawan pandemi</t>
  </si>
  <si>
    <t>Kebijakan pemerintah dengan memberlakukan PPKM Darurat merupakan upaya untuk menekan penularan, pastinya berdampak pada masyarakat, Memang benar pemerintah jg memberi bansos. 
 Yuk mari #SalingBerbagiDimasaPandemi https://t.co/28EzWCqNXl</t>
  </si>
  <si>
    <t>Kebijakan pemerintah dengan memberlakukan PPKM Darurat merupakan upaya untuk menekan penularan, pastinya berdampak pada masyarakat, Memang benar pemerintah jg memberi bansos. Yuk mari</t>
  </si>
  <si>
    <t>@penambahimun akhir" ini capek, semua complicated, gatau nyelesainnya darimana. mau cerita ke orang, juga paling dapet sabar doang. pengen dipeluk, trs nangis sejadi" nya. capek. ditambah lagi ppkm. stress di rumah. dan setiap ada masalah, selalu lari. selalu ngalihin sama hal yg ngebuat-</t>
  </si>
  <si>
    <t>akhir" ini capek, semua complicated, gatau nyelesainnya darimana. mau cerita ke orang, juga paling dapet sabar doang. pengen dipeluk, trs nangis sejadi" nya. capek. ditambah lagi ppkm. stress di rumah. dan setiap ada masalah, selalu lari. selalu ngalihin sama hal yg ngebuat-</t>
  </si>
  <si>
    <t>@frhan_bp Iya.. efek ppkm mah apa" kudu onlen</t>
  </si>
  <si>
    <t>Iya.. efek ppkm mah apa" kudu onlen</t>
  </si>
  <si>
    <t>@VICE_ID Buat apa kl #ppkm diperpanjang lagi?</t>
  </si>
  <si>
    <t>Buat apa kl diperpanjang lagi?</t>
  </si>
  <si>
    <t>Ini apa bener ya..PPKM luar Jawa Bali diperpanjang sampai 8 Agustus...??? https://t.co/Wp97wOpG7h</t>
  </si>
  <si>
    <t>Ini apa bener ya..PPKM luar Jawa Bali diperpanjang sampai Agustus...???</t>
  </si>
  <si>
    <t>Ayo kita membantu pemerintah dalam mengatasi Pandemi Covid-19 dengan mematuhi aturan PPKM serta menjalankan Prokes 6M.Semesta Mendukung Jokowi https://t.co/PsML6Rm7hp</t>
  </si>
  <si>
    <t>Ayo kita membantu pemerintah dalam mengatasi Pandemi Covid-19 dengan mematuhi aturan PPKM serta menjalankan Prokes M.Semesta Mendukung Jokowi</t>
  </si>
  <si>
    <t>nerima turis china disaat lonjakan kasus china lagi tinggi, psbb, promosi wisata, nerima turis india ketika varian delta lagi ganas di india, dan ppkm tuh metode ilmiah dari ekonom apa orang kesehatan? para epidemiolog didengerin ga? https://t.co/oskWHoHQKc</t>
  </si>
  <si>
    <t>nerima turis china disaat lonjakan kasus china lagi tinggi, psbb, promosi wisata, nerima turis india ketika varian delta lagi ganas di india, dan ppkm tuh metode ilmiah dari ekonom apa orang kesehatan? para epidemiolog didengerin ga?</t>
  </si>
  <si>
    <t>@Nicho_Silalahi Mau apapun namanya ketika pelaksanaan yang sudah sesuai dengan UU yang berlaku maka sudah seharusnya pemerintah wajib melakukan. ppkm psbb ppkm darurat ppkm level 4 tujuan nya adalah karantina wilayah tetep aja sama. bukan pengertian tekstual nya tapi tujuan nya.</t>
  </si>
  <si>
    <t>Mau apapun namanya ketika pelaksanaan yang sudah sesuai dengan UU yang berlaku maka sudah seharusnya pemerintah wajib melakukan. ppkm psbb ppkm darurat ppkm level tujuan nya adalah karantina wilayah tetep aja sama. bukan pengertian tekstual nya tapi tujuan nya.</t>
  </si>
  <si>
    <t>@collegemenfess aku sempet kepikiran ginii kemarin pas sempro, mana lagi ppkm pasti sepi bgt, tp gajadi krn ga terlalu yakinnn huaa, jadinya di rumah temen yg ada wifinya</t>
  </si>
  <si>
    <t>aku sempet kepikiran ginii kemarin pas sempro, mana lagi ppkm pasti sepi bgt, tp gajadi krn ga terlalu yakinnn huaa, jadinya di rumah temen yg ada wifinya</t>
  </si>
  <si>
    <t>@Kanayal3 Ooh yg deket Jonas itu yah Kak? Ok siap nanti selesai ppkm mau coba kesana turun gunung kekota,skr masih ada pos penyekatan di ledeng🤭😁 Hanupis infonya😊🙏</t>
  </si>
  <si>
    <t>Ooh yg deket Jonas itu yah Kak? Ok siap nanti selesai ppkm mau coba kesana turun gunung kekota,skr masih ada pos penyekatan di ledeng Hanupis infonya</t>
  </si>
  <si>
    <t>beberapa hari lalu mimpi liat berita kalau ada suatu daerah yang memperpanjang ppkm sampai bulan Desember 
 wagelaseh mimpi macam apa itu</t>
  </si>
  <si>
    <t>beberapa hari lalu mimpi liat berita kalau ada suatu daerah yang memperpanjang ppkm sampai bulan Desember wagelaseh mimpi macam apa itu</t>
  </si>
  <si>
    <t>@FOODFESS2 Kalau ppkm selesai pingin pulang ke Semarang huhu rindu banget udah 9th gak pulang😭</t>
  </si>
  <si>
    <t>Kalau ppkm selesai pingin pulang ke Semarang huhu rindu banget udah th gak pulang</t>
  </si>
  <si>
    <t>ppkm : pernah pacaran kemudian menghilang 👻</t>
  </si>
  <si>
    <t>ppkm : pernah pacaran kemudian menghilang</t>
  </si>
  <si>
    <t>Wah hari terakhir ppkm</t>
  </si>
  <si>
    <t>Yang bisa WFH apalagi Work From Bali ndak usahlah sinis sama mereka yang masih jualan dan usaha di masa PPKM level 4 ini. Apalagi teriak-teriak “prokes” ke mereka.</t>
  </si>
  <si>
    <t>Yang bisa WFH apalagi Work From Bali ndak usahlah sinis sama mereka yang masih jualan dan usaha di masa PPKM level ini. Apalagi teriak-teriak prokes ke mereka.</t>
  </si>
  <si>
    <t>@KangAsepr @kompascom Demo tolak PPKM kan urusan perut. Kalau pelaksanaan di lapangan ndak jelas pasti rusuh. Politikus ...liat sikon, jika sporadis otomatis mereka manfaatin diawali dgn pengkhianatan orang² sekelilingnya. Demo ditangani dgn bener jangan dgn pola pikir orba nuduh macem²</t>
  </si>
  <si>
    <t>Demo tolak PPKM kan urusan perut. Kalau pelaksanaan di lapangan ndak jelas pasti rusuh. Politikus ...liat sikon, jika sporadis otomatis mereka manfaatin diawali dgn pengkhianatan orang sekelilingnya. Demo ditangani dgn bener jangan dgn pola pikir orba nuduh macem</t>
  </si>
  <si>
    <t>@VIVAcoid PPKM tetap yang terbaik saat ini, kebutuhan pasti akan dibantu pemda nya..</t>
  </si>
  <si>
    <t>PPKM tetap yang terbaik saat ini, kebutuhan pasti akan dibantu pemda nya..</t>
  </si>
  <si>
    <t>@gaga10740908 Haha bisa pagi siang sore, ppkm kan jam 6 sore ke bawah</t>
  </si>
  <si>
    <t>Haha bisa pagi siang sore, ppkm kan jam sore ke bawah</t>
  </si>
  <si>
    <t>Seharusnya, pagi ini sedang menikmati indahnya sunrise dan mungkin ditemani segelas kopi pagi untuk menghangatkan tubuh melawan dinginnya Bromo 😌
 Namun semua terhalangi oleh PPKM.
 Terimakasih PPKM 🙃</t>
  </si>
  <si>
    <t>Seharusnya, pagi ini sedang menikmati indahnya sunrise dan mungkin ditemani segelas kopi pagi untuk menghangatkan tubuh melawan dinginnya Bromo Namun semua terhalangi oleh PPKM.Terimakasih PPKM</t>
  </si>
  <si>
    <t>@Samiyanto9 @Donto82341972 Tetap Optimis taat prokes dan PPKM corona akan berlalu dan tetap jaga kesehatan</t>
  </si>
  <si>
    <t>Tetap Optimis taat prokes dan PPKM corona akan berlalu dan tetap jaga kesehatan</t>
  </si>
  <si>
    <t>Ppkm hari ini diperpanjang ga yaaa huhu</t>
  </si>
  <si>
    <t>Cepat berlalu ppkm.. Udah ga sabar nih aing 😢😢</t>
  </si>
  <si>
    <t>Cepat berlalu ppkm.. Udah ga sabar nih aing</t>
  </si>
  <si>
    <t>PPKM= Pelan-pelan Kamu Menghilang....</t>
  </si>
  <si>
    <t>Mimpi lagi nonton konser terus dirazia PPKM dong dan akhirnya lari-lari sampe ke sawah-sawah 😭 Capek banget gue bangun-bangun 😭</t>
  </si>
  <si>
    <t>Mimpi lagi nonton konser terus dirazia PPKM dong dan akhirnya lari-lari sampe ke sawah-sawah Capek banget gue bangun-bangun</t>
  </si>
  <si>
    <t>selamat pagi, happy weekend guys, mari kita lanjut tidur 🤣
 Besok udah ga ppkm kan? bosen nih 3 minggu dirumah ga produktif 🤭</t>
  </si>
  <si>
    <t>selamat pagi, happy weekend guys, mari kita lanjut tidur Besok udah ga ppkm kan? bosen nih minggu dirumah ga produktif</t>
  </si>
  <si>
    <t>@jokowi Ppkm si ppkm tapi kenapa lampu jalan pas malam pada di padamkan pak kurang efektif,gk semua jalan indonesia itu baik banyak yang bergelombang di sini</t>
  </si>
  <si>
    <t>Ppkm si ppkm tapi kenapa lampu jalan pas malam pada di padamkan pak kurang efektif,gk semua jalan indonesia itu baik banyak yang bergelombang di sini</t>
  </si>
  <si>
    <t>sebelum ppkm harini mau nyari seblakkk mau makan ditempat 😭</t>
  </si>
  <si>
    <t>sebelum ppkm harini mau nyari seblakkk mau makan ditempat</t>
  </si>
  <si>
    <t>PPKM -Percaya Pertolongan Kristus Menyertaimu ew😇</t>
  </si>
  <si>
    <t>PPKM -Percaya Pertolongan Kristus Menyertaimu ew</t>
  </si>
  <si>
    <t>Wahai YTH ...
 @DPR_RI
 @mprgoid
 @jokowi
 @mohmahfudmd
 Jngan pura2 tuli kalen dgn suara rakyat bawah......
 Hentikan drama PPKM yg tdk menjamin rakyat makmur ....
 Kalian² di gaji dgn uang rakyat tdk sepantasnya kalen menyusahkan rakyat....
 Jangan pura² Buta &amp;amp; Tuli kalian...!! https://t.co/vOofpJLwqX</t>
  </si>
  <si>
    <t>Wahai YTH ... pura2 tuli kalen dgn suara rakyat bawah......Hentikan drama PPKM yg tdk menjamin rakyat makmur ....Kalian di gaji dgn uang rakyat tdk sepantasnya kalen menyusahkan rakyat....Jangan pura Buta &amp;amp; Tuli kalian...!!</t>
  </si>
  <si>
    <t>@azizatulauliaa Sepanjang jalan A. Yani masih ramai,
 Infonya tgl 26 sdah PPKM Level 4.
 Mudhn2 semua baik2 sj</t>
  </si>
  <si>
    <t>Sepanjang jalan A. Yani masih ramai,Infonya tgl sdah PPKM Level .Mudhn2 semua baik2 sj</t>
  </si>
  <si>
    <t>@03Kembara Masik Ppkm pak. Nanti aku di denda pemerentah :(</t>
  </si>
  <si>
    <t>Masik Ppkm pak. Nanti aku di denda pemerentah</t>
  </si>
  <si>
    <t>Hebat bgt ppkm ini aku keluar nek ada kepentingan doang, kek kmrn ke bates cuman nengokin rumah. Terus malemnya beli kebab itu juga dibawa pulang. Ah sptnya skrng aku udah hebat dalam menahan nafsu</t>
  </si>
  <si>
    <t>overherd Indomart convo
 Agen Yakult: *masuk bawa stok yakult baru
 Mba kasir: dikit amat bang
 Agen Yakult: iya ni lg PPKM, Pelan Pelan Kita Mati.
 Ngoghey..</t>
  </si>
  <si>
    <t>overherd Indomart convo Agen Yakult: *masuk bawa stok yakult baruMba kasir: dikit amat bangAgen Yakult: iya ni lg PPKM, Pelan Pelan Kita Mati.Ngoghey..</t>
  </si>
  <si>
    <t>PPKM Darurat Diperpanjang, Rakyat Menjerit".
 https://t.co/IhykSAzkN4</t>
  </si>
  <si>
    <t>PPKM Darurat Diperpanjang, Rakyat Menjerit".</t>
  </si>
  <si>
    <t>ppkm di perpanjang lagi?</t>
  </si>
  <si>
    <t>@luviku asemka gak keliatan skrg
 kan lagi PPKM level 4 🤭</t>
  </si>
  <si>
    <t>asemka gak keliatan skrgkan lagi PPKM level</t>
  </si>
  <si>
    <t>@jokowi Mau PSBB, PPKM, PPKM mikro, PPKM level 4, PPKM level pedes gila, pedes mampus, pedes guling2. Implikasinya apa sih? perasaan sepanjang cireundeu raya tetep macet aja</t>
  </si>
  <si>
    <t>Mau PSBB, PPKM, PPKM mikro, PPKM level , PPKM level pedes gila, pedes mampus, pedes guling2. Implikasinya apa sih? perasaan sepanjang cireundeu raya tetep macet aja</t>
  </si>
  <si>
    <t>@cloudyxsea @Sunda_Fess Nanti ya dah ppkm beres</t>
  </si>
  <si>
    <t>Nanti ya dah ppkm beres</t>
  </si>
  <si>
    <t>Jadi PPKM lagi nih ?</t>
  </si>
  <si>
    <t>Hr pertama perpanjangan PPKM dan tol macet..</t>
  </si>
  <si>
    <t>@afrkml awalnya mageran buat olahraga, tp makin sadar badan makin melebar dan kegiatan selama ppkm kl ga tidur, makan, repeat. Jadinya skrg alhamdulillah tiap bgn tdr pasti olahraga tipis tipis, sore workout HIIT lg🙏
 yg msh blm bisa diubah itu durasi tidur msh 4 jam blm bisa 7-8 jam:(</t>
  </si>
  <si>
    <t>awalnya mageran buat olahraga, tp makin sadar badan makin melebar dan kegiatan selama ppkm kl ga tidur, makan, repeat. Jadinya skrg alhamdulillah tiap bgn tdr pasti olahraga tipis tipis, sore workout HIIT lgyg msh blm bisa diubah itu durasi tidur msh jam blm bisa $NUMBER$ jam</t>
  </si>
  <si>
    <t>@AREAJULID seblak deket rumah kalah sama ppkm udah level 4 aja</t>
  </si>
  <si>
    <t>seblak deket rumah kalah sama ppkm udah level aja</t>
  </si>
  <si>
    <t>@Persuasi_id Poin ke 20, ada kata2 pembatasan berakhir apabila tercapai 5 parameter dalam 23minggu berturut, artinya akhir tahun baru ppkm berakhir https://t.co/k55VLp59j2</t>
  </si>
  <si>
    <t>Poin ke , ada kata2 pembatasan berakhir apabila tercapai parameter dalam minggu berturut, artinya akhir tahun baru ppkm berakhir</t>
  </si>
  <si>
    <t>Hari ppkm lagi kerja di rimah aja blm boleh ke kator dulu hari ya semua met pagi ya</t>
  </si>
  <si>
    <t>Ppkm diperpanjang cuma bikin masyarakat pada gelisah gak tenang malah imun turun:)</t>
  </si>
  <si>
    <t>Ppkm diperpanjang cuma bikin masyarakat pada gelisah gak tenang malah imun turun</t>
  </si>
  <si>
    <t>mantab PPKM di perpanjang...makin WFH deh ah</t>
  </si>
  <si>
    <t>Kalo ppkm diperpanjang ni nasib buku ku yaapa 😭😭😭 
 Tokonya blom anter alasannya karna ppkm 😭😭</t>
  </si>
  <si>
    <t>Kalo ppkm diperpanjang ni nasib buku ku yaapa Tokonya blom anter alasannya karna ppkm</t>
  </si>
  <si>
    <t>@AvocadoPokat Harus ttp walau ppkm</t>
  </si>
  <si>
    <t>Harus ttp walau ppkm</t>
  </si>
  <si>
    <t>@ervhmwn Beres ppkm gas kitaaaaa</t>
  </si>
  <si>
    <t>Beres ppkm gas kitaaaaa</t>
  </si>
  <si>
    <t>Ppkm di perpanjang makin susah aja gw pdkt🙄</t>
  </si>
  <si>
    <t>Ppkm di perpanjang makin susah aja gw pdkt</t>
  </si>
  <si>
    <t>PPKM membuat orang sampai beralih profesi jadi maling jemuran.</t>
  </si>
  <si>
    <t>Btw, ada yang bisa jelasin ke me soal ppkm tidaaakk?</t>
  </si>
  <si>
    <t>Kayaknya masih PPKM level 4 sampai akhir Agustus. Itu paling cepat.</t>
  </si>
  <si>
    <t>Kayaknya masih PPKM level sampai akhir Agustus. Itu paling cepat.</t>
  </si>
  <si>
    <t>PPKM berjilid ditmbah sampai 2 agustus gaesss, ayo siap2 kita tetap bekerja melayani indonesia. Semangat !!! Gausah iri sama yg WFH karena WFH juga kerjanya 24 jam 😌</t>
  </si>
  <si>
    <t>PPKM berjilid ditmbah sampai agustus gaesss, ayo siap2 kita tetap bekerja melayani indonesia. Semangat !!! Gausah iri sama yg WFH karena WFH juga kerjanya jam</t>
  </si>
  <si>
    <t>Ini level ppkm udah kek level geprek aja :"</t>
  </si>
  <si>
    <t>sebenernya emang ini tuh aneh bgt, PPKM diperpanjang bikin mumet parah. tapi kalo banyak yg kena covid, lebih parah juga. sebagai penyintas covid, yg lagi was was karena takut gejala long post covid, jadi ngerasa emang bener kita harus jaga prokes.</t>
  </si>
  <si>
    <t>Ppkm rasa janji bakal lunasin hutang..</t>
  </si>
  <si>
    <t>PPKM level 4 setara dengan Bon cabe level berapa ?</t>
  </si>
  <si>
    <t>PPKM level setara dengan Bon cabe level berapa ?</t>
  </si>
  <si>
    <t>Bagaimanapun, ppkm ini lebih longgar dr sebelumnya. Bbrpa sektor ekonomi sdh bs aktivitas, sy rs ini langkah penting selain konsen kesehatan tentunya. 
 Mari kt bntu pmrintah dg protokol kesehatan dan vaksin jk ada kesempatan</t>
  </si>
  <si>
    <t>Bagaimanapun, ppkm ini lebih longgar dr sebelumnya. Bbrpa sektor ekonomi sdh bs aktivitas, sy rs ini langkah penting selain konsen kesehatan tentunya. Mari kt bntu pmrintah dg protokol kesehatan dan vaksin jk ada kesempatan</t>
  </si>
  <si>
    <t>PPKM di perpanjang.. Bagi yang ga dapet gaji bulanan pasti cari cara survive sampe agustus nanti.
 Mau ga mau, suka ga suka, harus BERADAPTASI mencari SOLUSI. Dulu dinosaurus aja PUNAH akibat tidak dapat beradaptasi dengan PERUBAHAN. Masa manusia indo punah juga akibat PPKM?</t>
  </si>
  <si>
    <t>PPKM di perpanjang.. Bagi yang ga dapet gaji bulanan pasti cari cara survive sampe agustus nanti.Mau ga mau, suka ga suka, harus BERADAPTASI mencari SOLUSI. Dulu dinosaurus aja PUNAH akibat tidak dapat beradaptasi dengan PERUBAHAN. Masa manusia indo punah juga akibat PPKM?</t>
  </si>
  <si>
    <t>@PT_Transjakarta min, PPKM 4 yg baru ini bgmn ketentuan buat penumpang ya, apa ada perubahan</t>
  </si>
  <si>
    <t>min, PPKM yg baru ini bgmn ketentuan buat penumpang ya, apa ada perubahan</t>
  </si>
  <si>
    <t>@aangelicdem0n kesel bgt gailang2 abisnya mana ppkm diperpanjang🙂</t>
  </si>
  <si>
    <t>kesel bgt gailang2 abisnya mana ppkm diperpanjang</t>
  </si>
  <si>
    <t>Have a good Monday morning, Selamat menerapkan PPKM (pelan pelan kita mati) Yg diperpanjang sampe entah kapan! On the lighter note I will be uploading how to make an easy curry paste recipe today 🥘🥘🥘 https://t.co/s5lOGdf0CN</t>
  </si>
  <si>
    <t>Have a good Monday morning, Selamat menerapkan PPKM (pelan pelan kita mati) Yg diperpanjang sampe entah kapan! On the lighter note I will be uploading how to make an easy curry paste recipe today</t>
  </si>
  <si>
    <t>setelah tanggal 2 agustus, biasanya akan ada ppkm lanjutan with another name https://t.co/kmakOqMAmL</t>
  </si>
  <si>
    <t>setelah tanggal agustus, biasanya akan ada ppkm lanjutan with another name</t>
  </si>
  <si>
    <t>Gue aman² aja sama konsep psbb atau ppkm atau apalah nnti sebutannya.
 Gue cuma kesel aja kalo kebijakannya setengah² dan berujung diperpanjang², itu bikin kesel. Coba dari awal lgsg bilang 1 bulan, masyarakat kan jg mau gak mau ngikut aturan yg berlaku.
 Eh gak semua jg sih.</t>
  </si>
  <si>
    <t>Gue aman aja sama konsep psbb atau ppkm atau apalah nnti sebutannya.Gue cuma kesel aja kalo kebijakannya setengah dan berujung diperpanjang, itu bikin kesel. Coba dari awal lgsg bilang bulan, masyarakat kan jg mau gak mau ngikut aturan yg berlaku.Eh gak semua jg sih.</t>
  </si>
  <si>
    <t>Karena PPKM ya Bri 👍🤣 https://t.co/TrSOwae4Cr</t>
  </si>
  <si>
    <t>Karena PPKM ya Bri</t>
  </si>
  <si>
    <t>Aku suka ppkm</t>
  </si>
  <si>
    <t>Perpanjangan ppkm tuh ngurus sendiri apa pake calo ya ?</t>
  </si>
  <si>
    <t>@jollee__ Suka canda tuh ppkm</t>
  </si>
  <si>
    <t>Suka canda tuh ppkm</t>
  </si>
  <si>
    <t>@wakandajawa @asarochi Tapi blundernya kalau ada pelanggaran ppkm dihukum pakai UU Karantina Wilayah, sedangkan penerapan ppkm enggak mau pakai UU Karantina Wilayah</t>
  </si>
  <si>
    <t>Tapi blundernya kalau ada pelanggaran ppkm dihukum pakai UU Karantina Wilayah, sedangkan penerapan ppkm enggak mau pakai UU Karantina Wilayah</t>
  </si>
  <si>
    <t>Selamat pagi dek @N_AraJKT48 dan @Y_ChikaJKT48 semoga hari ini menyenangkan, semangat menjalani aktivitas meskipun ppkm di perpanjang, tetap jaga kesehatan yaa, jangan lupa minum air putih dan vitaminnya 🥰🥰</t>
  </si>
  <si>
    <t>Selamat pagi dek dan semoga hari ini menyenangkan, semangat menjalani aktivitas meskipun ppkm di perpanjang, tetap jaga kesehatan yaa, jangan lupa minum air putih dan vitaminnya</t>
  </si>
  <si>
    <t>@fadlizon PPKM pembatasan pergerakan ke mahasiswa an</t>
  </si>
  <si>
    <t>PPKM pembatasan pergerakan ke mahasiswa an</t>
  </si>
  <si>
    <t>@pocomgggg Nnti beres ppkm nikah wkwk</t>
  </si>
  <si>
    <t>Nnti beres ppkm nikah wkwk</t>
  </si>
  <si>
    <t>PPKM diperpanjang 
 PPKM
 Pelan-Pelan Ku Mati🥺😭</t>
  </si>
  <si>
    <t>PPKM diperpanjang PPKMPelan-Pelan Ku Mati</t>
  </si>
  <si>
    <t>ppkm diperpanjang kpn aku masuk kerjanya.</t>
  </si>
  <si>
    <t>@jenjkt Iya kemaren aku baca beritanya beb 😌 ppkm oh ppkm</t>
  </si>
  <si>
    <t>Iya kemaren aku baca beritanya beb ppkm oh ppkm</t>
  </si>
  <si>
    <t>entah sampai kapan PPKM di perpanjang</t>
  </si>
  <si>
    <t>PPKM LEVEL 4 DI PERPANJANG TEKAN AGUSTUS
 SAK KAREPMU, SAK SENENGMU</t>
  </si>
  <si>
    <t>PPKM LEVEL DI PERPANJANG TEKAN AGUSTUSSAK KAREPMU, SAK SENENGMU</t>
  </si>
  <si>
    <t>Ppkm angka menurun, karena angka test juga nurun? wkwkwkwkwkwk</t>
  </si>
  <si>
    <t>@jokowi alhmdllh pa kalo di perpanjang tapi dengan syarat :
 1.bayarin kontrakan saya 
 2.kasih uang dapur ke istri saya
 3.biaya in kami buat makan selama PPKM
 4.LISTRIK tolong di tanggung
 5.air tolong bayarin slma PPKM
 6.tlg tanggng jwb kash kita krja stlh PPKM,krn slma PPKM kita ssh krj</t>
  </si>
  <si>
    <t>alhmdllh pa kalo di perpanjang tapi dengan syarat :1.bayarin kontrakan saya .kasih uang dapur ke istri saya3.biaya in kami buat makan selama PPKM4.LISTRIK tolong di tanggung5.air tolong bayarin slma PPKM6.tlg tanggng jwb kash kita krja stlh PPKM,krn slma PPKM kita ssh krj</t>
  </si>
  <si>
    <t>PPKM di perpanjang nich wkwkw</t>
  </si>
  <si>
    <t>serem gk sie disuruh ppkm mulu tp kgk diberi makan..</t>
  </si>
  <si>
    <t>@mylovelyb33 Blm PPKM Darurat😂</t>
  </si>
  <si>
    <t>Blm PPKM Darurat</t>
  </si>
  <si>
    <t>Siapa yang ppkm ke kampus?? Ya tentu aja gua 😁🤝</t>
  </si>
  <si>
    <t>Siapa yang ppkm ke kampus?? Ya tentu aja gua</t>
  </si>
  <si>
    <t>@Arisguding Enggak. Aq minggu libur karang.
 Masih PPKM mau kemana cobak</t>
  </si>
  <si>
    <t>Enggak. Aq minggu libur karang.Masih PPKM mau kemana cobak</t>
  </si>
  <si>
    <t>@9itmr @TanGerungs Hebatt ya pandemi ini, yg katanya pasien virus bisa nongky sambil jajan bakso, ada yg joget2 juga di tiktok. 
 Sementara yg sehat dipaksa ribet dan sengsara oleh aturan PPKM.</t>
  </si>
  <si>
    <t>Hebatt ya pandemi ini, yg katanya pasien virus bisa nongky sambil jajan bakso, ada yg joget2 juga di tiktok. Sementara yg sehat dipaksa ribet dan sengsara oleh aturan PPKM.</t>
  </si>
  <si>
    <t>Semoga jadi😭aku lagi setres banget mau staycasion tapi ppkm</t>
  </si>
  <si>
    <t>Semoga jadiaku lagi setres banget mau staycasion tapi ppkm</t>
  </si>
  <si>
    <t>ppkm cepet selese yuk, mau ke bandung dari 2020 ga jadi jadi 😭</t>
  </si>
  <si>
    <t>ppkm cepet selese yuk, mau ke bandung dari ga jadi jadi</t>
  </si>
  <si>
    <t>Di perpanjang lagi ppkm sampe 2 Agustus,mudah2n ada perubahan dan bst cepet turun ,berharga banget.apalagi klo dapet bantuan buat usaha,</t>
  </si>
  <si>
    <t>Di perpanjang lagi ppkm sampe Agustus,mudah2n ada perubahan dan bst cepet turun ,berharga banget.apalagi klo dapet bantuan buat usaha,</t>
  </si>
  <si>
    <t>@JSuhaim Kita sukseskan PPKM</t>
  </si>
  <si>
    <t>Kita sukseskan PPKM</t>
  </si>
  <si>
    <t>Saat ini penanganan covid19 terkesan berantakan + ngawur, apakah pemerintah tdk bisa berpikir lebih jernih? Atasi akar dari pelanggaran2 yg terjadi yakni rakyat harus DIKASIH MAKAN CUKUP selama ppkm tanpa harus keluar rumah. Berikan 3jt/KK.
 https://t.co/dxaOSyg9Co</t>
  </si>
  <si>
    <t>Saat ini penanganan covid19 terkesan berantakan + ngawur, apakah pemerintah tdk bisa berpikir lebih jernih? Atasi akar dari pelanggaran2 yg terjadi yakni rakyat harus DIKASIH MAKAN CUKUP selama ppkm tanpa harus keluar rumah. Berikan jt/KK.</t>
  </si>
  <si>
    <t>Yang pas PSBB Masih bersama
 Pas PPKM udah ganti orang, mana suaranya😕</t>
  </si>
  <si>
    <t>Yang pas PSBB Masih bersamaPas PPKM udah ganti orang, mana suaranya</t>
  </si>
  <si>
    <t>@abi_sasaLL Bantu PPKM</t>
  </si>
  <si>
    <t>Bantu PPKM</t>
  </si>
  <si>
    <t>@marlina_idha @msaid_didu iya bu, tapi jangan terlalu percaya diri dulu, bisa aja karena efek ppkm kan bu?</t>
  </si>
  <si>
    <t>iya bu, tapi jangan terlalu percaya diri dulu, bisa aja karena efek ppkm kan bu?</t>
  </si>
  <si>
    <t>@devillynnn Ayookkk
 Tapi nunggu PPKM kelar 🙃</t>
  </si>
  <si>
    <t>AyookkkTapi nunggu PPKM kelar</t>
  </si>
  <si>
    <t>@Babbyziee Ppkm masih berlanjut. Jd Belum tau sampai kapan 😭</t>
  </si>
  <si>
    <t>Ppkm masih berlanjut. Jd Belum tau sampai kapan</t>
  </si>
  <si>
    <t>@daniaku7 Senang banget kalau PPKM level 4 bisa buka usaha lagi nih tetanggaku walau ada jam operasionalnya ya</t>
  </si>
  <si>
    <t>Senang banget kalau PPKM level bisa buka usaha lagi nih tetanggaku walau ada jam operasionalnya ya</t>
  </si>
  <si>
    <t>@tawonsemedi Ppkm wkwk ffuu</t>
  </si>
  <si>
    <t>Ppkm wkwk ffuu</t>
  </si>
  <si>
    <t>@KataOpreker @univ_indonesia Nalar dosen ini sbenarnya rusak karena stress gara2 PPKM.... semoga amal ibadahnya diterima olehNya</t>
  </si>
  <si>
    <t>Nalar dosen ini sbenarnya rusak karena stress gara2 PPKM.... semoga amal ibadahnya diterima olehNya</t>
  </si>
  <si>
    <t>Pas liat shopee "ih gemes,mau beli"
 Batinku berkata,ppkm heh ora gajian🤣🤣</t>
  </si>
  <si>
    <t>Pas liat shopee "ih gemes,mau beli"Batinku berkata,ppkm heh ora gajian</t>
  </si>
  <si>
    <t>@Desty007 ikut mendukung PPKM Level 4 biar makin stabil ekonomi Indonesia</t>
  </si>
  <si>
    <t>ikut mendukung PPKM Level biar makin stabil ekonomi Indonesia</t>
  </si>
  <si>
    <t>Ppkm? Bulan ini aki udh lembur 36 jam ternyata 😂 yg penting ga burnout aja</t>
  </si>
  <si>
    <t>Ppkm? Bulan ini aki udh lembur jam ternyata yg penting ga burnout aja</t>
  </si>
  <si>
    <t>@azzura_lhi Sama banget, buka FB berita duka terus, hiks... smeoga PPKM bisa menekan angka kematian karena Covid-19</t>
  </si>
  <si>
    <t>Sama banget, buka FB berita duka terus, hiks... smeoga PPKM bisa menekan angka kematian karena Covid-19</t>
  </si>
  <si>
    <t>@Arry288 @Salwakhumaira1 @tempodotco PPKM aja jadrun kelaparan apalagi lockdown. Kadrun mending lockdown sendiri aja dulu. Mesjid gak buka aja kadrun beringasan, katanya minta lockdown tapi tetep ke masjid. Lockdown kepala bapak lo.</t>
  </si>
  <si>
    <t>PPKM aja jadrun kelaparan apalagi lockdown. Kadrun mending lockdown sendiri aja dulu. Mesjid gak buka aja kadrun beringasan, katanya minta lockdown tapi tetep ke masjid. Lockdown kepala bapak lo.</t>
  </si>
  <si>
    <t>@nisatyas @ainunnajib Mungkin bukan PPKM ato apalah itu namanya
 Tapi lebih ke takut kalo sampe mesti berebut oksigen</t>
  </si>
  <si>
    <t>Mungkin bukan PPKM ato apalah itu namanyaTapi lebih ke takut kalo sampe mesti berebut oksigen</t>
  </si>
  <si>
    <t>@P3nj3l4j4h_id @mohmahfudmd Dan yang melanggar PPKM demi cari nafkah sekedar isi perut, masuk penjara!!
 Bengis</t>
  </si>
  <si>
    <t>Dan yang melanggar PPKM demi cari nafkah sekedar isi perut, masuk penjara!!Bengis</t>
  </si>
  <si>
    <t>@EagleNeverD Dukung PPKM</t>
  </si>
  <si>
    <t>@Ira_Hamid16 Udah tahu Mbk, semoga PPKM ini maksimal dan warga kembali bisa jualan ya</t>
  </si>
  <si>
    <t>Udah tahu Mbk, semoga PPKM ini maksimal dan warga kembali bisa jualan ya</t>
  </si>
  <si>
    <t>Pak Presiden Memang Manis |PPKM
 #KitaSambutJokowiTurun 
 #KitaSambutJokowiTurun https://t.co/8GnNORawIk</t>
  </si>
  <si>
    <t>Pak Presiden Memang Manis |PPKM</t>
  </si>
  <si>
    <t>@sintakayaknyaa ppkm stop kalau yu na bi sadar 🤣</t>
  </si>
  <si>
    <t>ppkm stop kalau yu na bi sadar</t>
  </si>
  <si>
    <t>Indonesia harus bisa sehat kembali, agar kehidupan berjalan dan kembali normal. Maka, Vaksin,Prokes ketat dan patuh PPKM adalah jalan kluar jika ingin kehidupan kita kembali puluh sperti sediakala.
 #SukseskanPPKMLevel4 https://t.co/GrW83MGd3s</t>
  </si>
  <si>
    <t>Indonesia harus bisa sehat kembali, agar kehidupan berjalan dan kembali normal. Maka, Vaksin,Prokes ketat dan patuh PPKM adalah jalan kluar jika ingin kehidupan kita kembali puluh sperti sediakala.</t>
  </si>
  <si>
    <t>@detikcom Bgm percaya setiap hari rakyat meninggal ribuan, sementara PPKM tdk menunjang penanganan kecuali menghalangi aktifitas orang</t>
  </si>
  <si>
    <t>Bgm percaya setiap hari rakyat meninggal ribuan, sementara PPKM tdk menunjang penanganan kecuali menghalangi aktifitas orang</t>
  </si>
  <si>
    <t>PPKM diperpanjang tapi pertemananmu ga akan diperpanjang</t>
  </si>
  <si>
    <t>Ya begini jadinya, kantor cabang bank tutup semua, dialihkan ke kantor utama. PPKM is sucks from every aspect</t>
  </si>
  <si>
    <t>#PatuhProkesHargaMati dan ikut Vaksin agar pandemi ini tidak berkepanjangan. 
 Yuk selamatkan bangsa dgn kontribusi mu.
 Patuhi prokes, PPKM dan ikut vaksin.. okeh? Gak ad kompromi tuk hidup sehat! https://t.co/FU3UXWLt1I</t>
  </si>
  <si>
    <t>dan ikut Vaksin agar pandemi ini tidak berkepanjangan. Yuk selamatkan bangsa dgn kontribusi mu.Patuhi prokes, PPKM dan ikut vaksin.. okeh? Gak ad kompromi tuk hidup sehat!</t>
  </si>
  <si>
    <t>Apa sebenarnya tujuan PPKM ini sehingga kendaraan distribusi oksigen untuk orang sakit pun tidak diizinkan lewat. Padahal banyak sekali orang sakit yang sedang darurat dan membutuhkan oksigen. Katanya PPKM untuk menyelamatkan nyawa manusia, tapi...
 https://t.co/PDRsO3FBQo</t>
  </si>
  <si>
    <t>Apa sebenarnya tujuan PPKM ini sehingga kendaraan distribusi oksigen untuk orang sakit pun tidak diizinkan lewat. Padahal banyak sekali orang sakit yang sedang darurat dan membutuhkan oksigen. Katanya PPKM untuk menyelamatkan nyawa manusia, tapi...</t>
  </si>
  <si>
    <t>PPKM.. #Indonesia jalan arah tertentu ditutup. Tapi ada petunjuk ke KotaX belok kiri.Intinya ttp lewat cuma lewat jalan lain.Macetny pindah. Alhasil wisata PPKM kmrn sukses mbawa sy ke Jatim..jadi bukan pembatasan tapi penggeseran #hehe. Lucu tdk sih?,🤔 https://t.co/B8ZvEb7lUE</t>
  </si>
  <si>
    <t>PPKM.. jalan arah tertentu ditutup. Tapi ada petunjuk ke KotaX belok kiri.Intinya ttp lewat cuma lewat jalan lain.Macetny pindah. Alhasil wisata PPKM kmrn sukses mbawa sy ke Jatim..jadi bukan pembatasan tapi penggeseran . Lucu tdk sih?,</t>
  </si>
  <si>
    <t>Kangen berangkat nguli jam 3 pagi pulang2 tengah malam lagi.. 😥
 Mudah2an kondisi cepat membaik dan ngak ada lagi PPKM an</t>
  </si>
  <si>
    <t>Kangen berangkat nguli jam pagi pulang2 tengah malam lagi.. Mudah2an kondisi cepat membaik dan ngak ada lagi PPKM an</t>
  </si>
  <si>
    <t>@somidoumwa ini di korea ppkm juga kah? 😢</t>
  </si>
  <si>
    <t>ini di korea ppkm juga kah?</t>
  </si>
  <si>
    <t>PPKM harus dilewati dgn senang hati supaya imun tetap tinggi https://t.co/YSTU5mThsm</t>
  </si>
  <si>
    <t>PPKM harus dilewati dgn senang hati supaya imun tetap tinggi</t>
  </si>
  <si>
    <t>Pak JK ini mau kasih Solusi apa mau kasih masalah? 
 Bayangkan jika Pemerintah lakukan Lockdown Rakyat, Pengusaha apa ga kelabakan? Diberlakukan PPKM saja sudah pada menjerit. Kalau Lockdown habis berapa Triliun uang Negara buat Konpensasi ke Rakyat? Bagaimana jika Lockdown lama? https://t.co/Z5Mzk0rx66</t>
  </si>
  <si>
    <t>Pak JK ini mau kasih Solusi apa mau kasih masalah? Bayangkan jika Pemerintah lakukan Lockdown Rakyat, Pengusaha apa ga kelabakan? Diberlakukan PPKM saja sudah pada menjerit. Kalau Lockdown habis berapa Triliun uang Negara buat Konpensasi ke Rakyat? Bagaimana jika Lockdown lama?</t>
  </si>
  <si>
    <t>Jumat 23 juli 2021 - minggu 25 juli 2021 menembus ppkm psbb pspb ppkn pmp apalah2 👉 wilayah sekitar anak pak lurah : lebay jalan2 ditutup water barrier tapi disuruh nyari2 jalan sendiri - ponorogo - trenggalek - tulungagung - blitar? Loss doll 😅</t>
  </si>
  <si>
    <t>Jumat juli - minggu juli menembus ppkm psbb pspb ppkn pmp apalah2 wilayah sekitar anak pak lurah : lebay jalan2 ditutup water barrier tapi disuruh nyari2 jalan sendiri - ponorogo - trenggalek - tulungagung - blitar? Loss doll</t>
  </si>
  <si>
    <t>@percetakanku @kumparan Kalo argumennya butuh dikunyah, saya setuju. Tp kalo ngerokok di tempat makan itu ga urgent. Mending jangan di tempat makan, keluar aja.. jangan nyusahin pemilik usaha di masa ppkm yg sulit ini</t>
  </si>
  <si>
    <t>Kalo argumennya butuh dikunyah, saya setuju. Tp kalo ngerokok di tempat makan itu ga urgent. Mending jangan di tempat makan, keluar aja.. jangan nyusahin pemilik usaha di masa ppkm yg sulit ini</t>
  </si>
  <si>
    <t>@expmbd 30-34an derajat, alasan untuk gk keluar rumah bukan karena ppkm atau dilarang tapi karena panas banget 🥵 keluar bentar dah gosong disini🤣</t>
  </si>
  <si>
    <t>$NUMBER$an derajat, alasan untuk gk keluar rumah bukan karena ppkm atau dilarang tapi karena panas banget keluar bentar dah gosong disini</t>
  </si>
  <si>
    <t>Sejak di putuskan nya PPKM Darurat yg saat ini diperpanjang menjadi PPKM Level 4 , terbukti telah menekan angka ssuspect Covid19. 
 #PatuhProkesHargaMati https://t.co/PTqms9Wh55</t>
  </si>
  <si>
    <t>Sejak di putuskan nya PPKM Darurat yg saat ini diperpanjang menjadi PPKM Level , terbukti telah menekan angka ssuspect Covid19.</t>
  </si>
  <si>
    <t>Dengan diperpanjang nya PPKM Darurat, semoga bisa menekan lonjakan kasus Covid-19.
 #PatuhProkesHargaMati https://t.co/UrTVHgYqGJ</t>
  </si>
  <si>
    <t>Dengan diperpanjang nya PPKM Darurat, semoga bisa menekan lonjakan kasus Covid-19.</t>
  </si>
  <si>
    <t>INGAT-INGAT, silakan PPKM pake level berapa pun diperpanjang, asalkan DERITA rakyat diperpendek. 
 🌅❄
 #KembaliPadaSyariahIslam
 #SyariahSolusiProblematika https://t.co/8M3L7Iep1o</t>
  </si>
  <si>
    <t>INGAT-INGAT, silakan PPKM pake level berapa pun diperpanjang, asalkan DERITA rakyat diperpendek.</t>
  </si>
  <si>
    <t>@P3nj3l4j4h_id @DivHumas_Polri Logika nya sm gak ya, demo masa PPKM dikawal dg biaya negara, jualan. Kaki lima diuber2 pdhl cari nafkah, bahkan gas melon aj dibawa 🙈🙊</t>
  </si>
  <si>
    <t>Logika nya sm gak ya, demo masa PPKM dikawal dg biaya negara, jualan. Kaki lima diuber2 pdhl cari nafkah, bahkan gas melon aj dibawa</t>
  </si>
  <si>
    <t>#PatuhProkesHargaMati
 Mari laksanakan dgn taat PPKM Darurat Level 4 di seluruh wilayah yg diberlakukan. Bersama kita bergotong royong untuk cegah penyebaran Covid-19 demi Indonesia kembali pulih dan bangkit! https://t.co/Lrks2bCwU8</t>
  </si>
  <si>
    <t>laksanakan dgn taat PPKM Darurat Level di seluruh wilayah yg diberlakukan. Bersama kita bergotong royong untuk cegah penyebaran Covid-19 demi Indonesia kembali pulih dan bangkit!</t>
  </si>
  <si>
    <t>#PatuhProkesHargaMati !! Gak patuh bisa bikin cepat mati. 
 Jangan bandel, bantu ringankan para Nakes patuhi PPKM ini agar tak berlarut. https://t.co/O6tTO9kdZh</t>
  </si>
  <si>
    <t>!! Gak patuh bisa bikin cepat mati. Jangan bandel, bantu ringankan para Nakes patuhi PPKM ini agar tak berlarut.</t>
  </si>
  <si>
    <t>@BetaEpsilonPhi Di sekitar sini pun masih banyak yang ibadah berjamaah bahkan di tengah PPKM</t>
  </si>
  <si>
    <t>Di sekitar sini pun masih banyak yang ibadah berjamaah bahkan di tengah PPKM</t>
  </si>
  <si>
    <t>@araraseo Wait emang buka ya ppkm gini</t>
  </si>
  <si>
    <t>Wait emang buka ya ppkm gini</t>
  </si>
  <si>
    <t>#PatuhProkesHargaMati
 Aparat gabungan kembali menggelar patroli dalam rangka PPKM Level 4 yang diperpanjang hingga 2 Agustus 2021. Patroli dilakukan untuk menegakkan aturan PPKM dan disiplin prokes
 https://t.co/1oOKWz5MYo</t>
  </si>
  <si>
    <t>gabungan kembali menggelar patroli dalam rangka PPKM Level yang diperpanjang hingga Agustus . Patroli dilakukan untuk menegakkan aturan PPKM dan disiplin prokes</t>
  </si>
  <si>
    <t>#PatuhProkesHargaMati &amp;amp; bersama kita dukung perpanjangan PPKM Darurat Level 4 https://t.co/aTdKyMByaY</t>
  </si>
  <si>
    <t>&amp;amp; bersama kita dukung perpanjangan PPKM Darurat Level</t>
  </si>
  <si>
    <t>Yakin &amp;amp; percayalah bila kita bersama2 bersatu melaksanakan PPKM Level 4 ini kita akan bisa melalui pandemi ini..
 #PatuhProkesHargaMati https://t.co/yMY8nGIVrj</t>
  </si>
  <si>
    <t>Yakin &amp;amp; percayalah bila kita bersama2 bersatu melaksanakan PPKM Level ini kita akan bisa melalui pandemi ini..</t>
  </si>
  <si>
    <t>Pinta Pemerintah Sangat Mudah untuk dilakukan, bahkan jadi di sepelekan. 
 Patuhlah selama masa PPKM Level 4 diberlakukan! 
 #PatuhProkesHargaMati https://t.co/N1Q34vq0JA</t>
  </si>
  <si>
    <t>Pinta Pemerintah Sangat Mudah untuk dilakukan, bahkan jadi di sepelekan. Patuhlah selama masa PPKM Level diberlakukan!</t>
  </si>
  <si>
    <t>PPKM Darurat untuk kepentingan bersama, ada untung ruginya, yang jelas lonjakan kasus Covid-19 berkurang.
 #PatuhProkesHargaMati https://t.co/oZRKNpWKvD</t>
  </si>
  <si>
    <t>PPKM Darurat untuk kepentingan bersama, ada untung ruginya, yang jelas lonjakan kasus Covid-19 berkurang.</t>
  </si>
  <si>
    <t>Saya tetap mendukung PPKM darurat diperpanjang menjadi level 4.
 #PatuhProkesHargaMati https://t.co/8pJvlIj2Um</t>
  </si>
  <si>
    <t>Saya tetap mendukung PPKM darurat diperpanjang menjadi level .</t>
  </si>
  <si>
    <t>Dengan diperpanjang nya PPKM Darurat, semoga bisa menekan lonjakan kasus Covid-19. https://t.co/4mH3YjgjzZ</t>
  </si>
  <si>
    <t>#PatuhProkesHargaMati
 Unthk keselamatan bersama marilah kita dukung perpanjangan PPKM darurat level 4. https://t.co/OhutwncHMA</t>
  </si>
  <si>
    <t>keselamatan bersama marilah kita dukung perpanjangan PPKM darurat level .</t>
  </si>
  <si>
    <t>Patuhi PROKES, dirumah saja jika tidak ada keperluan mendesak, dukung PPKM darurat agar covid segera berlalu.
 #PatuhProkesHargaMati https://t.co/NNrkJHkJGW</t>
  </si>
  <si>
    <t>Patuhi PROKES, dirumah saja jika tidak ada keperluan mendesak, dukung PPKM darurat agar covid segera berlalu.</t>
  </si>
  <si>
    <t>Semoga dengan PPKM darurat diperpanjang, bisa menekan lonjakan kasus Covid-19.
 #PatuhProkesHargaMati https://t.co/jNshhH7rvS</t>
  </si>
  <si>
    <t>Semoga dengan PPKM darurat diperpanjang, bisa menekan lonjakan kasus Covid-19.</t>
  </si>
  <si>
    <t>#PatuhProkesHargaMati
 Dukung Penerapan PPKM Darurat. https://t.co/DNTwVYcG0y</t>
  </si>
  <si>
    <t>Penerapan PPKM Darurat.</t>
  </si>
  <si>
    <t>"Pakai masker harga mati, tidak pakai bisa mati"
 Ayoo jangan abai jangan lengah sllu disiplin tinggi patuhi prokes selama PPKM Darurat.
 #PatuhProkesHargaMati https://t.co/W73q4bG37D</t>
  </si>
  <si>
    <t>"Pakai masker harga mati, tidak pakai bisa mati"Ayoo jangan abai jangan lengah sllu disiplin tinggi patuhi prokes selama PPKM Darurat.</t>
  </si>
  <si>
    <t>PPKM Darurat memang harus dilakukan secara kebersamaan, hal tersebut untuk memutus mata rantai virus. 
 Perlu pemahaman semua pihak untuk bisa mengendalikan diri sehingga semuanya bisa saling menghindari penularan.
 #PatuhProkesHargaMati https://t.co/QPYhFEnb51</t>
  </si>
  <si>
    <t>PPKM Darurat memang harus dilakukan secara kebersamaan, hal tersebut untuk memutus mata rantai virus. Perlu pemahaman semua pihak untuk bisa mengendalikan diri sehingga semuanya bisa saling menghindari penularan.</t>
  </si>
  <si>
    <t>#PatuhProkesHargaMati
 Dukung perpanjangan PPKM darurat Level 4 https://t.co/FjgcoaartM</t>
  </si>
  <si>
    <t>perpanjangan PPKM darurat Level</t>
  </si>
  <si>
    <t>#RedamPandemiJagaNKRI 
 Dukung dan Patuhi aturan PPKM level 4 https://t.co/ezCXoTKTEC</t>
  </si>
  <si>
    <t>Dukung dan Patuhi aturan PPKM level</t>
  </si>
  <si>
    <t>#RedamPandemiJagaNKRI
 Ayo tetap patuhi PPKM dan prokes https://t.co/cRvDkqyuGf</t>
  </si>
  <si>
    <t>tetap patuhi PPKM dan prokes</t>
  </si>
  <si>
    <t>#RedamPandemiJagaNKRI
 Penerapan PPKM level 4 telah mempertimbangkan aspek kesehatan https://t.co/nru782aRcn</t>
  </si>
  <si>
    <t>PPKM level telah mempertimbangkan aspek kesehatan</t>
  </si>
  <si>
    <t>Bersama taat aturan PPKM Darurat Level 4 #RedamPandemiJagaNKRI https://t.co/mUnZYqMEV3</t>
  </si>
  <si>
    <t>Bersama taat aturan PPKM Darurat Level</t>
  </si>
  <si>
    <t>#RedamPandemiJagaNKRI
 Dukung perpanjangan PPKM level 4 agar pandemi ini bisa teratasi https://t.co/oTgPd0Cl4n</t>
  </si>
  <si>
    <t>perpanjangan PPKM level agar pandemi ini bisa teratasi</t>
  </si>
  <si>
    <t>Padahal pandemi tapi banyak dari sebagian orang-orang yang bisa dibilang kaya, mereka udah banget untuk menghambur-hamburkan uang &amp;amp; nggak lihat dulu padahal kan situasi masih ppkm, di tengah pandemi. Orang kecil aja nyari duit susahnya minta ampun.
 Reminder.</t>
  </si>
  <si>
    <t>Padahal pandemi tapi banyak dari sebagian orang-orang yang bisa dibilang kaya, mereka udah banget untuk menghambur-hamburkan uang &amp;amp; nggak lihat dulu padahal kan situasi masih ppkm, di tengah pandemi. Orang kecil aja nyari duit susahnya minta ampun.Reminder.</t>
  </si>
  <si>
    <t>@dr_tompi @Indriana6 Dengan adanya PPKM.. semoga saja Pandemi Covid akan berakhir diIndonesia..</t>
  </si>
  <si>
    <t>Dengan adanya PPKM.. semoga saja Pandemi Covid akan berakhir diIndonesia..</t>
  </si>
  <si>
    <t>@Tito92567372 @PolJokesID PPKM doang kerja kaga bisa, kaga ada uang anjj, Keluh kesah rakyat bawah</t>
  </si>
  <si>
    <t>PPKM doang kerja kaga bisa, kaga ada uang anjj, Keluh kesah rakyat bawah</t>
  </si>
  <si>
    <t>@detikcom Ini akibat ppkm level levelan semua jadi pake plus plus an.., cape deh</t>
  </si>
  <si>
    <t>Ini akibat ppkm level levelan semua jadi pake plus plus an.., cape deh</t>
  </si>
  <si>
    <t>Selama ppkm baru Semalem bisa tdr normal:)</t>
  </si>
  <si>
    <t>Selama ppkm baru Semalem bisa tdr normal</t>
  </si>
  <si>
    <t>ppkm 7 provinsi</t>
  </si>
  <si>
    <t>ppkm provinsi</t>
  </si>
  <si>
    <t>@milaaisolihah @bertanyarl Yg knn kok ppkm .. beda sama yang kirian.. hehe</t>
  </si>
  <si>
    <t>Yg knn kok ppkm .. beda sama yang kirian.. hehe</t>
  </si>
  <si>
    <t>Pemda: PPKM Level pedas, tutup semua akses jalan utama
 Rakyat: Masih banyak jalan menuju roma ("jalan2 tikus")
 Efeknya: Macet dimana2, timbul kerumunan, pandemi?
 ..........
 Oh Negeriku, sampai kapan begini?</t>
  </si>
  <si>
    <t>Pemda: PPKM Level pedas, tutup semua akses jalan utamaRakyat: Masih banyak jalan menuju roma ("jalan2 tikus")Efeknya: Macet dimana2, timbul kerumunan, pandemi?..........Oh Negeriku, sampai kapan begini?</t>
  </si>
  <si>
    <t>@Moodyficent Lagi ppkm jadi gak jual</t>
  </si>
  <si>
    <t>Lagi ppkm jadi gak jual</t>
  </si>
  <si>
    <t>@Quvvatt Kalau ngga ada ppkm kasus aktifnya sudah sejuta kali</t>
  </si>
  <si>
    <t>Kalau ngga ada ppkm kasus aktifnya sudah sejuta kali</t>
  </si>
  <si>
    <t>@ermawedee Efek PPKM 🤣</t>
  </si>
  <si>
    <t>@ganjarpranowo Bansos belum merata pak di Jawa tengah. Padahal dampak PPKM merata buat smua warga Jateng. Mohon di tinjau kembali Pak agar merata. @ganjarpranowo sehat terus Pak.</t>
  </si>
  <si>
    <t>Bansos belum merata pak di Jawa tengah. Padahal dampak PPKM merata buat smua warga Jateng. Mohon di tinjau kembali Pak agar merata. sehat terus Pak.</t>
  </si>
  <si>
    <t>Chitato kenapa dah? 😃
 Gue tahu lagi PPKM sebagian org lagi stress, tapi jangan begitu tunjukin lahh</t>
  </si>
  <si>
    <t>Chitato kenapa dah? Gue tahu lagi PPKM sebagian org lagi stress, tapi jangan begitu tunjukin lahh</t>
  </si>
  <si>
    <t>ppkm = pagi pagi km menangis https://t.co/gDfa6coXJ3</t>
  </si>
  <si>
    <t>ppkm = pagi pagi km menangis</t>
  </si>
  <si>
    <t>bisa"nya mimpi aku sama soobin makan lesehan pinggir jalan
 trs dikejar polisi gara" lgi ppkm</t>
  </si>
  <si>
    <t>bisa"nya mimpi aku sama soobin makan lesehan pinggir jalantrs dikejar polisi gara" lgi ppkm</t>
  </si>
  <si>
    <t>PPKM diperpanjang sampai kamu bisa nguras danau Toba pake sendok puyer .. wkwkkw https://t.co/xnJuxhXLz4</t>
  </si>
  <si>
    <t>PPKM diperpanjang sampai kamu bisa nguras danau Toba pake sendok puyer .. wkwkkw</t>
  </si>
  <si>
    <t>"Ancaman Kelaparan di Tengah Pandemi"
 https://t.co/Mv2AqvaTrj
 TintaSiyasi.com-- Pandemi Covid-19 di Indonesia tak kunjung berakhir. Meski tengah diberlakukannya (PPKM) Darurat oleh pemerintah di sejumlah daerah, namun an https://t.co/QPMyHa1Pws</t>
  </si>
  <si>
    <t>"Ancaman Kelaparan di Tengah Pandemi" Pandemi Covid-19 di Indonesia tak kunjung berakhir. Meski tengah diberlakukannya (PPKM) Darurat oleh pemerintah di sejumlah daerah, namun an</t>
  </si>
  <si>
    <t>@KemensosRI @pemkotpkl @provjateng @PosIndonesia @PerumBULOG Bansos covid19 yg PPKM ini masa Ponorogo blm ada yg menerima</t>
  </si>
  <si>
    <t>Bansos covid19 yg PPKM ini masa Ponorogo blm ada yg menerima</t>
  </si>
  <si>
    <t>@My_LoveNebe Kayaknya biasa nongkrong di taman lawang.
 Kena imbas ppkm ini bencong😁</t>
  </si>
  <si>
    <t>Kayaknya biasa nongkrong di taman lawang.Kena imbas ppkm ini bencong</t>
  </si>
  <si>
    <t>@CNNIndonesia Napa pejabat, terutama aparatur penegak ppkm yg digaji negara tidak dipotong gajinya biar tau rasanya lapar itu gimana. Mereka beringas karena kenyang sedangkan pedagang ini melawan karena lapar</t>
  </si>
  <si>
    <t>Napa pejabat, terutama aparatur penegak ppkm yg digaji negara tidak dipotong gajinya biar tau rasanya lapar itu gimana. Mereka beringas karena kenyang sedangkan pedagang ini melawan karena lapar</t>
  </si>
  <si>
    <t>@deleted kalo gue yg nge-tweet udah kaya warung di tengah ppkm anjr sepi😭😭</t>
  </si>
  <si>
    <t>kalo gue yg nge-tweet udah kaya warung di tengah ppkm anjr sepi</t>
  </si>
  <si>
    <t>PPKM : pusing pusing kucing menghilang</t>
  </si>
  <si>
    <t>@SINDOnews ppkm bakal diperpanjang nih kyknya.. atau mungkin ganti versi..</t>
  </si>
  <si>
    <t>ppkm bakal diperpanjang nih kyknya.. atau mungkin ganti versi..</t>
  </si>
  <si>
    <t>kemarin makan di yeobi cafe butter, jujur rekomen banget makanannya enak, minuman enak tempatnya jg🙏🏻🥳 cuma sedihnya krn peraturan ppkm, lidahku melepuh krn mesti cepet2 abisin bibimbap yg panas banget😂 mestinya pilih gimbap aja🤣 https://t.co/eAN8y2sm4E</t>
  </si>
  <si>
    <t>kemarin makan di yeobi cafe butter, jujur rekomen banget makanannya enak, minuman enak tempatnya jg cuma sedihnya krn peraturan ppkm, lidahku melepuh krn mesti cepet2 abisin bibimbap yg panas banget mestinya pilih gimbap aja</t>
  </si>
  <si>
    <t>makan di warteg masa PPKM serasa jadi pejabat atau taipan karena dikawal pasukan berseragam#cumaadadiindon. https://t.co/53f9VaziPo</t>
  </si>
  <si>
    <t>makan di warteg masa PPKM serasa jadi pejabat atau taipan karena dikawal pasukan berseragam.</t>
  </si>
  <si>
    <t>@kedilucan Tapi kan ppkm</t>
  </si>
  <si>
    <t>Padahal ya secara ngga sadar, dampaknya bisa ke semua orang. Kasus terus naik, faskes kolaps, PPKM ndak selesai-selesai, dan makin banyak mereka yang gugur. People behavior jadi sepenting itu untuk virus yang human to human transmission kayak gini.</t>
  </si>
  <si>
    <t>@jokowi Maaf pak kalau yg kami2 supir travel gimana pak..penumpang makin sepi selama ppkm karna gak berani keluar dan untuk mencari nafkah buat ank istri serta pendapatan menurun dari awal psbb sampai sekarang ppkm lavel 4 dan bantuan blm ada nyampe sampai sekarang ke kami supir travel🙏🏼</t>
  </si>
  <si>
    <t>Maaf pak kalau yg kami2 supir travel gimana pak..penumpang makin sepi selama ppkm karna gak berani keluar dan untuk mencari nafkah buat ank istri serta pendapatan menurun dari awal psbb sampai sekarang ppkm lavel dan bantuan blm ada nyampe sampai sekarang ke kami supir travel</t>
  </si>
  <si>
    <t>Sedih gaksi PPKM di perpanjang, terus jadi bingung mau ngapain?🤔 Eits tapi tenang aja, nih aku kasih rekomendasi biar selama PPKM punya kegiatan menyenangkaaaan...
 #InspiringRUBI #RUBIStayProductive https://t.co/tiIXhyE80x</t>
  </si>
  <si>
    <t>Sedih gaksi PPKM di perpanjang, terus jadi bingung mau ngapain? Eits tapi tenang aja, nih aku kasih rekomendasi biar selama PPKM punya kegiatan menyenangkaaaan...</t>
  </si>
  <si>
    <t>Dinegara ini peraturan saat ini sangat super ketat , itu untuk rakyat, dilematisnya bagi mereka yang membuat maklumat aturan ga berlaku karena alasan politis, jangan bodohi rakyat dengan kedok politis, mendatangkan aseng aseng di saat PPKM kenapa ga apa ga lucu</t>
  </si>
  <si>
    <t>Abis shubuhan rebahan &amp;amp; tarik selimut lagi emang paling enak
 Kapan lagi klo gak pas PPKM?</t>
  </si>
  <si>
    <t>Abis shubuhan rebahan &amp;amp; tarik selimut lagi emang paling enakKapan lagi klo gak pas PPKM?</t>
  </si>
  <si>
    <t>@mhrdhikadityaX7 Nunggu ppkm selesai dulu dit baru gass, aku ikut kl ada jalan2 dong dit🥲</t>
  </si>
  <si>
    <t>Nunggu ppkm selesai dulu dit baru gass, aku ikut kl ada jalan2 dong dit</t>
  </si>
  <si>
    <t>Di Prank PPKM 😑</t>
  </si>
  <si>
    <t>Di Prank PPKM</t>
  </si>
  <si>
    <t>@jokowi @willsarana Yang sangat kami hormati bapak Presiden @jokowi, usul pak.. Utk PPKM level 1,2,3 atau 4 serahkan semua keputusan nya kepada kepala daerah.. Bapak tinggal cek dan dorong saja. Gak perlu pusing. Akan terlihat mana Emas mana tembaga
 @Dennysiregar7 
 @FerdinandHaean3 
 @PolhukamRI</t>
  </si>
  <si>
    <t>Yang sangat kami hormati bapak Presiden , usul pak.. Utk PPKM level atau serahkan semua keputusan nya kepada kepala daerah.. Bapak tinggal cek dan dorong saja. Gak perlu pusing. Akan terlihat mana Emas mana tembaga</t>
  </si>
  <si>
    <t>yuk rakyat indonesia yuk, biar ga ada ppkm berjilid2 lagi :( https://t.co/nA48FR8SoG</t>
  </si>
  <si>
    <t>yuk rakyat indonesia yuk, biar ga ada ppkm berjilid2 lagi</t>
  </si>
  <si>
    <t>Negara ini makin gak jelas karena terlalu banyak orang pintar.Pintar bikin istilah, Mulai PSBB, PPKM dst.
 padahal istilah-istilah itu hanya trik menghidari kewajiban negara menanggung semua kebutuhan rakyat sesuai amanat UU No.6/2018 ttg KEKARANTINAAN KESEHATAN</t>
  </si>
  <si>
    <t>Negara ini makin gak jelas karena terlalu banyak orang pintar.Pintar bikin istilah, Mulai PSBB, PPKM dst.padahal istilah-istilah itu hanya trik menghidari kewajiban negara menanggung semua kebutuhan rakyat sesuai amanat UU No.6/2018 ttg KEKARANTINAAN KESEHATAN</t>
  </si>
  <si>
    <t>@richeeseaaah Lagi ppkm gabisa peluk pelukan</t>
  </si>
  <si>
    <t>Lagi ppkm gabisa peluk pelukan</t>
  </si>
  <si>
    <t>@Dennysiregar7 Bohir siapa? gregetan bgt saya..knp dikasih ijin..knp g diciduk..kan ada UU karantina..knp g "diinjek" ajalah..g usah ngmng atas nama demokrasi ..Capek kami org kecil PPKM...sdh Kamplengi saja para pendemo dan bohirnya ini</t>
  </si>
  <si>
    <t>Bohir siapa? gregetan bgt saya..knp dikasih ijin..knp g diciduk..kan ada UU karantina..knp g "diinjek" ajalah..g usah ngmng atas nama demokrasi ..Capek kami org kecil PPKM...sdh Kamplengi saja para pendemo dan bohirnya ini</t>
  </si>
  <si>
    <t>@alisyarief Negerk aneh stelah d vaksin si cupid malah ngelonjak.... PPKM cuma akal2an meluluskan komunis cina msuk RI..</t>
  </si>
  <si>
    <t>Negerk aneh stelah d vaksin si cupid malah ngelonjak.... PPKM cuma akal2an meluluskan komunis cina msuk RI..</t>
  </si>
  <si>
    <t>@oikawakiw Udah gersang ini dompet sama rekening gara" ppkm makin lama💔🤧</t>
  </si>
  <si>
    <t>Udah gersang ini dompet sama rekening gara" ppkm makin lama</t>
  </si>
  <si>
    <t>@bertanyarl Membabu di rumah, pengen main juga tapi kan ppkm😐</t>
  </si>
  <si>
    <t>Membabu di rumah, pengen main juga tapi kan ppkm</t>
  </si>
  <si>
    <t>Ppkm tp kagak ngasih bantuan ke warga nya mah buat apa</t>
  </si>
  <si>
    <t>Derita Yang harus taat terhadap ppkm tapi harus makan apa sih? Intensif yg berwenang juga belum ada. https://t.co/essCgZDmrB</t>
  </si>
  <si>
    <t>Derita Yang harus taat terhadap ppkm tapi harus makan apa sih? Intensif yg berwenang juga belum ada.</t>
  </si>
  <si>
    <t>pakar usul ppkm darurat diperpanjang sampai kau jadi milikku.</t>
  </si>
  <si>
    <t>Siapa bilang PPKM membosankan? PPKM versi aku nih https://t.co/3oobLkUE7u
 liat deh aktifitas PPKM ku... Asyiiikk kaaan</t>
  </si>
  <si>
    <t>Siapa bilang PPKM membosankan? PPKM versi aku nih deh aktifitas PPKM ku... Asyiiikk kaaan</t>
  </si>
  <si>
    <t>Banjarmasin mulai PPKM 26 juli.</t>
  </si>
  <si>
    <t>Banjarmasin mulai PPKM juli.</t>
  </si>
  <si>
    <t>@AREAJULID Pemerintah Pusat emang ngasihnya kapan? Baru2 ini kan ngasihnya ke Pemda. Jadi, jangan seolah2 dibikin selama 2 minggu lebih PPKM berlalu dan Pemerintah Pusat udah ngasih dari sebelum itu😂</t>
  </si>
  <si>
    <t>Pemerintah Pusat emang ngasihnya kapan? Baru2 ini kan ngasihnya ke Pemda. Jadi, jangan seolah2 dibikin selama minggu lebih PPKM berlalu dan Pemerintah Pusat udah ngasih dari sebelum itu</t>
  </si>
  <si>
    <t>@RachlanNashidik Makanya demo PPKM😂😂 dan mencari2 kelemahan pemerintah tuk diekspos dsr monafik☹☹☹</t>
  </si>
  <si>
    <t>Makanya demo PPKM dan mencari2 kelemahan pemerintah tuk diekspos dsr monafik</t>
  </si>
  <si>
    <t>@Miftakhulna Berhenti dulu jalannya ditutup masih PPKM</t>
  </si>
  <si>
    <t>Berhenti dulu jalannya ditutup masih PPKM</t>
  </si>
  <si>
    <t>Ppkm trs makan apa gue ntr, aduhhhh</t>
  </si>
  <si>
    <t>Selamat menikmati akhir pekan dikala ppkm yang tak bisa kemana-mana. 😄🤣</t>
  </si>
  <si>
    <t>Selamat menikmati akhir pekan dikala ppkm yang tak bisa kemana-mana.</t>
  </si>
  <si>
    <t>@detikcom Anda telat bangun pak Sufmi...Dari awal mau PSBB, PSBB transisi, hingga PPKM Darurat memang tidak ada pengawasan ketat di lapangan...posko ada dimana2, tapi cuma buat tempat nongkrong main HP...</t>
  </si>
  <si>
    <t>Anda telat bangun pak Sufmi...Dari awal mau PSBB, PSBB transisi, hingga PPKM Darurat memang tidak ada pengawasan ketat di lapangan...posko ada dimana2, tapi cuma buat tempat nongkrong main HP...</t>
  </si>
  <si>
    <t>@bareksacom Nah semoga prediksi ini bisa terwujud mengingat PPKM yang gencar dan berdampak positif pada pergerakan harga saham.</t>
  </si>
  <si>
    <t>Nah semoga prediksi ini bisa terwujud mengingat PPKM yang gencar dan berdampak positif pada pergerakan harga saham.</t>
  </si>
  <si>
    <t>ya dari kmaren masa ppkm emng banyak bet nyari jalan baru yg bisa gw lewati di jakarta, dan kek banyak juga bangunan klasik yg baru gw liat</t>
  </si>
  <si>
    <t>Airlangga Minta Kiai, Habib, Ulama Dukung PPKM Darurat https://t.co/bLoFa4Lj6S 
 PERATURAN YANG MENGHAMBAT DAN MENYUSAHKAN UMAT, KOK MINTA DI DUKUNG KYAI-HABIB-ULAMA. ANEEH INI ORANG..OTAKNYA DIMANA YA..!?.</t>
  </si>
  <si>
    <t>Airlangga Minta Kiai, Habib, Ulama Dukung PPKM Darurat PERATURAN YANG MENGHAMBAT DAN MENYUSAHKAN UMAT, KOK MINTA DI DUKUNG KYAI-HABIB-ULAMA. ANEEH INI ORANG..OTAKNYA DIMANA YA..!?.</t>
  </si>
  <si>
    <t>PPKM
 Pernah Percaya Kemudian Menghilang</t>
  </si>
  <si>
    <t>PPKMPernah Percaya Kemudian Menghilang</t>
  </si>
  <si>
    <t>@republikaonline Petugasnya sdh digaji semua, jadi tenang saja bilang jangan terprovokasi. Klo mrk jadi rakyat kecil tentu akan merasakan sengsaranya hidup gara2 PPKM tanpa ada kompensasi</t>
  </si>
  <si>
    <t>Petugasnya sdh digaji semua, jadi tenang saja bilang jangan terprovokasi. Klo mrk jadi rakyat kecil tentu akan merasakan sengsaranya hidup gara2 PPKM tanpa ada kompensasi</t>
  </si>
  <si>
    <t>Kalau Berhutang Hanya Untuk Megelabuhi alasan memenuhi Kebutuhan Rakyat
 GAS
 BBM
 LISTRIK
 SEMBAKO
 KESEHATAN
 Maka 
 Bubarkan BUMN !!!
 AMPERA 
 ( Amanat Penderitaan Rakyat )
 PPKM level 4 
 Pa Presiden Kau Mundurlah Negara sudah Sekarat !!!</t>
  </si>
  <si>
    <t>Kalau Berhutang Hanya Untuk Megelabuhi alasan memenuhi Kebutuhan RakyatGASBBMLISTRIKSEMBAKOKESEHATANMaka Bubarkan BUMN !!!AMPERA ( Amanat Penderitaan Rakyat )PPKM level Pa Presiden Kau Mundurlah Negara sudah Sekarat !!!</t>
  </si>
  <si>
    <t>@KAI121 pagi. Sy mau refund tiket lewat apk kai, tp no id di tiket saya pake ktp, sdgkan id akun sy pke sim. Saya ubah data no id tidak bisa. Mungkin saya pernah punya akun lainya yg login menggunakan no id ktp saya yg saya lupa. mau refund distasiun tp kn ppkm. Solusinya gmn ya?</t>
  </si>
  <si>
    <t>pagi. Sy mau refund tiket lewat apk kai, tp no id di tiket saya pake ktp, sdgkan id akun sy pke sim. Saya ubah data no id tidak bisa. Mungkin saya pernah punya akun lainya yg login menggunakan no id ktp saya yg saya lupa. mau refund distasiun tp kn ppkm. Solusinya gmn ya?</t>
  </si>
  <si>
    <t>@FrendyPradana12 @susipudjiastuti Bukan lockdown sih mungkin lbh tptnya PPKM sih kl di indo. Tapi disingapur walaupun PPKM warung2 makan msh boleh buka cuma tdk boleh makan disitu hrs dibungkus jadi pedagang2 tdk ada yg ribut. Begitu sih yg aku lihat.</t>
  </si>
  <si>
    <t>Bukan lockdown sih mungkin lbh tptnya PPKM sih kl di indo. Tapi disingapur walaupun PPKM warung2 makan msh boleh buka cuma tdk boleh makan disitu hrs dibungkus jadi pedagang2 tdk ada yg ribut. Begitu sih yg aku lihat.</t>
  </si>
  <si>
    <t>@bts_seleraku Jangan lupa sarapan lagi ppkm kalo lo sakit gue gabisa jenguk soalnya ✌️ semangat buat hari ini semoga ada kabar baik buat orang baik ❣️</t>
  </si>
  <si>
    <t>Jangan lupa sarapan lagi ppkm kalo lo sakit gue gabisa jenguk soalnya semangat buat hari ini semoga ada kabar baik buat orang baik</t>
  </si>
  <si>
    <t>@kenapakuhidup PPKM tuh nyusahin</t>
  </si>
  <si>
    <t>PPKM tuh nyusahin</t>
  </si>
  <si>
    <t>@detikcom Usaha susah ,perut papar akibat PPKM.sekalian aja ancur2an...dukung demo tolak PPKM.</t>
  </si>
  <si>
    <t>Usaha susah ,perut papar akibat PPKM.sekalian aja ancur2an...dukung demo tolak PPKM.</t>
  </si>
  <si>
    <t>Pak @DivHumas_Polri, pedagang cari rezky di larang alesan ppkm.. nih banyak para perusuh mo demo ko di izinin pak. Tegas donk pak https://t.co/yCqzzbUlyR</t>
  </si>
  <si>
    <t>Pak , pedagang cari rezky di larang alesan ppkm.. nih banyak para perusuh mo demo ko di izinin pak. Tegas donk pak</t>
  </si>
  <si>
    <t>udh sebulan lebih blm ketemu lg hhhhhh ppkm ni sungguh bikin makin lama</t>
  </si>
  <si>
    <t>@wikkend selesai ppkm langsung keliling</t>
  </si>
  <si>
    <t>selesai ppkm langsung keliling</t>
  </si>
  <si>
    <t>@entvropy nga dlu bestie, nga ada duit woii :" ppkm bikin makin seret</t>
  </si>
  <si>
    <t>nga dlu bestie, nga ada duit woii :" ppkm bikin makin seret</t>
  </si>
  <si>
    <t>#BongkarBiangRusuh
 Bukankah rusuh nya itu krn ga becus mrk yg jd pejabat.. Tiap hari byk meninggal, obat n oksigen langka, rs kolaps, ppkm ga kunjung usai,</t>
  </si>
  <si>
    <t>rusuh nya itu krn ga becus mrk yg jd pejabat.. Tiap hari byk meninggal, obat n oksigen langka, rs kolaps, ppkm ga kunjung usai,</t>
  </si>
  <si>
    <t>@ainunnajib Belum lock down baru PPKm saja banyak ma
 Syarikat yg menantang tidak mau patuh.
 Di bandara org ada yg mengamuk tidak izinkan terbang ke propinsi lain atau daerah lain</t>
  </si>
  <si>
    <t>Belum lock down baru PPKm saja banyak maSyarikat yg menantang tidak mau patuh.Di bandara org ada yg mengamuk tidak izinkan terbang ke propinsi lain atau daerah lain</t>
  </si>
  <si>
    <t>Jika memperhatikan UU karantina maka menurut saya kebijakan PPKM adalah kebijakan licik.Yg jelas2 menyengsarakan rakyat demi proyek2 ambisius mereka dgn segala kemungkinan pat gulipatnya lancar tak terhambat.Kalau betul begitu berarti kalian pemimpin BIADAB.</t>
  </si>
  <si>
    <t>@bertanyarl mungkin aja karna ppkm jalanan di tutup nder makanya berenti statusnya</t>
  </si>
  <si>
    <t>mungkin aja karna ppkm jalanan di tutup nder makanya berenti statusnya</t>
  </si>
  <si>
    <t>Pengen bgt pijet ini punggung udah ekstra remuk tp masih PPKM season 4 gmn dah</t>
  </si>
  <si>
    <t>Pengen bgt pijet ini punggung udah ekstra remuk tp masih PPKM season gmn dah</t>
  </si>
  <si>
    <t>@DivHumas_Polri Kalau Level 1 dan Level 2 maksudnya bagaimana ya ? Apa bedanya dengan PPKM Darurat ? Tks</t>
  </si>
  <si>
    <t>Kalau Level dan Level maksudnya bagaimana ya ? Apa bedanya dengan PPKM Darurat ? Tks</t>
  </si>
  <si>
    <t>pls klu dah selesai ppkm jgn terlalu barbar biar ga mengulangi kesalahan yg sm, yok bisa yok</t>
  </si>
  <si>
    <t>Pengendalian 
 Perasaan 
 Ketika 
 Marah 
 PPKM ala islam itu indah</t>
  </si>
  <si>
    <t>Pengendalian Perasaan Ketika Marah PPKM ala islam itu indah</t>
  </si>
  <si>
    <t>#StopBuatKerumunan , semua sudah diatur,. Jadi tak ad alasan lg tuk melanggar. Bahkan pemerintah tlah mngucurkan bansos tuk menahan efek PPKM Darurat. Sayangi dirimu, patuhi prokes, kurangi mobilitas daan ikut vaksin https://t.co/ScbaovqzbE</t>
  </si>
  <si>
    <t>, semua sudah diatur,. Jadi tak ad alasan lg tuk melanggar. Bahkan pemerintah tlah mngucurkan bansos tuk menahan efek PPKM Darurat. Sayangi dirimu, patuhi prokes, kurangi mobilitas daan ikut vaksin</t>
  </si>
  <si>
    <t>@mohmahfudmd Pak rakyat ppkm ....tinggal dirumah ngga makan mati sudah kena covid isoman ngga bisa makan ...gimana imun naik...sedang kalau mereka keluar bisa cari makan bisa buat naikin imun ....pikir pak</t>
  </si>
  <si>
    <t>Pak rakyat ppkm ....tinggal dirumah ngga makan mati sudah kena covid isoman ngga bisa makan ...gimana imun naik...sedang kalau mereka keluar bisa cari makan bisa buat naikin imun ....pikir pak</t>
  </si>
  <si>
    <t>@mohmahfudmd Bapak enak walaupu ppkm bisa nonton karna gajian tiap bulan.trus gimana kami rakyat klo gk keluar cari uang gk makan pak.dapat hari ini utk makan besok</t>
  </si>
  <si>
    <t>Bapak enak walaupu ppkm bisa nonton karna gajian tiap bulan.trus gimana kami rakyat klo gk keluar cari uang gk makan pak.dapat hari ini utk makan besok</t>
  </si>
  <si>
    <t>Atau cara penertiban PPKM kaya gini nih, masih banyak kok cara untuk memanusiakan manusia.
 Enaak kan? Tanpa ada pukul-pukulan.
 Merendah tidak akan menjatuhkan martabat aparat kok.
 Apalagi ditambah kedermawanan.
 Toh sama-sama mahkluk Tuhan, sama-sama cari makan.
 Semangat!! https://t.co/zniOye0M29</t>
  </si>
  <si>
    <t>Atau cara penertiban PPKM kaya gini nih, masih banyak kok cara untuk memanusiakan manusia.Enaak kan? Tanpa ada pukul-pukulan.Merendah tidak akan menjatuhkan martabat aparat kok.Apalagi ditambah kedermawanan.Toh sama-sama mahkluk Tuhan, sama-sama cari makan.Semangat!!</t>
  </si>
  <si>
    <t>@mohmahfudmd Kalo gitu bapak setuju ga PPKM diperpanjang? Biar bisa khatam nonton sinetronnya</t>
  </si>
  <si>
    <t>Kalo gitu bapak setuju ga PPKM diperpanjang? Biar bisa khatam nonton sinetronnya</t>
  </si>
  <si>
    <t>PPKM
 Pelan-pelan kita mati💔</t>
  </si>
  <si>
    <t>PPKMPelan-pelan kita mati</t>
  </si>
  <si>
    <t>sanksi tegas yang diberikan terhadap pelanggar kebijakan pemerintah tentang PPKM Darurat Covid-19.
 Bertujuan mendisiplinkan diri masyarakat agar tetap mematuhi protokol kesehatan dan aturan PPKM Darurat.
 #StopBuatKerumunan https://t.co/RWEn53mpgr</t>
  </si>
  <si>
    <t>sanksi tegas yang diberikan terhadap pelanggar kebijakan pemerintah tentang PPKM Darurat Covid-19.Bertujuan mendisiplinkan diri masyarakat agar tetap mematuhi protokol kesehatan dan aturan PPKM Darurat.</t>
  </si>
  <si>
    <t>Rakyat butuh tunjangan hidup dari pemerintah selama PPKM. Narasi hatea hatei radikal radikul ga akan bikin kenyang. https://t.co/4LOXZZyung</t>
  </si>
  <si>
    <t>Rakyat butuh tunjangan hidup dari pemerintah selama PPKM. Narasi hatea hatei radikal radikul ga akan bikin kenyang.</t>
  </si>
  <si>
    <t>Ngeluh, nyuarain pendapat boleh terkait PPKM sekarang ini. Tapi harus gercep putar otak jgn cuma diem,pasrah sama kondisi sekarang. Yuk bisa yuuk!! Terutama buat kita-kita ini yg masih muda &amp;amp; sehat.</t>
  </si>
  <si>
    <t>@tataahuu IC ini tp menarik mungkin buat politisi sebagai salah satu kendaraannya untuk disukai dan deket sm rakyat, mungkin. Krn daya tarik dan militan fansnya. Wkwkwk tp ya gak pas pandemi lg tinggi tingginya begini dan PPKM merugikan hajat buanyakkkkkk orang juga sih……. 😢</t>
  </si>
  <si>
    <t>IC ini tp menarik mungkin buat politisi sebagai salah satu kendaraannya untuk disukai dan deket sm rakyat, mungkin. Krn daya tarik dan militan fansnya. Wkwkwk tp ya gak pas pandemi lg tinggi tingginya begini dan PPKM merugikan hajat buanyakkkkkk orang juga sih.</t>
  </si>
  <si>
    <t>@mohmahfudmd enak ya PPKM yg punya gaji apalagi gaji Menteri bisa goyang kaki mgkn + goyang ubur'.lah rakyat kecil dagang bubur didenda disemprot air,negara kasih makan kaga,disuruh diem nonton sinetron bisa mati ga makan pak. https://t.co/UODYoF2X0n</t>
  </si>
  <si>
    <t>enak ya PPKM yg punya gaji apalagi gaji Menteri bisa goyang kaki mgkn + goyang ubur'.lah rakyat kecil dagang bubur didenda disemprot air,negara kasih makan kaga,disuruh diem nonton sinetron bisa mati ga makan pak.</t>
  </si>
  <si>
    <t>Kualitas menteri....❓❓❓❓❓
 TRAGIS! Rakyat Sengsara Ekonominya Morat-Marit Karena PPKM Darurat, Mahfud MD Malah Asyik Nonton Sinetron 'Ikatan Cinta' https://t.co/SXkKKcfApk</t>
  </si>
  <si>
    <t>Kualitas menteri....TRAGIS! Rakyat Sengsara Ekonominya Morat-Marit Karena PPKM Darurat, Mahfud MD Malah Asyik Nonton Sinetron 'Ikatan Cinta'</t>
  </si>
  <si>
    <t>@VIVAcoid Sudah lah pak biarkan yg berwenang melaksanakan tugasnya, bapak tinggal perintah saja, kalau begini takutnya akan menimbulkan kerumunan, kan sia sia PPKM yg di jalankan pemerintah kita jika rakyat nya susah di atur</t>
  </si>
  <si>
    <t>Sudah lah pak biarkan yg berwenang melaksanakan tugasnya, bapak tinggal perintah saja, kalau begini takutnya akan menimbulkan kerumunan, kan sia sia PPKM yg di jalankan pemerintah kita jika rakyat nya susah di atur</t>
  </si>
  <si>
    <t>@mohmahfudmd Halo Pak, Saudara sampeyan di Madura rame demo krn sdh nggak tau lagi gimana nyari makan. 
 Ayo Pak plg ke saudara sampeyan di pulau Madura. Kasih gaji Anda sbg pejabat publik ke mrk untuk mrk makan selama PPKM. 
 Itu lbh bermartabat untuk Anda sbg pejabat publik drpd sekedar gini.</t>
  </si>
  <si>
    <t>Halo Pak, Saudara sampeyan di Madura rame demo krn sdh nggak tau lagi gimana nyari makan. Ayo Pak plg ke saudara sampeyan di pulau Madura. Kasih gaji Anda sbg pejabat publik ke mrk untuk mrk makan selama PPKM. Itu lbh bermartabat untuk Anda sbg pejabat publik drpd sekedar gini.</t>
  </si>
  <si>
    <t>Rakyat lagi susah cari sesuap nasi, di uber, di buru di gebukin gak boleh jualan dia mah se bacot²nya cerita asyik memuaskan otaknya sendiri tanpa bisa memberikan solusi pelaksanaan PPKM yg manusiawi. 
 Potret Buruk pejabat di Rezim Jokowi https://t.co/7xZzlkcniT</t>
  </si>
  <si>
    <t>Rakyat lagi susah cari sesuap nasi, di uber, di buru di gebukin gak boleh jualan dia mah se bacotnya cerita asyik memuaskan otaknya sendiri tanpa bisa memberikan solusi pelaksanaan PPKM yg manusiawi. Potret Buruk pejabat di Rezim Jokowi</t>
  </si>
  <si>
    <t>@mohmahfudmd Saya kira pada masa PPKM itu juga WFH dan sisanya diisi baca buku atau meningkatkan kualitas diri. Ternyata buat nonton Sinetron ya Prof. Hehehe... asyik juga teladan pemimpin di negeri ini. Banyak rakyat yg menderita suara jeritnya tak terdengar. Itu bukan Sinetron !!!.</t>
  </si>
  <si>
    <t>Saya kira pada masa PPKM itu juga WFH dan sisanya diisi baca buku atau meningkatkan kualitas diri. Ternyata buat nonton Sinetron ya Prof. Hehehe... asyik juga teladan pemimpin di negeri ini. Banyak rakyat yg menderita suara jeritnya tak terdengar. Itu bukan Sinetron !!!.</t>
  </si>
  <si>
    <t>Covid Makin Ganas , lur
 Jangan Mudah Terprovokasi
 #StopBuatKerumunan
 kita manut saja
 dengan Pemerintah
 selalu sabar
 hingga vaksinasi merata
 Perut memang lapar
 Dompet sudah kering
 Pusing kebutuhan hidup
 Tapi Keselamatan Jiwa
 adalah utama !
 SADAR
 sukseskan program
 PPKM DARURAT https://t.co/gGHPnQsq8x</t>
  </si>
  <si>
    <t>Covid Makin Ganas , lurJangan Mudah Terprovokasi manut sajadengan Pemerintahselalu sabarhingga vaksinasi merataPerut memang laparDompet sudah keringPusing kebutuhan hidupTapi Keselamatan Jiwaadalah utama !SADARsukseskan programPPKM DARURAT</t>
  </si>
  <si>
    <t>@luthfiwahyu11 Gak ada Akhlaq Mfud itu,Tidak Peka dengan Penderitaan Rakyat Jelata
 Pakai Gaji uang Rakyat tp tidak Simpati sm Rakyat yang susah cari uang untuk makan dampak PPKM
 Dan "INILAH POTRET WAJAH PEJABAT INDONESIA"</t>
  </si>
  <si>
    <t>Gak ada Akhlaq Mfud itu,Tidak Peka dengan Penderitaan Rakyat JelataPakai Gaji uang Rakyat tp tidak Simpati sm Rakyat yang susah cari uang untuk makan dampak PPKMDan "INILAH POTRET WAJAH PEJABAT INDONESIA"</t>
  </si>
  <si>
    <t>@mohmahfudmd Rakyat kelaparan akibat PPKM, prihatin dong.</t>
  </si>
  <si>
    <t>Rakyat kelaparan akibat PPKM, prihatin dong.</t>
  </si>
  <si>
    <t>Ayoo kita peduli jangan abai protokol kesehatan, dalam masa PPKM Darurat Jawa Bali utk sementara waktu kita ibadah dirumah saja..
 #StopBuatKerumunan https://t.co/duwdEWsbZq</t>
  </si>
  <si>
    <t>Ayoo kita peduli jangan abai protokol kesehatan, dalam masa PPKM Darurat Jawa Bali utk sementara waktu kita ibadah dirumah saja..</t>
  </si>
  <si>
    <t>masih dalam rangka latihan render edisi gabut PPKM wkwkwk
 #interiordesign 
 #IndonesiaPastiBisa 
 #desaininterior https://t.co/mJEolUpjh3</t>
  </si>
  <si>
    <t>masih dalam rangka latihan render edisi gabut PPKM wkwkwk</t>
  </si>
  <si>
    <t>PPKM tidak akan bisa menyelesaikan persoalan covid namun sejatinya PPKM akan membuat rakyat kecil susah untuk mencari nafkah hidupnya,,
 @detikcom 
 @kompascom 
 @VIVAcoid @KompasTV</t>
  </si>
  <si>
    <t>PPKM tidak akan bisa menyelesaikan persoalan covid namun sejatinya PPKM akan membuat rakyat kecil susah untuk mencari nafkah hidupnya,,</t>
  </si>
  <si>
    <t>@mohmahfudmd Pak.. itu kan sinetron, mending pikirin pedagang mau cari makan bagaiman di masa PPKM pedagang tidak boleh buka lapak makan ditempat. Sedangkan mie ayam saya pada seneng makan ditempat. Bapak tau kan klo mie ayam itu jajanan yg lebih nikmat dimakan ditempat.</t>
  </si>
  <si>
    <t>Pak.. itu kan sinetron, mending pikirin pedagang mau cari makan bagaiman di masa PPKM pedagang tidak boleh buka lapak makan ditempat. Sedangkan mie ayam saya pada seneng makan ditempat. Bapak tau kan klo mie ayam itu jajanan yg lebih nikmat dimakan ditempat.</t>
  </si>
  <si>
    <t>@detikcom Bagus tapi emang yg butuh sunter doang..tengok orang dagang yg habis di buat sama satpol pp tolong dana bansos yg di GARONG rekan PDIP do buat bayar denda rakyat yg kena hukuman ppkm.</t>
  </si>
  <si>
    <t>Bagus tapi emang yg butuh sunter doang..tengok orang dagang yg habis di buat sama satpol pp tolong dana bansos yg di GARONG rekan PDIP do buat bayar denda rakyat yg kena hukuman ppkm.</t>
  </si>
  <si>
    <t>Semalem jam 10 kurang gw ke apotik beli obat dan liat daerah rumah gw ga ada ppkm. Itu angkringan apa yg jual mknn di sepanjang pinggir jln, banyak. Yg beli &amp;amp; mkn jg di tmpt jg ada. Apaan yg ppkm. Mau covid cepat kelar ga sih 😭😭😭😭😭 https://t.co/5xUildp8m6</t>
  </si>
  <si>
    <t>Semalem jam kurang gw ke apotik beli obat dan liat daerah rumah gw ga ada ppkm. Itu angkringan apa yg jual mknn di sepanjang pinggir jln, banyak. Yg beli &amp;amp; mkn jg di tmpt jg ada. Apaan yg ppkm. Mau covid cepat kelar ga sih</t>
  </si>
  <si>
    <t>@sakurameen @HaiHaf @AREAJULID iya abis ppkm, kan ppkm ga selamanya ☺️☺️</t>
  </si>
  <si>
    <t>iya abis ppkm, kan ppkm ga selamanya</t>
  </si>
  <si>
    <t>PPKM dan kasus harian yang naik terus memberi kesempatan kpd sy utk overthinking mikirin lahiran nnt gmn karena faskes pada penuh, mau ketemu org takut, mau keluar takut, di rumah aja liat berita ibu hamil&amp;amp;bayi banyak yang +, tukang bubur jam segini belum lewat juga hadeh laper https://t.co/1YSvRTYoqd</t>
  </si>
  <si>
    <t>PPKM dan kasus harian yang naik terus memberi kesempatan kpd sy utk overthinking mikirin lahiran nnt gmn karena faskes pada penuh, mau ketemu org takut, mau keluar takut, di rumah aja liat berita ibu hamil&amp;amp;bayi banyak yang +, tukang bubur jam segini belum lewat juga hadeh laper</t>
  </si>
  <si>
    <t>@Unsoedfess1963 kemaren sempet jualan lagi nder, tapi gak tau skarang lgi tutup soalnya ppkm</t>
  </si>
  <si>
    <t>kemaren sempet jualan lagi nder, tapi gak tau skarang lgi tutup soalnya ppkm</t>
  </si>
  <si>
    <t>@aMrazing PPKM adalah Pamong Praja Kerjanya Memukul.</t>
  </si>
  <si>
    <t>PPKM adalah Pamong Praja Kerjanya Memukul.</t>
  </si>
  <si>
    <t>Seharusnya ppkm dibarengi dengan bantuan dari pemertintah dan kepala daerah harusnya mengunjungi warganya dengar apa keluhan mereka apa maunya mereka. https://t.co/NVucQ0fqdg</t>
  </si>
  <si>
    <t>Seharusnya ppkm dibarengi dengan bantuan dari pemertintah dan kepala daerah harusnya mengunjungi warganya dengar apa keluhan mereka apa maunya mereka.</t>
  </si>
  <si>
    <t>PPKM : Peraturan Pemerintah Kini Menyengsarakan 
 #PPKMSengsarakanRakyat
 #PresidenGagalWajibDiganti
 Ada lagi???</t>
  </si>
  <si>
    <t>PPKM : Peraturan Pemerintah Kini Menyengsarakan lagi???</t>
  </si>
  <si>
    <t>@mohmahfudmd Disini jg muter2 pak, gak jelas mo kmn tangani pandemi, termasuk pelaksanaan UU Karantina Kesehatan mulai istilah PSBB ke PPKM ke PPKM Darurat mungkin stlh ini PPKM Ekstrim. Hehehe</t>
  </si>
  <si>
    <t>Disini jg muter2 pak, gak jelas mo kmn tangani pandemi, termasuk pelaksanaan UU Karantina Kesehatan mulai istilah PSBB ke PPKM ke PPKM Darurat mungkin stlh ini PPKM Ekstrim. Hehehe</t>
  </si>
  <si>
    <t>@JoKarfi @bertanyarl toss online karna lagi ppkm🙌</t>
  </si>
  <si>
    <t>toss online karna lagi ppkm</t>
  </si>
  <si>
    <t>Ppkm sebenernya gaboleh berkerumun apa gaboleh dagang si</t>
  </si>
  <si>
    <t>Drpd nonton sinetron, mending bagi2 duit kayak gini.. PPKM memberi kesempatan utk berbagi dan saling membantu.. ☺ https://t.co/YzPtN4RnjS</t>
  </si>
  <si>
    <t>Drpd nonton sinetron, mending bagi2 duit kayak gini.. PPKM memberi kesempatan utk berbagi dan saling membantu..</t>
  </si>
  <si>
    <t>PPKM, pelan-pelan kalau masukin.</t>
  </si>
  <si>
    <t>Masih ada kepala desa/camat bahkan kepala daerah yg justru memprovokasi warganya unt tidak patuh thd ppkm https://t.co/SNBc3ruzAQ</t>
  </si>
  <si>
    <t>Masih ada kepala desa/camat bahkan kepala daerah yg justru memprovokasi warganya unt tidak patuh thd ppkm</t>
  </si>
  <si>
    <t>Aku suka PPKM,
 Tapi tanpa pp di depannya.</t>
  </si>
  <si>
    <t>Aku suka PPKM,Tapi tanpa pp di depannya.</t>
  </si>
  <si>
    <t>@mohmahfudmd Menteri2 ini perlu tidak dibayarkan gajinya setahun full..biar ngerti makna PPKM. Kita bayar pajak meski dengan dipotong sana sini, tambahan biaya sana sini buat ngebiayaain orang2 macam beginikah?</t>
  </si>
  <si>
    <t>Menteri2 ini perlu tidak dibayarkan gajinya setahun full..biar ngerti makna PPKM. Kita bayar pajak meski dengan dipotong sana sini, tambahan biaya sana sini buat ngebiayaain orang2 macam beginikah?</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</si>
</sst>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font>
    <font>
      <b/>
      <sz val="11.0"/>
      <color rgb="FF000000"/>
      <name val="Calibri"/>
    </font>
    <font>
      <b/>
      <color theme="1"/>
      <name val="Calibri"/>
    </font>
    <font>
      <color theme="1"/>
      <name val="Arial"/>
    </font>
    <font>
      <color theme="1"/>
      <name val="Calibri"/>
    </font>
    <font>
      <sz val="11.0"/>
      <color rgb="FF000000"/>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1" fillId="0" fontId="2" numFmtId="0" xfId="0" applyAlignment="1" applyBorder="1" applyFont="1">
      <alignment horizontal="center" vertical="top"/>
    </xf>
    <xf borderId="0" fillId="0" fontId="3" numFmtId="0" xfId="0" applyAlignment="1" applyFont="1">
      <alignment vertical="bottom"/>
    </xf>
    <xf borderId="0" fillId="2" fontId="4" numFmtId="0" xfId="0" applyAlignment="1" applyFill="1" applyFont="1">
      <alignment readingOrder="0"/>
    </xf>
    <xf borderId="0" fillId="0" fontId="5" numFmtId="0" xfId="0" applyAlignment="1" applyFont="1">
      <alignment readingOrder="0" shrinkToFit="0" vertical="bottom" wrapText="0"/>
    </xf>
    <xf borderId="0" fillId="0" fontId="4" numFmtId="0" xfId="0" applyFont="1"/>
    <xf borderId="1" fillId="0" fontId="3" numFmtId="0" xfId="0" applyAlignment="1" applyBorder="1" applyFont="1">
      <alignment shrinkToFit="0" vertical="bottom" wrapText="0"/>
    </xf>
    <xf borderId="0" fillId="2" fontId="4" numFmtId="0" xfId="0" applyFont="1"/>
    <xf borderId="1" fillId="0" fontId="3" numFmtId="0" xfId="0" applyAlignment="1" applyBorder="1" applyFont="1">
      <alignment shrinkToFit="0" vertical="bottom" wrapText="0"/>
    </xf>
    <xf borderId="0" fillId="0" fontId="3" numFmtId="0" xfId="0" applyAlignment="1" applyFont="1">
      <alignment vertical="bottom"/>
    </xf>
    <xf borderId="0" fillId="0" fontId="3" numFmtId="0" xfId="0" applyAlignment="1" applyFont="1">
      <alignment horizontal="center" vertical="bottom"/>
    </xf>
    <xf borderId="0" fillId="0" fontId="3" numFmtId="0" xfId="0" applyAlignment="1" applyFont="1">
      <alignment vertical="bottom"/>
    </xf>
    <xf borderId="0" fillId="0" fontId="2" numFmtId="0" xfId="0" applyAlignment="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61.63"/>
    <col customWidth="1" min="3" max="3" width="7.63"/>
    <col customWidth="1" min="4" max="4" width="42.38"/>
    <col customWidth="1" min="5" max="5" width="56.13"/>
  </cols>
  <sheetData>
    <row r="1">
      <c r="B1" s="1" t="s">
        <v>0</v>
      </c>
      <c r="C1" s="2" t="s">
        <v>1</v>
      </c>
      <c r="D1" s="3" t="s">
        <v>2</v>
      </c>
      <c r="E1" s="4" t="s">
        <v>3</v>
      </c>
    </row>
    <row r="2">
      <c r="A2" s="2">
        <v>0.0</v>
      </c>
      <c r="B2" s="5" t="s">
        <v>4</v>
      </c>
      <c r="C2" s="6">
        <v>2.0</v>
      </c>
      <c r="D2" s="7" t="s">
        <v>5</v>
      </c>
      <c r="E2" s="8" t="str">
        <f>IFERROR(__xludf.DUMMYFUNCTION("googletranslate(D2,""id"",""en"")"),"Today, I started PPKM ...")</f>
        <v>Today, I started PPKM ...</v>
      </c>
    </row>
    <row r="3">
      <c r="A3" s="2">
        <v>1.0</v>
      </c>
      <c r="B3" s="5" t="s">
        <v>6</v>
      </c>
      <c r="C3" s="6">
        <v>2.0</v>
      </c>
      <c r="D3" s="7" t="s">
        <v>7</v>
      </c>
      <c r="E3" s="8" t="str">
        <f>IFERROR(__xludf.DUMMYFUNCTION("googletranslate(D3,""id"",""en"")"),"Please info whether PGS Pasar Turi during PPKM is open as usual or lid. thank you")</f>
        <v>Please info whether PGS Pasar Turi during PPKM is open as usual or lid. thank you</v>
      </c>
    </row>
    <row r="4">
      <c r="A4" s="2">
        <v>2.0</v>
      </c>
      <c r="B4" s="5" t="s">
        <v>8</v>
      </c>
      <c r="C4" s="6">
        <v>2.0</v>
      </c>
      <c r="D4" s="7" t="s">
        <v>9</v>
      </c>
      <c r="E4" s="8" t="str">
        <f>IFERROR(__xludf.DUMMYFUNCTION("googletranslate(D4,""id"",""en"")"),"At home just because again ppkmentah will be what")</f>
        <v>At home just because again ppkmentah will be what</v>
      </c>
    </row>
    <row r="5">
      <c r="A5" s="2">
        <v>3.0</v>
      </c>
      <c r="B5" s="5" t="s">
        <v>10</v>
      </c>
      <c r="C5" s="6">
        <v>1.0</v>
      </c>
      <c r="D5" s="7" t="s">
        <v>11</v>
      </c>
      <c r="E5" s="8" t="str">
        <f>IFERROR(__xludf.DUMMYFUNCTION("googletranslate(D5,""id"",""en"")"),"The base of handling pandemic in Indonesia that seemed chaotic was the lack of euracy in the application of prokes, PSBB and PPKM both micro and, the example yesterday in Sidoarjo was a vaccine but caused great ambums. Podo Ae Wkwk.")</f>
        <v>The base of handling pandemic in Indonesia that seemed chaotic was the lack of euracy in the application of prokes, PSBB and PPKM both micro and, the example yesterday in Sidoarjo was a vaccine but caused great ambums. Podo Ae Wkwk.</v>
      </c>
    </row>
    <row r="6">
      <c r="A6" s="2">
        <v>4.0</v>
      </c>
      <c r="B6" s="5" t="s">
        <v>12</v>
      </c>
      <c r="C6" s="6">
        <v>1.0</v>
      </c>
      <c r="D6" s="7" t="s">
        <v>12</v>
      </c>
      <c r="E6" s="8" t="str">
        <f>IFERROR(__xludf.DUMMYFUNCTION("googletranslate(D6,""id"",""en"")"),"Micro PPKM Anjinggggggggggggggggggggggggggg")</f>
        <v>Micro PPKM Anjinggggggggggggggggggggggggggg</v>
      </c>
    </row>
    <row r="7">
      <c r="A7" s="2">
        <v>5.0</v>
      </c>
      <c r="B7" s="5" t="s">
        <v>13</v>
      </c>
      <c r="C7" s="6">
        <v>1.0</v>
      </c>
      <c r="D7" s="7" t="s">
        <v>14</v>
      </c>
      <c r="E7" s="8" t="str">
        <f>IFERROR(__xludf.DUMMYFUNCTION("googletranslate(D7,""id"",""en"")"),"At the moment it is precisely like in the situation of war situations like now, where many lives are floating. The government / security forces are practicing micro PPKM if they do not firmly arrest the politicians of sheep complainants, drunken religion "&amp;"and regional officials who dissidents!")</f>
        <v>At the moment it is precisely like in the situation of war situations like now, where many lives are floating. The government / security forces are practicing micro PPKM if they do not firmly arrest the politicians of sheep complainants, drunken religion and regional officials who dissidents!</v>
      </c>
    </row>
    <row r="8">
      <c r="A8" s="2">
        <v>6.0</v>
      </c>
      <c r="B8" s="5" t="s">
        <v>15</v>
      </c>
      <c r="C8" s="6">
        <v>1.0</v>
      </c>
      <c r="D8" s="7" t="s">
        <v>16</v>
      </c>
      <c r="E8" s="8" t="str">
        <f>IFERROR(__xludf.DUMMYFUNCTION("googletranslate(D8,""id"",""en"")"),"Beat the emergency PPKM violator using the Quarantine Law. But the obligation is not read ... the stupid is his name")</f>
        <v>Beat the emergency PPKM violator using the Quarantine Law. But the obligation is not read ... the stupid is his name</v>
      </c>
    </row>
    <row r="9">
      <c r="A9" s="2">
        <v>7.0</v>
      </c>
      <c r="B9" s="5" t="s">
        <v>17</v>
      </c>
      <c r="C9" s="6">
        <v>3.0</v>
      </c>
      <c r="D9" s="7" t="s">
        <v>17</v>
      </c>
      <c r="E9" s="8" t="str">
        <f>IFERROR(__xludf.DUMMYFUNCTION("googletranslate(D9,""id"",""en"")"),"Micro PPKM starts today, take care of the health, hilap emam")</f>
        <v>Micro PPKM starts today, take care of the health, hilap emam</v>
      </c>
    </row>
    <row r="10">
      <c r="A10" s="2">
        <v>8.0</v>
      </c>
      <c r="B10" s="5" t="s">
        <v>18</v>
      </c>
      <c r="C10" s="6">
        <v>1.0</v>
      </c>
      <c r="D10" s="7" t="s">
        <v>18</v>
      </c>
      <c r="E10" s="8" t="str">
        <f>IFERROR(__xludf.DUMMYFUNCTION("googletranslate(D10,""id"",""en"")"),"As a result of the emergency PPKM, it was forced to be vaccinated too ...")</f>
        <v>As a result of the emergency PPKM, it was forced to be vaccinated too ...</v>
      </c>
    </row>
    <row r="11">
      <c r="A11" s="2">
        <v>9.0</v>
      </c>
      <c r="B11" s="5" t="s">
        <v>19</v>
      </c>
      <c r="C11" s="6">
        <v>2.0</v>
      </c>
      <c r="D11" s="7" t="s">
        <v>20</v>
      </c>
      <c r="E11" s="8" t="str">
        <f>IFERROR(__xludf.DUMMYFUNCTION("googletranslate(D11,""id"",""en"")"),"A this is valid from June right? What is the PPKM right like that, there is no addition, there is no additional?")</f>
        <v>A this is valid from June right? What is the PPKM right like that, there is no addition, there is no additional?</v>
      </c>
    </row>
    <row r="12">
      <c r="A12" s="2">
        <v>10.0</v>
      </c>
      <c r="B12" s="5" t="s">
        <v>21</v>
      </c>
      <c r="C12" s="6">
        <v>1.0</v>
      </c>
      <c r="D12" s="7" t="s">
        <v>22</v>
      </c>
      <c r="E12" s="8" t="str">
        <f>IFERROR(__xludf.DUMMYFUNCTION("googletranslate(D12,""id"",""en"")"),"Lah Emergency PPKM Purpose Is Not Successful or Sia2 ... SPT UDH2, the people are prohibited from homecoming thousands of TKA MSK to Indonesia")</f>
        <v>Lah Emergency PPKM Purpose Is Not Successful or Sia2 ... SPT UDH2, the people are prohibited from homecoming thousands of TKA MSK to Indonesia</v>
      </c>
    </row>
    <row r="13">
      <c r="A13" s="2">
        <v>11.0</v>
      </c>
      <c r="B13" s="5" t="s">
        <v>23</v>
      </c>
      <c r="C13" s="6">
        <v>2.0</v>
      </c>
      <c r="D13" s="7" t="s">
        <v>24</v>
      </c>
      <c r="E13" s="8" t="str">
        <f>IFERROR(__xludf.DUMMYFUNCTION("googletranslate(D13,""id"",""en"")"),"Sir, please info, for Barbershop businesses (shaving men's hair) in DIY, during the Emergency PPKM Jawa and Bali starting July, can it still be open until the clock by applying a health protocol and limiting% of capacity?")</f>
        <v>Sir, please info, for Barbershop businesses (shaving men's hair) in DIY, during the Emergency PPKM Jawa and Bali starting July, can it still be open until the clock by applying a health protocol and limiting% of capacity?</v>
      </c>
    </row>
    <row r="14">
      <c r="A14" s="2">
        <v>12.0</v>
      </c>
      <c r="B14" s="5" t="s">
        <v>25</v>
      </c>
      <c r="C14" s="6">
        <v>1.0</v>
      </c>
      <c r="D14" s="7" t="s">
        <v>26</v>
      </c>
      <c r="E14" s="8" t="str">
        <f>IFERROR(__xludf.DUMMYFUNCTION("googletranslate(D14,""id"",""en"")"),"Want to go? Then see this flyer JD doesn't want to go (PPKM day starts)")</f>
        <v>Want to go? Then see this flyer JD doesn't want to go (PPKM day starts)</v>
      </c>
    </row>
    <row r="15">
      <c r="A15" s="2">
        <v>13.0</v>
      </c>
      <c r="B15" s="5" t="s">
        <v>27</v>
      </c>
      <c r="C15" s="6">
        <v>1.0</v>
      </c>
      <c r="D15" s="9" t="s">
        <v>28</v>
      </c>
      <c r="E15" s="8" t="str">
        <f>IFERROR(__xludf.DUMMYFUNCTION("googletranslate(D15,""id"",""en"")"),"Ppkm day. Because so Indonesian citizens are dizzy, then don't need to run the zone.")</f>
        <v>Ppkm day. Because so Indonesian citizens are dizzy, then don't need to run the zone.</v>
      </c>
    </row>
    <row r="16">
      <c r="A16" s="2">
        <v>14.0</v>
      </c>
      <c r="B16" s="5" t="s">
        <v>29</v>
      </c>
      <c r="C16" s="6">
        <v>1.0</v>
      </c>
      <c r="D16" s="7" t="s">
        <v>30</v>
      </c>
      <c r="E16" s="8" t="str">
        <f>IFERROR(__xludf.DUMMYFUNCTION("googletranslate(D16,""id"",""en"")"),"Start Arrogan Sodara!? The rules are really, reality &amp; amp; Implementation. Emergency.ppkm. Kepal kept ~")</f>
        <v>Start Arrogan Sodara!? The rules are really, reality &amp; amp; Implementation. Emergency.ppkm. Kepal kept ~</v>
      </c>
    </row>
    <row r="17">
      <c r="A17" s="2">
        <v>15.0</v>
      </c>
      <c r="B17" s="5" t="s">
        <v>31</v>
      </c>
      <c r="C17" s="6">
        <v>2.0</v>
      </c>
      <c r="D17" s="7" t="s">
        <v>32</v>
      </c>
      <c r="E17" s="8" t="str">
        <f>IFERROR(__xludf.DUMMYFUNCTION("googletranslate(D17,""id"",""en"")"),"South Tangerang Enter PPKM ... Pantesan semalem to Indomaret Everything uses a mask, usually someone doesn't use it")</f>
        <v>South Tangerang Enter PPKM ... Pantesan semalem to Indomaret Everything uses a mask, usually someone doesn't use it</v>
      </c>
    </row>
    <row r="18">
      <c r="A18" s="2">
        <v>16.0</v>
      </c>
      <c r="B18" s="5" t="s">
        <v>33</v>
      </c>
      <c r="C18" s="6">
        <v>2.0</v>
      </c>
      <c r="D18" s="9" t="s">
        <v>34</v>
      </c>
      <c r="E18" s="8" t="str">
        <f>IFERROR(__xludf.DUMMYFUNCTION("googletranslate(D18,""id"",""en"")"),"Before the PPKM also no one invited me, a little used to haha")</f>
        <v>Before the PPKM also no one invited me, a little used to haha</v>
      </c>
    </row>
    <row r="19">
      <c r="A19" s="2">
        <v>17.0</v>
      </c>
      <c r="B19" s="5" t="s">
        <v>35</v>
      </c>
      <c r="C19" s="6">
        <v>3.0</v>
      </c>
      <c r="D19" s="9" t="s">
        <v>36</v>
      </c>
      <c r="E19" s="8" t="str">
        <f>IFERROR(__xludf.DUMMYFUNCTION("googletranslate(D19,""id"",""en"")"),"PPKM Starting today remains obeying Prokes and keeping the body's immune multiply Sports - Drink lots of water - Honey - Don't stay upstairs- Eat regularly - Take care of the crowd-away crowd (GW JOMBLO CUCCK)")</f>
        <v>PPKM Starting today remains obeying Prokes and keeping the body's immune multiply Sports - Drink lots of water - Honey - Don't stay upstairs- Eat regularly - Take care of the crowd-away crowd (GW JOMBLO CUCCK)</v>
      </c>
    </row>
    <row r="20">
      <c r="A20" s="2">
        <v>18.0</v>
      </c>
      <c r="B20" s="5" t="s">
        <v>37</v>
      </c>
      <c r="C20" s="6">
        <v>1.0</v>
      </c>
      <c r="D20" s="7" t="s">
        <v>37</v>
      </c>
      <c r="E20" s="8" t="str">
        <f>IFERROR(__xludf.DUMMYFUNCTION("googletranslate(D20,""id"",""en"")"),"Emergency PPKM The first day was filled with the announcement of death.")</f>
        <v>Emergency PPKM The first day was filled with the announcement of death.</v>
      </c>
    </row>
    <row r="21" ht="15.75" customHeight="1">
      <c r="A21" s="2">
        <v>19.0</v>
      </c>
      <c r="B21" s="5" t="s">
        <v>38</v>
      </c>
      <c r="C21" s="6">
        <v>2.0</v>
      </c>
      <c r="D21" s="7" t="s">
        <v>39</v>
      </c>
      <c r="E21" s="8" t="str">
        <f>IFERROR(__xludf.DUMMYFUNCTION("googletranslate(D21,""id"",""en"")"),"Hah? Can the Las Vegas have a party again? There is no PPKM? Ntaps.")</f>
        <v>Hah? Can the Las Vegas have a party again? There is no PPKM? Ntaps.</v>
      </c>
    </row>
    <row r="22" ht="15.75" customHeight="1">
      <c r="A22" s="2">
        <v>20.0</v>
      </c>
      <c r="B22" s="5" t="s">
        <v>40</v>
      </c>
      <c r="C22" s="6">
        <v>3.0</v>
      </c>
      <c r="D22" s="9" t="s">
        <v>41</v>
      </c>
      <c r="E22" s="8" t="str">
        <f>IFERROR(__xludf.DUMMYFUNCTION("googletranslate(D22,""id"",""en"")"),"Happy Weekend Moots, remember PPKM starting today. Better at home first")</f>
        <v>Happy Weekend Moots, remember PPKM starting today. Better at home first</v>
      </c>
    </row>
    <row r="23" ht="15.75" customHeight="1">
      <c r="A23" s="2">
        <v>21.0</v>
      </c>
      <c r="B23" s="5" t="s">
        <v>42</v>
      </c>
      <c r="C23" s="6">
        <v>2.0</v>
      </c>
      <c r="D23" s="7" t="s">
        <v>43</v>
      </c>
      <c r="E23" s="8" t="str">
        <f>IFERROR(__xludf.DUMMYFUNCTION("googletranslate(D23,""id"",""en"")"),"When PPKM has been physically forced to work. Healthy healthy body")</f>
        <v>When PPKM has been physically forced to work. Healthy healthy body</v>
      </c>
    </row>
    <row r="24" ht="15.75" customHeight="1">
      <c r="A24" s="2">
        <v>22.0</v>
      </c>
      <c r="B24" s="5" t="s">
        <v>44</v>
      </c>
      <c r="C24" s="6">
        <v>1.0</v>
      </c>
      <c r="D24" s="7" t="s">
        <v>45</v>
      </c>
      <c r="E24" s="8" t="str">
        <f>IFERROR(__xludf.DUMMYFUNCTION("googletranslate(D24,""id"",""en"")"),"PPKM does not apply to my superiors remain WHO + weekend + overtime")</f>
        <v>PPKM does not apply to my superiors remain WHO + weekend + overtime</v>
      </c>
    </row>
    <row r="25" ht="15.75" customHeight="1">
      <c r="A25" s="2">
        <v>23.0</v>
      </c>
      <c r="B25" s="5" t="s">
        <v>46</v>
      </c>
      <c r="C25" s="6">
        <v>3.0</v>
      </c>
      <c r="D25" s="7" t="s">
        <v>46</v>
      </c>
      <c r="E25" s="8" t="str">
        <f>IFERROR(__xludf.DUMMYFUNCTION("googletranslate(D25,""id"",""en"")"),"Run in the morning and see the activities of the Jakarta community at the time of the Emergency Micro PPKM, I see from the young man who just returned to his house, there were also those who wanted to deliver his mother somewhere and a healthy young man w"&amp;"as never bored to exercise.")</f>
        <v>Run in the morning and see the activities of the Jakarta community at the time of the Emergency Micro PPKM, I see from the young man who just returned to his house, there were also those who wanted to deliver his mother somewhere and a healthy young man was never bored to exercise.</v>
      </c>
    </row>
    <row r="26" ht="15.75" customHeight="1">
      <c r="A26" s="2">
        <v>24.0</v>
      </c>
      <c r="B26" s="5" t="s">
        <v>47</v>
      </c>
      <c r="C26" s="6">
        <v>3.0</v>
      </c>
      <c r="D26" s="7" t="s">
        <v>47</v>
      </c>
      <c r="E26" s="8" t="str">
        <f>IFERROR(__xludf.DUMMYFUNCTION("googletranslate(D26,""id"",""en"")"),"While Saturday and PPKM, let's find the Tour again")</f>
        <v>While Saturday and PPKM, let's find the Tour again</v>
      </c>
    </row>
    <row r="27" ht="15.75" customHeight="1">
      <c r="A27" s="2">
        <v>25.0</v>
      </c>
      <c r="B27" s="5" t="s">
        <v>48</v>
      </c>
      <c r="C27" s="6">
        <v>1.0</v>
      </c>
      <c r="D27" s="9" t="s">
        <v>49</v>
      </c>
      <c r="E27" s="8" t="str">
        <f>IFERROR(__xludf.DUMMYFUNCTION("googletranslate(D27,""id"",""en"")"),"Blum can comeback stream because of PPKM ... Sorry must be repeated again like last year.")</f>
        <v>Blum can comeback stream because of PPKM ... Sorry must be repeated again like last year.</v>
      </c>
    </row>
    <row r="28" ht="15.75" customHeight="1">
      <c r="A28" s="2">
        <v>26.0</v>
      </c>
      <c r="B28" s="5" t="s">
        <v>50</v>
      </c>
      <c r="C28" s="6">
        <v>1.0</v>
      </c>
      <c r="D28" s="7" t="s">
        <v>50</v>
      </c>
      <c r="E28" s="8" t="str">
        <f>IFERROR(__xludf.DUMMYFUNCTION("googletranslate(D28,""id"",""en"")"),"Ppkm = Mr. President, how come it's mencla ??")</f>
        <v>Ppkm = Mr. President, how come it's mencla ??</v>
      </c>
    </row>
    <row r="29" ht="15.75" customHeight="1">
      <c r="A29" s="2">
        <v>27.0</v>
      </c>
      <c r="B29" s="5" t="s">
        <v>51</v>
      </c>
      <c r="C29" s="6">
        <v>3.0</v>
      </c>
      <c r="D29" s="7" t="s">
        <v>51</v>
      </c>
      <c r="E29" s="8" t="str">
        <f>IFERROR(__xludf.DUMMYFUNCTION("googletranslate(D29,""id"",""en"")"),"Welcum PPKM tightened. Hopefully the coupling case quickly dropped dramatically")</f>
        <v>Welcum PPKM tightened. Hopefully the coupling case quickly dropped dramatically</v>
      </c>
    </row>
    <row r="30" ht="15.75" customHeight="1">
      <c r="A30" s="2">
        <v>28.0</v>
      </c>
      <c r="B30" s="5" t="s">
        <v>52</v>
      </c>
      <c r="C30" s="6">
        <v>1.0</v>
      </c>
      <c r="D30" s="9" t="s">
        <v>53</v>
      </c>
      <c r="E30" s="8" t="str">
        <f>IFERROR(__xludf.DUMMYFUNCTION("googletranslate(D30,""id"",""en"")"),"Business without ethics yes like this. I agreed that the pandemic opened the business opportunity, such as contactless economy expansion. They even helped us a lot at the time of PPKM. Ivermectin? Please follow Guideline who if you want a business!")</f>
        <v>Business without ethics yes like this. I agreed that the pandemic opened the business opportunity, such as contactless economy expansion. They even helped us a lot at the time of PPKM. Ivermectin? Please follow Guideline who if you want a business!</v>
      </c>
    </row>
    <row r="31" ht="15.75" customHeight="1">
      <c r="A31" s="2">
        <v>29.0</v>
      </c>
      <c r="B31" s="5" t="s">
        <v>54</v>
      </c>
      <c r="C31" s="6">
        <v>3.0</v>
      </c>
      <c r="D31" s="7" t="s">
        <v>54</v>
      </c>
      <c r="E31" s="8" t="str">
        <f>IFERROR(__xludf.DUMMYFUNCTION("googletranslate(D31,""id"",""en"")"),"Tetep excited for colleagues affected by Emergency PPKM.")</f>
        <v>Tetep excited for colleagues affected by Emergency PPKM.</v>
      </c>
    </row>
    <row r="32" ht="15.75" customHeight="1">
      <c r="A32" s="2">
        <v>30.0</v>
      </c>
      <c r="B32" s="5" t="s">
        <v>55</v>
      </c>
      <c r="C32" s="6">
        <v>3.0</v>
      </c>
      <c r="D32" s="9" t="s">
        <v>56</v>
      </c>
      <c r="E32" s="8" t="str">
        <f>IFERROR(__xludf.DUMMYFUNCTION("googletranslate(D32,""id"",""en"")"),"Today PPKM is applied and starts in all regions of Indonesia. Mdh2an is applied to the PPKM can reduce the spread of Covid-19 in the community. Alhamdulillah, today checks up from the heart of the morning, waiting for the Hermina Hospital. Swab Results - "&amp;"PCR Alhamdulillah Negativ")</f>
        <v>Today PPKM is applied and starts in all regions of Indonesia. Mdh2an is applied to the PPKM can reduce the spread of Covid-19 in the community. Alhamdulillah, today checks up from the heart of the morning, waiting for the Hermina Hospital. Swab Results - PCR Alhamdulillah Negativ</v>
      </c>
    </row>
    <row r="33" ht="15.75" customHeight="1">
      <c r="A33" s="2">
        <v>31.0</v>
      </c>
      <c r="B33" s="5" t="s">
        <v>57</v>
      </c>
      <c r="C33" s="6">
        <v>1.0</v>
      </c>
      <c r="D33" s="9" t="s">
        <v>57</v>
      </c>
      <c r="E33" s="8" t="str">
        <f>IFERROR(__xludf.DUMMYFUNCTION("googletranslate(D33,""id"",""en"")"),"Crazy company doi want ppkm ppkm ppkm emergency rules of all forms given by the government does not make it falter, still incombe there is no clock change or anything. How come it can")</f>
        <v>Crazy company doi want ppkm ppkm ppkm emergency rules of all forms given by the government does not make it falter, still incombe there is no clock change or anything. How come it can</v>
      </c>
    </row>
    <row r="34" ht="15.75" customHeight="1">
      <c r="A34" s="2">
        <v>32.0</v>
      </c>
      <c r="B34" s="5" t="s">
        <v>58</v>
      </c>
      <c r="C34" s="6">
        <v>1.0</v>
      </c>
      <c r="D34" s="7" t="s">
        <v>59</v>
      </c>
      <c r="E34" s="8" t="str">
        <f>IFERROR(__xludf.DUMMYFUNCTION("googletranslate(D34,""id"",""en"")"),"Ppkm ... doesn't apply at the airport and port? Really? Ach the door of the virus remains open, really the President is not Marwah")</f>
        <v>Ppkm ... doesn't apply at the airport and port? Really? Ach the door of the virus remains open, really the President is not Marwah</v>
      </c>
    </row>
    <row r="35" ht="15.75" customHeight="1">
      <c r="A35" s="2">
        <v>33.0</v>
      </c>
      <c r="B35" s="5" t="s">
        <v>60</v>
      </c>
      <c r="C35" s="6">
        <v>2.0</v>
      </c>
      <c r="D35" s="7" t="s">
        <v>61</v>
      </c>
      <c r="E35" s="8" t="str">
        <f>IFERROR(__xludf.DUMMYFUNCTION("googletranslate(D35,""id"",""en"")"),"Again emergency ppkm")</f>
        <v>Again emergency ppkm</v>
      </c>
    </row>
    <row r="36" ht="15.75" customHeight="1">
      <c r="A36" s="2">
        <v>34.0</v>
      </c>
      <c r="B36" s="5" t="s">
        <v>62</v>
      </c>
      <c r="C36" s="6">
        <v>1.0</v>
      </c>
      <c r="D36" s="9" t="s">
        <v>62</v>
      </c>
      <c r="E36" s="8" t="str">
        <f>IFERROR(__xludf.DUMMYFUNCTION("googletranslate(D36,""id"",""en"")"),"And one of the Habib near the house today has a celebration, right at the time of PPKM, it starts, it's foolish, bro! Just watch if you don't take action on the covid task force !!")</f>
        <v>And one of the Habib near the house today has a celebration, right at the time of PPKM, it starts, it's foolish, bro! Just watch if you don't take action on the covid task force !!</v>
      </c>
    </row>
    <row r="37" ht="15.75" customHeight="1">
      <c r="A37" s="2">
        <v>35.0</v>
      </c>
      <c r="B37" s="5" t="s">
        <v>63</v>
      </c>
      <c r="C37" s="6">
        <v>2.0</v>
      </c>
      <c r="D37" s="9" t="s">
        <v>64</v>
      </c>
      <c r="E37" s="8" t="str">
        <f>IFERROR(__xludf.DUMMYFUNCTION("googletranslate(D37,""id"",""en"")"),"Do you know that there are those who think if the emergency PPKM regulation doesn't apply in Jepara because the pamphlet / brochure that the city list is Jepara is not listed there, then I said that it applies only a jeprange, it's not recognized by the c"&amp;"ity")</f>
        <v>Do you know that there are those who think if the emergency PPKM regulation doesn't apply in Jepara because the pamphlet / brochure that the city list is Jepara is not listed there, then I said that it applies only a jeprange, it's not recognized by the city</v>
      </c>
    </row>
    <row r="38" ht="15.75" customHeight="1">
      <c r="A38" s="2">
        <v>36.0</v>
      </c>
      <c r="B38" s="5" t="s">
        <v>65</v>
      </c>
      <c r="C38" s="6">
        <v>1.0</v>
      </c>
      <c r="D38" s="9" t="s">
        <v>66</v>
      </c>
      <c r="E38" s="8" t="str">
        <f>IFERROR(__xludf.DUMMYFUNCTION("googletranslate(D38,""id"",""en"")"),"The new isn't worn out the morning fur. The IPAS stops because of a neighbor's cat at home. It's really good at home to continue to take a walk. Uh but it's also a human being too, yes .. ppkm wkwk")</f>
        <v>The new isn't worn out the morning fur. The IPAS stops because of a neighbor's cat at home. It's really good at home to continue to take a walk. Uh but it's also a human being too, yes .. ppkm wkwk</v>
      </c>
    </row>
    <row r="39" ht="15.75" customHeight="1">
      <c r="A39" s="2">
        <v>37.0</v>
      </c>
      <c r="B39" s="5" t="s">
        <v>67</v>
      </c>
      <c r="C39" s="6">
        <v>2.0</v>
      </c>
      <c r="D39" s="9" t="s">
        <v>68</v>
      </c>
      <c r="E39" s="8" t="str">
        <f>IFERROR(__xludf.DUMMYFUNCTION("googletranslate(D39,""id"",""en"")"),"Hello Admin, Want to Tanya, the Latest Jabodetabek Community Schedule Emergency PPKM Can Be Diliated Where?")</f>
        <v>Hello Admin, Want to Tanya, the Latest Jabodetabek Community Schedule Emergency PPKM Can Be Diliated Where?</v>
      </c>
    </row>
    <row r="40" ht="15.75" customHeight="1">
      <c r="A40" s="2">
        <v>38.0</v>
      </c>
      <c r="B40" s="5" t="s">
        <v>69</v>
      </c>
      <c r="C40" s="6">
        <v>2.0</v>
      </c>
      <c r="D40" s="7" t="s">
        <v>70</v>
      </c>
      <c r="E40" s="8" t="str">
        <f>IFERROR(__xludf.DUMMYFUNCTION("googletranslate(D40,""id"",""en"")"),"Hay min for ppkm today the condition is what? Is there an adsile to enter Surabaya, PLIS for Monday's information about it")</f>
        <v>Hay min for ppkm today the condition is what? Is there an adsile to enter Surabaya, PLIS for Monday's information about it</v>
      </c>
    </row>
    <row r="41" ht="15.75" customHeight="1">
      <c r="A41" s="2">
        <v>39.0</v>
      </c>
      <c r="B41" s="5" t="s">
        <v>71</v>
      </c>
      <c r="C41" s="6">
        <v>1.0</v>
      </c>
      <c r="D41" s="10" t="s">
        <v>71</v>
      </c>
      <c r="E41" s="8" t="str">
        <f>IFERROR(__xludf.DUMMYFUNCTION("googletranslate(D41,""id"",""en"")"),"ppkm asshole")</f>
        <v>ppkm asshole</v>
      </c>
    </row>
    <row r="42" ht="15.75" customHeight="1">
      <c r="A42" s="2">
        <v>40.0</v>
      </c>
      <c r="B42" s="5" t="s">
        <v>72</v>
      </c>
      <c r="C42" s="6">
        <v>2.0</v>
      </c>
      <c r="D42" s="7" t="s">
        <v>73</v>
      </c>
      <c r="E42" s="8" t="str">
        <f>IFERROR(__xludf.DUMMYFUNCTION("googletranslate(D42,""id"",""en"")"),"PANJUI! Have you slept anymore. Ppkm Emergency What is reported!? ~")</f>
        <v>PANJUI! Have you slept anymore. Ppkm Emergency What is reported!? ~</v>
      </c>
    </row>
    <row r="43" ht="15.75" customHeight="1">
      <c r="A43" s="2">
        <v>41.0</v>
      </c>
      <c r="B43" s="5" t="s">
        <v>74</v>
      </c>
      <c r="C43" s="6">
        <v>1.0</v>
      </c>
      <c r="D43" s="7" t="s">
        <v>75</v>
      </c>
      <c r="E43" s="8" t="str">
        <f>IFERROR(__xludf.DUMMYFUNCTION("googletranslate(D43,""id"",""en"")"),"___ ""The fruit falls not far away"" or maybe I have thought _solo it's not in p.jawa_ how the actions of the National Police? - Gala Jabar")</f>
        <v>___ "The fruit falls not far away" or maybe I have thought _solo it's not in p.jawa_ how the actions of the National Police? - Gala Jabar</v>
      </c>
    </row>
    <row r="44" ht="15.75" customHeight="1">
      <c r="A44" s="2">
        <v>42.0</v>
      </c>
      <c r="B44" s="5" t="s">
        <v>76</v>
      </c>
      <c r="C44" s="6">
        <v>3.0</v>
      </c>
      <c r="D44" s="9" t="s">
        <v>77</v>
      </c>
      <c r="E44" s="8" t="str">
        <f>IFERROR(__xludf.DUMMYFUNCTION("googletranslate(D44,""id"",""en"")"),"Today, the first day of the PPKM huh? For those of you who are still on the outside, be careful on the road, obey the health protocol and always use a mask, so that you avoid viruses. Luv.")</f>
        <v>Today, the first day of the PPKM huh? For those of you who are still on the outside, be careful on the road, obey the health protocol and always use a mask, so that you avoid viruses. Luv.</v>
      </c>
    </row>
    <row r="45" ht="15.75" customHeight="1">
      <c r="A45" s="2">
        <v>43.0</v>
      </c>
      <c r="B45" s="5" t="s">
        <v>78</v>
      </c>
      <c r="C45" s="6">
        <v>1.0</v>
      </c>
      <c r="D45" s="7" t="s">
        <v>79</v>
      </c>
      <c r="E45" s="8" t="str">
        <f>IFERROR(__xludf.DUMMYFUNCTION("googletranslate(D45,""id"",""en"")"),"I have just dizzy the PPKM supervisor")</f>
        <v>I have just dizzy the PPKM supervisor</v>
      </c>
    </row>
    <row r="46" ht="15.75" customHeight="1">
      <c r="A46" s="2">
        <v>44.0</v>
      </c>
      <c r="B46" s="5" t="s">
        <v>80</v>
      </c>
      <c r="C46" s="6">
        <v>2.0</v>
      </c>
      <c r="D46" s="9" t="s">
        <v>81</v>
      </c>
      <c r="E46" s="8" t="str">
        <f>IFERROR(__xludf.DUMMYFUNCTION("googletranslate(D46,""id"",""en"")"),"Happy Weekend Manteman, don't forget to start PPKM")</f>
        <v>Happy Weekend Manteman, don't forget to start PPKM</v>
      </c>
    </row>
    <row r="47" ht="15.75" customHeight="1">
      <c r="A47" s="2">
        <v>45.0</v>
      </c>
      <c r="B47" s="5" t="s">
        <v>82</v>
      </c>
      <c r="C47" s="6">
        <v>2.0</v>
      </c>
      <c r="D47" s="7" t="s">
        <v>83</v>
      </c>
      <c r="E47" s="8" t="str">
        <f>IFERROR(__xludf.DUMMYFUNCTION("googletranslate(D47,""id"",""en"")"),"PPKM Malang City")</f>
        <v>PPKM Malang City</v>
      </c>
    </row>
    <row r="48" ht="15.75" customHeight="1">
      <c r="A48" s="2">
        <v>46.0</v>
      </c>
      <c r="B48" s="5" t="s">
        <v>84</v>
      </c>
      <c r="C48" s="6">
        <v>1.0</v>
      </c>
      <c r="D48" s="7" t="s">
        <v>85</v>
      </c>
      <c r="E48" s="8" t="str">
        <f>IFERROR(__xludf.DUMMYFUNCTION("googletranslate(D48,""id"",""en"")"),"Sometimes I think, how come the many covid, the news of the Javanese island doang yahh and who applied for PPKM is only Java and Baliapa, it's only a virus in Java,")</f>
        <v>Sometimes I think, how come the many covid, the news of the Javanese island doang yahh and who applied for PPKM is only Java and Baliapa, it's only a virus in Java,</v>
      </c>
    </row>
    <row r="49" ht="15.75" customHeight="1">
      <c r="A49" s="2">
        <v>47.0</v>
      </c>
      <c r="B49" s="5" t="s">
        <v>86</v>
      </c>
      <c r="C49" s="6">
        <v>3.0</v>
      </c>
      <c r="D49" s="7" t="s">
        <v>87</v>
      </c>
      <c r="E49" s="8" t="str">
        <f>IFERROR(__xludf.DUMMYFUNCTION("googletranslate(D49,""id"",""en"")"),"There should be no residents who are not guaranteed that their lives during Emergency PPKM are carried out ...")</f>
        <v>There should be no residents who are not guaranteed that their lives during Emergency PPKM are carried out ...</v>
      </c>
    </row>
    <row r="50" ht="15.75" customHeight="1">
      <c r="A50" s="2">
        <v>48.0</v>
      </c>
      <c r="B50" s="5" t="s">
        <v>88</v>
      </c>
      <c r="C50" s="6">
        <v>3.0</v>
      </c>
      <c r="D50" s="7" t="s">
        <v>89</v>
      </c>
      <c r="E50" s="8" t="str">
        <f>IFERROR(__xludf.DUMMYFUNCTION("googletranslate(D50,""id"",""en"")"),"Hopefully with the existence of Corona PPKM Quickly Aamiin")</f>
        <v>Hopefully with the existence of Corona PPKM Quickly Aamiin</v>
      </c>
    </row>
    <row r="51" ht="15.75" customHeight="1">
      <c r="A51" s="2">
        <v>49.0</v>
      </c>
      <c r="B51" s="5" t="s">
        <v>90</v>
      </c>
      <c r="C51" s="6">
        <v>2.0</v>
      </c>
      <c r="D51" s="7" t="s">
        <v>91</v>
      </c>
      <c r="E51" s="8" t="str">
        <f>IFERROR(__xludf.DUMMYFUNCTION("googletranslate(D51,""id"",""en"")"),"Ppkm - morning ... morning ... coffee ... morning")</f>
        <v>Ppkm - morning ... morning ... coffee ... morning</v>
      </c>
    </row>
    <row r="52" ht="15.75" customHeight="1">
      <c r="A52" s="2">
        <v>50.0</v>
      </c>
      <c r="B52" s="5" t="s">
        <v>92</v>
      </c>
      <c r="C52" s="6">
        <v>2.0</v>
      </c>
      <c r="D52" s="7" t="s">
        <v>93</v>
      </c>
      <c r="E52" s="8" t="str">
        <f>IFERROR(__xludf.DUMMYFUNCTION("googletranslate(D52,""id"",""en"")"),"Ppkmpap dong sweet brother ...")</f>
        <v>Ppkmpap dong sweet brother ...</v>
      </c>
    </row>
    <row r="53" ht="15.75" customHeight="1">
      <c r="A53" s="2">
        <v>51.0</v>
      </c>
      <c r="B53" s="5" t="s">
        <v>94</v>
      </c>
      <c r="C53" s="6">
        <v>1.0</v>
      </c>
      <c r="D53" s="7" t="s">
        <v>94</v>
      </c>
      <c r="E53" s="8" t="str">
        <f>IFERROR(__xludf.DUMMYFUNCTION("googletranslate(D53,""id"",""en"")"),"PPKM but Mas Bayu is still ongoing. The teacher was told to remain in. he said if you don't enter the school loss and can't speak teacher teacher: ')")</f>
        <v>PPKM but Mas Bayu is still ongoing. The teacher was told to remain in. he said if you don't enter the school loss and can't speak teacher teacher: ')</v>
      </c>
    </row>
    <row r="54" ht="15.75" customHeight="1">
      <c r="A54" s="2">
        <v>52.0</v>
      </c>
      <c r="B54" s="5" t="s">
        <v>95</v>
      </c>
      <c r="C54" s="6">
        <v>2.0</v>
      </c>
      <c r="D54" s="7" t="s">
        <v>96</v>
      </c>
      <c r="E54" s="8" t="str">
        <f>IFERROR(__xludf.DUMMYFUNCTION("googletranslate(D54,""id"",""en"")"),"For toll users in the city, you can pay attention to which points are closed during the PPKM period. So it can be treated to a toll or artery.")</f>
        <v>For toll users in the city, you can pay attention to which points are closed during the PPKM period. So it can be treated to a toll or artery.</v>
      </c>
    </row>
    <row r="55" ht="15.75" customHeight="1">
      <c r="A55" s="2">
        <v>53.0</v>
      </c>
      <c r="B55" s="5" t="s">
        <v>97</v>
      </c>
      <c r="C55" s="6">
        <v>1.0</v>
      </c>
      <c r="D55" s="7" t="s">
        <v>98</v>
      </c>
      <c r="E55" s="8" t="str">
        <f>IFERROR(__xludf.DUMMYFUNCTION("googletranslate(D55,""id"",""en"")"),"Now PPKM, but must work")</f>
        <v>Now PPKM, but must work</v>
      </c>
    </row>
    <row r="56" ht="15.75" customHeight="1">
      <c r="A56" s="2">
        <v>54.0</v>
      </c>
      <c r="B56" s="5" t="s">
        <v>99</v>
      </c>
      <c r="C56" s="6">
        <v>1.0</v>
      </c>
      <c r="D56" s="9" t="s">
        <v>99</v>
      </c>
      <c r="E56" s="8" t="str">
        <f>IFERROR(__xludf.DUMMYFUNCTION("googletranslate(D56,""id"",""en"")"),"What is PPKM, in my place if it has not collapsed, it must be matters hahah")</f>
        <v>What is PPKM, in my place if it has not collapsed, it must be matters hahah</v>
      </c>
    </row>
    <row r="57" ht="15.75" customHeight="1">
      <c r="A57" s="2">
        <v>55.0</v>
      </c>
      <c r="B57" s="5" t="s">
        <v>100</v>
      </c>
      <c r="C57" s="6">
        <v>2.0</v>
      </c>
      <c r="D57" s="7" t="s">
        <v>101</v>
      </c>
      <c r="E57" s="8" t="str">
        <f>IFERROR(__xludf.DUMMYFUNCTION("googletranslate(D57,""id"",""en"")"),"GA PPKM PO GA?")</f>
        <v>GA PPKM PO GA?</v>
      </c>
    </row>
    <row r="58" ht="15.75" customHeight="1">
      <c r="A58" s="2">
        <v>56.0</v>
      </c>
      <c r="B58" s="5" t="s">
        <v>102</v>
      </c>
      <c r="C58" s="6">
        <v>3.0</v>
      </c>
      <c r="D58" s="7" t="s">
        <v>103</v>
      </c>
      <c r="E58" s="8" t="str">
        <f>IFERROR(__xludf.DUMMYFUNCTION("googletranslate(D58,""id"",""en"")"),"Good morning everything. Enough yes ppkm")</f>
        <v>Good morning everything. Enough yes ppkm</v>
      </c>
    </row>
    <row r="59" ht="15.75" customHeight="1">
      <c r="A59" s="2">
        <v>57.0</v>
      </c>
      <c r="B59" s="5" t="s">
        <v>104</v>
      </c>
      <c r="C59" s="6">
        <v>2.0</v>
      </c>
      <c r="D59" s="9" t="s">
        <v>104</v>
      </c>
      <c r="E59" s="8" t="str">
        <f>IFERROR(__xludf.DUMMYFUNCTION("googletranslate(D59,""id"",""en"")"),"Ppkm abandon from wanting to hug you, really ga syg?")</f>
        <v>Ppkm abandon from wanting to hug you, really ga syg?</v>
      </c>
    </row>
    <row r="60" ht="15.75" customHeight="1">
      <c r="A60" s="2">
        <v>58.0</v>
      </c>
      <c r="B60" s="5" t="s">
        <v>105</v>
      </c>
      <c r="C60" s="6">
        <v>2.0</v>
      </c>
      <c r="D60" s="9" t="s">
        <v>106</v>
      </c>
      <c r="E60" s="8" t="str">
        <f>IFERROR(__xludf.DUMMYFUNCTION("googletranslate(D60,""id"",""en"")"),"Min the info will be in the city of Bandung there is a road insulation anywhere? If a bladdle in Bandung can I have an emergency ppkm?")</f>
        <v>Min the info will be in the city of Bandung there is a road insulation anywhere? If a bladdle in Bandung can I have an emergency ppkm?</v>
      </c>
    </row>
    <row r="61" ht="15.75" customHeight="1">
      <c r="A61" s="2">
        <v>59.0</v>
      </c>
      <c r="B61" s="5" t="s">
        <v>107</v>
      </c>
      <c r="C61" s="6">
        <v>2.0</v>
      </c>
      <c r="D61" s="7" t="s">
        <v>108</v>
      </c>
      <c r="E61" s="8" t="str">
        <f>IFERROR(__xludf.DUMMYFUNCTION("googletranslate(D61,""id"",""en"")"),"Is it a relationship or ppkm? How come a lot of insulation")</f>
        <v>Is it a relationship or ppkm? How come a lot of insulation</v>
      </c>
    </row>
    <row r="62" ht="15.75" customHeight="1">
      <c r="A62" s="2">
        <v>60.0</v>
      </c>
      <c r="B62" s="5" t="s">
        <v>109</v>
      </c>
      <c r="C62" s="6">
        <v>3.0</v>
      </c>
      <c r="D62" s="7" t="s">
        <v>110</v>
      </c>
      <c r="E62" s="8" t="str">
        <f>IFERROR(__xludf.DUMMYFUNCTION("googletranslate(D62,""id"",""en"")"),"Friends of Twip who are good hearts follow the government rules for the Prokes &amp; amp; Live the PPKM rules")</f>
        <v>Friends of Twip who are good hearts follow the government rules for the Prokes &amp; amp; Live the PPKM rules</v>
      </c>
    </row>
    <row r="63" ht="15.75" customHeight="1">
      <c r="A63" s="2">
        <v>61.0</v>
      </c>
      <c r="B63" s="5" t="s">
        <v>111</v>
      </c>
      <c r="C63" s="6">
        <v>2.0</v>
      </c>
      <c r="D63" s="7" t="s">
        <v>111</v>
      </c>
      <c r="E63" s="8" t="str">
        <f>IFERROR(__xludf.DUMMYFUNCTION("googletranslate(D63,""id"",""en"")"),"Just remember ppkm skrng yaa, the pool renah closed with")</f>
        <v>Just remember ppkm skrng yaa, the pool renah closed with</v>
      </c>
    </row>
    <row r="64" ht="15.75" customHeight="1">
      <c r="A64" s="2">
        <v>62.0</v>
      </c>
      <c r="B64" s="5" t="s">
        <v>112</v>
      </c>
      <c r="C64" s="6">
        <v>2.0</v>
      </c>
      <c r="D64" s="7" t="s">
        <v>113</v>
      </c>
      <c r="E64" s="8" t="str">
        <f>IFERROR(__xludf.DUMMYFUNCTION("googletranslate(D64,""id"",""en"")"),"Hold PPKM")</f>
        <v>Hold PPKM</v>
      </c>
    </row>
    <row r="65" ht="15.75" customHeight="1">
      <c r="A65" s="2">
        <v>63.0</v>
      </c>
      <c r="B65" s="5" t="s">
        <v>114</v>
      </c>
      <c r="C65" s="6">
        <v>1.0</v>
      </c>
      <c r="D65" s="9" t="s">
        <v>115</v>
      </c>
      <c r="E65" s="8" t="str">
        <f>IFERROR(__xludf.DUMMYFUNCTION("googletranslate(D65,""id"",""en"")"),"At least it will be dismissed while first ... because stubborn in the Emergency PPKM")</f>
        <v>At least it will be dismissed while first ... because stubborn in the Emergency PPKM</v>
      </c>
    </row>
    <row r="66" ht="15.75" customHeight="1">
      <c r="A66" s="2">
        <v>64.0</v>
      </c>
      <c r="B66" s="5" t="s">
        <v>116</v>
      </c>
      <c r="C66" s="6">
        <v>2.0</v>
      </c>
      <c r="D66" s="9" t="s">
        <v>117</v>
      </c>
      <c r="E66" s="8" t="str">
        <f>IFERROR(__xludf.DUMMYFUNCTION("googletranslate(D66,""id"",""en"")"),"Morning my friend who is a group of essential entrepreneurs who are free in emergency ppkm as a savior of the women's nation")</f>
        <v>Morning my friend who is a group of essential entrepreneurs who are free in emergency ppkm as a savior of the women's nation</v>
      </c>
    </row>
    <row r="67" ht="15.75" customHeight="1">
      <c r="A67" s="2">
        <v>65.0</v>
      </c>
      <c r="B67" s="5" t="s">
        <v>118</v>
      </c>
      <c r="C67" s="6">
        <v>3.0</v>
      </c>
      <c r="D67" s="9" t="s">
        <v>119</v>
      </c>
      <c r="E67" s="8" t="str">
        <f>IFERROR(__xludf.DUMMYFUNCTION("googletranslate(D67,""id"",""en"")"),"Good morning, a healthy Twitter resident is always all ... God ... Hopefully on the first day of PPKM Malang City, you give you the convenience for Ojol Maxim Q. Man friend please help his prayer, may we all be good. Amen .....")</f>
        <v>Good morning, a healthy Twitter resident is always all ... God ... Hopefully on the first day of PPKM Malang City, you give you the convenience for Ojol Maxim Q. Man friend please help his prayer, may we all be good. Amen .....</v>
      </c>
    </row>
    <row r="68" ht="15.75" customHeight="1">
      <c r="A68" s="2">
        <v>66.0</v>
      </c>
      <c r="B68" s="5" t="s">
        <v>120</v>
      </c>
      <c r="C68" s="6">
        <v>1.0</v>
      </c>
      <c r="D68" s="9" t="s">
        <v>121</v>
      </c>
      <c r="E68" s="8" t="str">
        <f>IFERROR(__xludf.DUMMYFUNCTION("googletranslate(D68,""id"",""en"")"),"Owh maybe because the alun2 does not include public facilities so it is not closed like emergency PPKM rules.")</f>
        <v>Owh maybe because the alun2 does not include public facilities so it is not closed like emergency PPKM rules.</v>
      </c>
    </row>
    <row r="69" ht="15.75" customHeight="1">
      <c r="A69" s="2">
        <v>67.0</v>
      </c>
      <c r="B69" s="5" t="s">
        <v>122</v>
      </c>
      <c r="C69" s="6">
        <v>2.0</v>
      </c>
      <c r="D69" s="7" t="s">
        <v>123</v>
      </c>
      <c r="E69" s="8" t="str">
        <f>IFERROR(__xludf.DUMMYFUNCTION("googletranslate(D69,""id"",""en"")"),"Emergency PPKM applies in Banten too, right? Why are the mosques here (Sarua Indah) still carry out dawn prayers in congregation?")</f>
        <v>Emergency PPKM applies in Banten too, right? Why are the mosques here (Sarua Indah) still carry out dawn prayers in congregation?</v>
      </c>
    </row>
    <row r="70" ht="15.75" customHeight="1">
      <c r="A70" s="2">
        <v>68.0</v>
      </c>
      <c r="B70" s="5" t="s">
        <v>124</v>
      </c>
      <c r="C70" s="6">
        <v>1.0</v>
      </c>
      <c r="D70" s="9" t="s">
        <v>125</v>
      </c>
      <c r="E70" s="8" t="str">
        <f>IFERROR(__xludf.DUMMYFUNCTION("googletranslate(D70,""id"",""en"")"),"PPKM Ala Andrie Definitely the Government Less Appearance Needs Rules Reduce Breaking")</f>
        <v>PPKM Ala Andrie Definitely the Government Less Appearance Needs Rules Reduce Breaking</v>
      </c>
    </row>
    <row r="71" ht="15.75" customHeight="1">
      <c r="A71" s="2">
        <v>69.0</v>
      </c>
      <c r="B71" s="5" t="s">
        <v>126</v>
      </c>
      <c r="C71" s="6">
        <v>2.0</v>
      </c>
      <c r="D71" s="9" t="s">
        <v>127</v>
      </c>
      <c r="E71" s="8" t="str">
        <f>IFERROR(__xludf.DUMMYFUNCTION("googletranslate(D71,""id"",""en"")"),"I used to like PPKM, Indonesian, sports, sociology, geography, the main thing is anti mathematics")</f>
        <v>I used to like PPKM, Indonesian, sports, sociology, geography, the main thing is anti mathematics</v>
      </c>
    </row>
    <row r="72" ht="15.75" customHeight="1">
      <c r="A72" s="2">
        <v>70.0</v>
      </c>
      <c r="B72" s="5" t="s">
        <v>128</v>
      </c>
      <c r="C72" s="6">
        <v>2.0</v>
      </c>
      <c r="D72" s="7" t="s">
        <v>128</v>
      </c>
      <c r="E72" s="8" t="str">
        <f>IFERROR(__xludf.DUMMYFUNCTION("googletranslate(D72,""id"",""en"")"),"Ppkm, yes read al-quran just")</f>
        <v>Ppkm, yes read al-quran just</v>
      </c>
    </row>
    <row r="73" ht="15.75" customHeight="1">
      <c r="A73" s="2">
        <v>71.0</v>
      </c>
      <c r="B73" s="5" t="s">
        <v>129</v>
      </c>
      <c r="C73" s="6">
        <v>2.0</v>
      </c>
      <c r="D73" s="7" t="s">
        <v>129</v>
      </c>
      <c r="E73" s="8" t="str">
        <f>IFERROR(__xludf.DUMMYFUNCTION("googletranslate(D73,""id"",""en"")"),"What is Emergency PPKM ...")</f>
        <v>What is Emergency PPKM ...</v>
      </c>
    </row>
    <row r="74" ht="15.75" customHeight="1">
      <c r="A74" s="2">
        <v>72.0</v>
      </c>
      <c r="B74" s="5" t="s">
        <v>130</v>
      </c>
      <c r="C74" s="6">
        <v>1.0</v>
      </c>
      <c r="D74" s="7" t="s">
        <v>131</v>
      </c>
      <c r="E74" s="8" t="str">
        <f>IFERROR(__xludf.DUMMYFUNCTION("googletranslate(D74,""id"",""en"")"),"Emergency PPKM in Bali, tourist attractions are closed, WNA NGEYEL is deported")</f>
        <v>Emergency PPKM in Bali, tourist attractions are closed, WNA NGEYEL is deported</v>
      </c>
    </row>
    <row r="75" ht="15.75" customHeight="1">
      <c r="A75" s="2">
        <v>73.0</v>
      </c>
      <c r="B75" s="5" t="s">
        <v>132</v>
      </c>
      <c r="C75" s="6">
        <v>2.0</v>
      </c>
      <c r="D75" s="9" t="s">
        <v>133</v>
      </c>
      <c r="E75" s="8" t="str">
        <f>IFERROR(__xludf.DUMMYFUNCTION("googletranslate(D75,""id"",""en"")"),"Yesterday before the ppkm gaada, then if now")</f>
        <v>Yesterday before the ppkm gaada, then if now</v>
      </c>
    </row>
    <row r="76" ht="15.75" customHeight="1">
      <c r="A76" s="2">
        <v>74.0</v>
      </c>
      <c r="B76" s="5" t="s">
        <v>134</v>
      </c>
      <c r="C76" s="6">
        <v>2.0</v>
      </c>
      <c r="D76" s="9" t="s">
        <v>134</v>
      </c>
      <c r="E76" s="8" t="str">
        <f>IFERROR(__xludf.DUMMYFUNCTION("googletranslate(D76,""id"",""en"")"),"This is really a PPKM? Lotte lid or not, want monthly shopping OE")</f>
        <v>This is really a PPKM? Lotte lid or not, want monthly shopping OE</v>
      </c>
    </row>
    <row r="77" ht="15.75" customHeight="1">
      <c r="A77" s="2">
        <v>75.0</v>
      </c>
      <c r="B77" s="5" t="s">
        <v>135</v>
      </c>
      <c r="C77" s="6">
        <v>1.0</v>
      </c>
      <c r="D77" s="7" t="s">
        <v>136</v>
      </c>
      <c r="E77" s="8" t="str">
        <f>IFERROR(__xludf.DUMMYFUNCTION("googletranslate(D77,""id"",""en"")"),"Emergency PPKM the first day, the activity in the market is still as it used to finally this regime can only replace the acronym")</f>
        <v>Emergency PPKM the first day, the activity in the market is still as it used to finally this regime can only replace the acronym</v>
      </c>
    </row>
    <row r="78" ht="15.75" customHeight="1">
      <c r="A78" s="2">
        <v>76.0</v>
      </c>
      <c r="B78" s="5" t="s">
        <v>137</v>
      </c>
      <c r="C78" s="6">
        <v>1.0</v>
      </c>
      <c r="D78" s="7" t="s">
        <v>138</v>
      </c>
      <c r="E78" s="8" t="str">
        <f>IFERROR(__xludf.DUMMYFUNCTION("googletranslate(D78,""id"",""en"")"),"The first day of micro PPKM, work")</f>
        <v>The first day of micro PPKM, work</v>
      </c>
    </row>
    <row r="79" ht="15.75" customHeight="1">
      <c r="A79" s="2">
        <v>77.0</v>
      </c>
      <c r="B79" s="5" t="s">
        <v>139</v>
      </c>
      <c r="C79" s="6">
        <v>1.0</v>
      </c>
      <c r="D79" s="7" t="s">
        <v>139</v>
      </c>
      <c r="E79" s="8" t="str">
        <f>IFERROR(__xludf.DUMMYFUNCTION("googletranslate(D79,""id"",""en"")"),"Kepeting Gara2 PPKM Bangsat Dahhh")</f>
        <v>Kepeting Gara2 PPKM Bangsat Dahhh</v>
      </c>
    </row>
    <row r="80" ht="15.75" customHeight="1">
      <c r="A80" s="2">
        <v>78.0</v>
      </c>
      <c r="B80" s="5" t="s">
        <v>140</v>
      </c>
      <c r="C80" s="6">
        <v>1.0</v>
      </c>
      <c r="D80" s="7" t="s">
        <v>141</v>
      </c>
      <c r="E80" s="8" t="str">
        <f>IFERROR(__xludf.DUMMYFUNCTION("googletranslate(D80,""id"",""en"")"),"Cancel match, because LG PPKM sub-district, brave opponents ... contact Opung")</f>
        <v>Cancel match, because LG PPKM sub-district, brave opponents ... contact Opung</v>
      </c>
    </row>
    <row r="81" ht="15.75" customHeight="1">
      <c r="A81" s="2">
        <v>79.0</v>
      </c>
      <c r="B81" s="5" t="s">
        <v>142</v>
      </c>
      <c r="C81" s="6">
        <v>1.0</v>
      </c>
      <c r="D81" s="9" t="s">
        <v>142</v>
      </c>
      <c r="E81" s="8" t="str">
        <f>IFERROR(__xludf.DUMMYFUNCTION("googletranslate(D81,""id"",""en"")"),"PPKM Tai Eucing Geus Weh Lockdown But the people are dikasi eating a wae assembly.")</f>
        <v>PPKM Tai Eucing Geus Weh Lockdown But the people are dikasi eating a wae assembly.</v>
      </c>
    </row>
    <row r="82" ht="15.75" customHeight="1">
      <c r="A82" s="2">
        <v>80.0</v>
      </c>
      <c r="B82" s="5" t="s">
        <v>143</v>
      </c>
      <c r="C82" s="6">
        <v>2.0</v>
      </c>
      <c r="D82" s="7" t="s">
        <v>144</v>
      </c>
      <c r="E82" s="8" t="str">
        <f>IFERROR(__xludf.DUMMYFUNCTION("googletranslate(D82,""id"",""en"")"),"This applies during PPKM min?")</f>
        <v>This applies during PPKM min?</v>
      </c>
    </row>
    <row r="83" ht="15.75" customHeight="1">
      <c r="A83" s="2">
        <v>81.0</v>
      </c>
      <c r="B83" s="5" t="s">
        <v>145</v>
      </c>
      <c r="C83" s="6">
        <v>3.0</v>
      </c>
      <c r="D83" s="7" t="s">
        <v>146</v>
      </c>
      <c r="E83" s="8" t="str">
        <f>IFERROR(__xludf.DUMMYFUNCTION("googletranslate(D83,""id"",""en"")"),"WORK! The spirit that still has to go to the office when PPKM, feelings last night until the curfew boost because of split. This morning left again: '(Healthy everything")</f>
        <v>WORK! The spirit that still has to go to the office when PPKM, feelings last night until the curfew boost because of split. This morning left again: '(Healthy everything</v>
      </c>
    </row>
    <row r="84" ht="15.75" customHeight="1">
      <c r="A84" s="2">
        <v>82.0</v>
      </c>
      <c r="B84" s="5" t="s">
        <v>147</v>
      </c>
      <c r="C84" s="6">
        <v>2.0</v>
      </c>
      <c r="D84" s="7" t="s">
        <v>148</v>
      </c>
      <c r="E84" s="8" t="str">
        <f>IFERROR(__xludf.DUMMYFUNCTION("googletranslate(D84,""id"",""en"")"),"WORK! Who is WFO after PPKM applies? Me")</f>
        <v>WORK! Who is WFO after PPKM applies? Me</v>
      </c>
    </row>
    <row r="85" ht="15.75" customHeight="1">
      <c r="A85" s="2">
        <v>83.0</v>
      </c>
      <c r="B85" s="5" t="s">
        <v>149</v>
      </c>
      <c r="C85" s="6">
        <v>1.0</v>
      </c>
      <c r="D85" s="7" t="s">
        <v>150</v>
      </c>
      <c r="E85" s="8" t="str">
        <f>IFERROR(__xludf.DUMMYFUNCTION("googletranslate(D85,""id"",""en"")"),"The emergency PPKM can not only threaten ... The rights of citizens must also be fulfilled. Foreign citizens must be stopped by the inflows. Enter the behavior of the bastard like this ...")</f>
        <v>The emergency PPKM can not only threaten ... The rights of citizens must also be fulfilled. Foreign citizens must be stopped by the inflows. Enter the behavior of the bastard like this ...</v>
      </c>
    </row>
    <row r="86" ht="15.75" customHeight="1">
      <c r="A86" s="2">
        <v>84.0</v>
      </c>
      <c r="B86" s="5" t="s">
        <v>151</v>
      </c>
      <c r="C86" s="6">
        <v>1.0</v>
      </c>
      <c r="D86" s="7" t="s">
        <v>152</v>
      </c>
      <c r="E86" s="8" t="str">
        <f>IFERROR(__xludf.DUMMYFUNCTION("googletranslate(D86,""id"",""en"")"),"Yes, it is only natural that the Komanfan KPKM is Luhut, he is a pagan, must be the mosque at the close, Covid God's creature, afraid of God not the same covid")</f>
        <v>Yes, it is only natural that the Komanfan KPKM is Luhut, he is a pagan, must be the mosque at the close, Covid God's creature, afraid of God not the same covid</v>
      </c>
    </row>
    <row r="87" ht="15.75" customHeight="1">
      <c r="A87" s="2">
        <v>85.0</v>
      </c>
      <c r="B87" s="5" t="s">
        <v>153</v>
      </c>
      <c r="C87" s="6">
        <v>2.0</v>
      </c>
      <c r="D87" s="7" t="s">
        <v>153</v>
      </c>
      <c r="E87" s="8" t="str">
        <f>IFERROR(__xludf.DUMMYFUNCTION("googletranslate(D87,""id"",""en"")"),"Really forget today already already ppkm")</f>
        <v>Really forget today already already ppkm</v>
      </c>
    </row>
    <row r="88" ht="15.75" customHeight="1">
      <c r="A88" s="2">
        <v>86.0</v>
      </c>
      <c r="B88" s="5" t="s">
        <v>154</v>
      </c>
      <c r="C88" s="6">
        <v>2.0</v>
      </c>
      <c r="D88" s="9" t="s">
        <v>155</v>
      </c>
      <c r="E88" s="8" t="str">
        <f>IFERROR(__xludf.DUMMYFUNCTION("googletranslate(D88,""id"",""en"")"),"I'm also usually GT, just want to buy online, MLS exit PPKM D LG Sekrang")</f>
        <v>I'm also usually GT, just want to buy online, MLS exit PPKM D LG Sekrang</v>
      </c>
    </row>
    <row r="89" ht="15.75" customHeight="1">
      <c r="A89" s="2">
        <v>87.0</v>
      </c>
      <c r="B89" s="5" t="s">
        <v>156</v>
      </c>
      <c r="C89" s="6">
        <v>1.0</v>
      </c>
      <c r="D89" s="7" t="s">
        <v>157</v>
      </c>
      <c r="E89" s="8" t="str">
        <f>IFERROR(__xludf.DUMMYFUNCTION("googletranslate(D89,""id"",""en"")"),"Watch the artist's news on how come it's not prokes, free of celebration too ... Lha Piye ?? We are in the village to get PPKM mo celebration, you can't, every prames .....")</f>
        <v>Watch the artist's news on how come it's not prokes, free of celebration too ... Lha Piye ?? We are in the village to get PPKM mo celebration, you can't, every prames .....</v>
      </c>
    </row>
    <row r="90" ht="15.75" customHeight="1">
      <c r="A90" s="2">
        <v>88.0</v>
      </c>
      <c r="B90" s="5" t="s">
        <v>158</v>
      </c>
      <c r="C90" s="6">
        <v>1.0</v>
      </c>
      <c r="D90" s="7" t="s">
        <v>159</v>
      </c>
      <c r="E90" s="8" t="str">
        <f>IFERROR(__xludf.DUMMYFUNCTION("googletranslate(D90,""id"",""en"")"),"Morning PPKM emergency! But still there is a genuine original Takot gambling ni lives")</f>
        <v>Morning PPKM emergency! But still there is a genuine original Takot gambling ni lives</v>
      </c>
    </row>
    <row r="91" ht="15.75" customHeight="1">
      <c r="A91" s="2">
        <v>89.0</v>
      </c>
      <c r="B91" s="5" t="s">
        <v>160</v>
      </c>
      <c r="C91" s="6">
        <v>2.0</v>
      </c>
      <c r="D91" s="9" t="s">
        <v>161</v>
      </c>
      <c r="E91" s="8" t="str">
        <f>IFERROR(__xludf.DUMMYFUNCTION("googletranslate(D91,""id"",""en"")"),"Unfortunately this is only a personal opinion, not the opinion of the institution, if the opinion of the institution ""May"" Mr. Vice President can provide input for emergency PPKM settings ... (""Maybe"")")</f>
        <v>Unfortunately this is only a personal opinion, not the opinion of the institution, if the opinion of the institution "May" Mr. Vice President can provide input for emergency PPKM settings ... ("Maybe")</v>
      </c>
    </row>
    <row r="92" ht="15.75" customHeight="1">
      <c r="A92" s="2">
        <v>90.0</v>
      </c>
      <c r="B92" s="5" t="s">
        <v>162</v>
      </c>
      <c r="C92" s="6">
        <v>2.0</v>
      </c>
      <c r="D92" s="7" t="s">
        <v>163</v>
      </c>
      <c r="E92" s="8" t="str">
        <f>IFERROR(__xludf.DUMMYFUNCTION("googletranslate(D92,""id"",""en"")"),"Sweetheart Emergency PPKM")</f>
        <v>Sweetheart Emergency PPKM</v>
      </c>
    </row>
    <row r="93" ht="15.75" customHeight="1">
      <c r="A93" s="2">
        <v>91.0</v>
      </c>
      <c r="B93" s="5" t="s">
        <v>164</v>
      </c>
      <c r="C93" s="6">
        <v>2.0</v>
      </c>
      <c r="D93" s="9" t="s">
        <v>165</v>
      </c>
      <c r="E93" s="8" t="str">
        <f>IFERROR(__xludf.DUMMYFUNCTION("googletranslate(D93,""id"",""en"")"),"Min..punten want to ask if the micro ppkm is open?")</f>
        <v>Min..punten want to ask if the micro ppkm is open?</v>
      </c>
    </row>
    <row r="94" ht="15.75" customHeight="1">
      <c r="A94" s="2">
        <v>92.0</v>
      </c>
      <c r="B94" s="5" t="s">
        <v>166</v>
      </c>
      <c r="C94" s="6">
        <v>3.0</v>
      </c>
      <c r="D94" s="7" t="s">
        <v>167</v>
      </c>
      <c r="E94" s="8" t="str">
        <f>IFERROR(__xludf.DUMMYFUNCTION("googletranslate(D94,""id"",""en"")"),"PPKM PerjuanganPPKM Prosperous Struggle ... Hopefully this policy really has an impact on reducing the speed of the spread of copid.")</f>
        <v>PPKM PerjuanganPPKM Prosperous Struggle ... Hopefully this policy really has an impact on reducing the speed of the spread of copid.</v>
      </c>
    </row>
    <row r="95" ht="15.75" customHeight="1">
      <c r="A95" s="2">
        <v>93.0</v>
      </c>
      <c r="B95" s="5" t="s">
        <v>168</v>
      </c>
      <c r="C95" s="6">
        <v>1.0</v>
      </c>
      <c r="D95" s="9" t="s">
        <v>168</v>
      </c>
      <c r="E95" s="8" t="str">
        <f>IFERROR(__xludf.DUMMYFUNCTION("googletranslate(D95,""id"",""en"")"),"The PPKM appeal is forbidden, the Mbo is balanced also with our recommendations, it is given this way to be balanced.")</f>
        <v>The PPKM appeal is forbidden, the Mbo is balanced also with our recommendations, it is given this way to be balanced.</v>
      </c>
    </row>
    <row r="96" ht="15.75" customHeight="1">
      <c r="A96" s="2">
        <v>94.0</v>
      </c>
      <c r="B96" s="5" t="s">
        <v>169</v>
      </c>
      <c r="C96" s="6">
        <v>2.0</v>
      </c>
      <c r="D96" s="7" t="s">
        <v>169</v>
      </c>
      <c r="E96" s="8" t="str">
        <f>IFERROR(__xludf.DUMMYFUNCTION("googletranslate(D96,""id"",""en"")"),"Start Weekend with PPKM")</f>
        <v>Start Weekend with PPKM</v>
      </c>
    </row>
    <row r="97" ht="15.75" customHeight="1">
      <c r="A97" s="2">
        <v>95.0</v>
      </c>
      <c r="B97" s="5" t="s">
        <v>170</v>
      </c>
      <c r="C97" s="6">
        <v>2.0</v>
      </c>
      <c r="D97" s="7" t="s">
        <v>171</v>
      </c>
      <c r="E97" s="8" t="str">
        <f>IFERROR(__xludf.DUMMYFUNCTION("googletranslate(D97,""id"",""en"")"),"Kang Punten Pami Anu Variants Delta Eta Nerjeba Through Oranapi Air Interground? Pami between humans naha yes aya d indonesia kan indonesia mah community na at PPKM PIWARANG ...?")</f>
        <v>Kang Punten Pami Anu Variants Delta Eta Nerjeba Through Oranapi Air Interground? Pami between humans naha yes aya d indonesia kan indonesia mah community na at PPKM PIWARANG ...?</v>
      </c>
    </row>
    <row r="98" ht="15.75" customHeight="1">
      <c r="A98" s="2">
        <v>96.0</v>
      </c>
      <c r="B98" s="5" t="s">
        <v>172</v>
      </c>
      <c r="C98" s="6">
        <v>2.0</v>
      </c>
      <c r="D98" s="7" t="s">
        <v>173</v>
      </c>
      <c r="E98" s="8" t="str">
        <f>IFERROR(__xludf.DUMMYFUNCTION("googletranslate(D98,""id"",""en"")"),"Min P is operational not during Emergency PPKM?")</f>
        <v>Min P is operational not during Emergency PPKM?</v>
      </c>
    </row>
    <row r="99" ht="15.75" customHeight="1">
      <c r="A99" s="2">
        <v>97.0</v>
      </c>
      <c r="B99" s="5" t="s">
        <v>174</v>
      </c>
      <c r="C99" s="6">
        <v>3.0</v>
      </c>
      <c r="D99" s="7" t="s">
        <v>175</v>
      </c>
      <c r="E99" s="8" t="str">
        <f>IFERROR(__xludf.DUMMYFUNCTION("googletranslate(D99,""id"",""en"")"),"Good morning! Congratulations on running emergency ppkm")</f>
        <v>Good morning! Congratulations on running emergency ppkm</v>
      </c>
    </row>
    <row r="100" ht="15.75" customHeight="1">
      <c r="A100" s="2">
        <v>98.0</v>
      </c>
      <c r="B100" s="5" t="s">
        <v>176</v>
      </c>
      <c r="C100" s="6">
        <v>2.0</v>
      </c>
      <c r="D100" s="7" t="s">
        <v>177</v>
      </c>
      <c r="E100" s="8" t="str">
        <f>IFERROR(__xludf.DUMMYFUNCTION("googletranslate(D100,""id"",""en"")"),"Hiii mas, again ppkm don't you do it? Here playing at my heart, want ???")</f>
        <v>Hiii mas, again ppkm don't you do it? Here playing at my heart, want ???</v>
      </c>
    </row>
    <row r="101" ht="15.75" customHeight="1">
      <c r="A101" s="2">
        <v>99.0</v>
      </c>
      <c r="B101" s="5" t="s">
        <v>178</v>
      </c>
      <c r="C101" s="6">
        <v>1.0</v>
      </c>
      <c r="D101" s="7" t="s">
        <v>179</v>
      </c>
      <c r="E101" s="8" t="str">
        <f>IFERROR(__xludf.DUMMYFUNCTION("googletranslate(D101,""id"",""en"")"),"Oooow the tip of the PPKM turned out to be Eid al-Adha ... communist bastard ...")</f>
        <v>Oooow the tip of the PPKM turned out to be Eid al-Adha ... communist bastard ...</v>
      </c>
    </row>
    <row r="102" ht="15.75" customHeight="1">
      <c r="A102" s="2">
        <v>100.0</v>
      </c>
      <c r="B102" s="5" t="s">
        <v>180</v>
      </c>
      <c r="C102" s="6">
        <v>1.0</v>
      </c>
      <c r="D102" s="9" t="s">
        <v>181</v>
      </c>
      <c r="E102" s="8" t="str">
        <f>IFERROR(__xludf.DUMMYFUNCTION("googletranslate(D102,""id"",""en"")"),"means ppkm iki seriously the si, until the local ilang kabeh")</f>
        <v>means ppkm iki seriously the si, until the local ilang kabeh</v>
      </c>
    </row>
    <row r="103" ht="15.75" customHeight="1">
      <c r="A103" s="2">
        <v>101.0</v>
      </c>
      <c r="B103" s="5" t="s">
        <v>182</v>
      </c>
      <c r="C103" s="6">
        <v>2.0</v>
      </c>
      <c r="D103" s="7" t="s">
        <v>183</v>
      </c>
      <c r="E103" s="8" t="str">
        <f>IFERROR(__xludf.DUMMYFUNCTION("googletranslate(D103,""id"",""en"")"),"Fun ppkm ppkm tom tomorrow")</f>
        <v>Fun ppkm ppkm tom tomorrow</v>
      </c>
    </row>
    <row r="104" ht="15.75" customHeight="1">
      <c r="A104" s="2">
        <v>102.0</v>
      </c>
      <c r="B104" s="5" t="s">
        <v>184</v>
      </c>
      <c r="C104" s="6">
        <v>2.0</v>
      </c>
      <c r="D104" s="7" t="s">
        <v>184</v>
      </c>
      <c r="E104" s="8" t="str">
        <f>IFERROR(__xludf.DUMMYFUNCTION("googletranslate(D104,""id"",""en"")"),"The second day of the emergency PPKM was bored who was santen-santen.")</f>
        <v>The second day of the emergency PPKM was bored who was santen-santen.</v>
      </c>
    </row>
    <row r="105" ht="15.75" customHeight="1">
      <c r="A105" s="2">
        <v>103.0</v>
      </c>
      <c r="B105" s="5" t="s">
        <v>185</v>
      </c>
      <c r="C105" s="6">
        <v>1.0</v>
      </c>
      <c r="D105" s="7" t="s">
        <v>186</v>
      </c>
      <c r="E105" s="8" t="str">
        <f>IFERROR(__xludf.DUMMYFUNCTION("googletranslate(D105,""id"",""en"")"),"Start your first PPKM day with praise sentences: ""Hadeeuuhh""")</f>
        <v>Start your first PPKM day with praise sentences: "Hadeeuuhh"</v>
      </c>
    </row>
    <row r="106" ht="15.75" customHeight="1">
      <c r="A106" s="2">
        <v>104.0</v>
      </c>
      <c r="B106" s="5" t="s">
        <v>187</v>
      </c>
      <c r="C106" s="6">
        <v>2.0</v>
      </c>
      <c r="D106" s="7" t="s">
        <v>188</v>
      </c>
      <c r="E106" s="8" t="str">
        <f>IFERROR(__xludf.DUMMYFUNCTION("googletranslate(D106,""id"",""en"")"),"Ppkm ... the first day ... check ... ahhhhh")</f>
        <v>Ppkm ... the first day ... check ... ahhhhh</v>
      </c>
    </row>
    <row r="107" ht="15.75" customHeight="1">
      <c r="A107" s="2">
        <v>105.0</v>
      </c>
      <c r="B107" s="5" t="s">
        <v>189</v>
      </c>
      <c r="C107" s="6">
        <v>1.0</v>
      </c>
      <c r="D107" s="7" t="s">
        <v>190</v>
      </c>
      <c r="E107" s="8" t="str">
        <f>IFERROR(__xludf.DUMMYFUNCTION("googletranslate(D107,""id"",""en"")"),"Supports ""An student!: Emergency PPKM, Lockdown is used as a powerful weapon to kill the activities of the people's economic activity.")</f>
        <v>Supports "An student!: Emergency PPKM, Lockdown is used as a powerful weapon to kill the activities of the people's economic activity.</v>
      </c>
    </row>
    <row r="108" ht="15.75" customHeight="1">
      <c r="A108" s="2">
        <v>106.0</v>
      </c>
      <c r="B108" s="5" t="s">
        <v>191</v>
      </c>
      <c r="C108" s="6">
        <v>2.0</v>
      </c>
      <c r="D108" s="9" t="s">
        <v>192</v>
      </c>
      <c r="E108" s="8" t="str">
        <f>IFERROR(__xludf.DUMMYFUNCTION("googletranslate(D108,""id"",""en"")"),"Ppkm absent dlu this week wkwkw")</f>
        <v>Ppkm absent dlu this week wkwkw</v>
      </c>
    </row>
    <row r="109" ht="15.75" customHeight="1">
      <c r="A109" s="2">
        <v>107.0</v>
      </c>
      <c r="B109" s="5" t="s">
        <v>193</v>
      </c>
      <c r="C109" s="6">
        <v>1.0</v>
      </c>
      <c r="D109" s="7" t="s">
        <v>194</v>
      </c>
      <c r="E109" s="8" t="str">
        <f>IFERROR(__xludf.DUMMYFUNCTION("googletranslate(D109,""id"",""en"")"),"Ntar we reply, Razia Neo Neo PKI after this PPKM.")</f>
        <v>Ntar we reply, Razia Neo Neo PKI after this PPKM.</v>
      </c>
    </row>
    <row r="110" ht="15.75" customHeight="1">
      <c r="A110" s="2">
        <v>108.0</v>
      </c>
      <c r="B110" s="5" t="s">
        <v>195</v>
      </c>
      <c r="C110" s="6">
        <v>1.0</v>
      </c>
      <c r="D110" s="7" t="s">
        <v>195</v>
      </c>
      <c r="E110" s="8" t="str">
        <f>IFERROR(__xludf.DUMMYFUNCTION("googletranslate(D110,""id"",""en"")"),"Regarding the concerns of cafe and restaurant business people related to the impact of the current Emergency PPKM")</f>
        <v>Regarding the concerns of cafe and restaurant business people related to the impact of the current Emergency PPKM</v>
      </c>
    </row>
    <row r="111" ht="15.75" customHeight="1">
      <c r="A111" s="2">
        <v>109.0</v>
      </c>
      <c r="B111" s="5" t="s">
        <v>196</v>
      </c>
      <c r="C111" s="6">
        <v>1.0</v>
      </c>
      <c r="D111" s="7" t="s">
        <v>197</v>
      </c>
      <c r="E111" s="8" t="str">
        <f>IFERROR(__xludf.DUMMYFUNCTION("googletranslate(D111,""id"",""en"")"),"PPKPak, Ensure the state of the community sir, make sure we eat because of course a lot is difficult to survive when the enactment of restrictions on community activities.")</f>
        <v>PPKPak, Ensure the state of the community sir, make sure we eat because of course a lot is difficult to survive when the enactment of restrictions on community activities.</v>
      </c>
    </row>
    <row r="112" ht="15.75" customHeight="1">
      <c r="A112" s="2">
        <v>110.0</v>
      </c>
      <c r="B112" s="5" t="s">
        <v>198</v>
      </c>
      <c r="C112" s="6">
        <v>2.0</v>
      </c>
      <c r="D112" s="7" t="s">
        <v>199</v>
      </c>
      <c r="E112" s="8" t="str">
        <f>IFERROR(__xludf.DUMMYFUNCTION("googletranslate(D112,""id"",""en"")"),"Yam emergency ppkm")</f>
        <v>Yam emergency ppkm</v>
      </c>
    </row>
    <row r="113" ht="15.75" customHeight="1">
      <c r="A113" s="2">
        <v>111.0</v>
      </c>
      <c r="B113" s="5" t="s">
        <v>200</v>
      </c>
      <c r="C113" s="6">
        <v>2.0</v>
      </c>
      <c r="D113" s="7" t="s">
        <v>201</v>
      </c>
      <c r="E113" s="8" t="str">
        <f>IFERROR(__xludf.DUMMYFUNCTION("googletranslate(D113,""id"",""en"")"),"PPKPernynah attention later disappeared")</f>
        <v>PPKPernynah attention later disappeared</v>
      </c>
    </row>
    <row r="114" ht="15.75" customHeight="1">
      <c r="A114" s="2">
        <v>112.0</v>
      </c>
      <c r="B114" s="5" t="s">
        <v>202</v>
      </c>
      <c r="C114" s="6">
        <v>3.0</v>
      </c>
      <c r="D114" s="9" t="s">
        <v>203</v>
      </c>
      <c r="E114" s="8" t="str">
        <f>IFERROR(__xludf.DUMMYFUNCTION("googletranslate(D114,""id"",""en"")"),"I obeyed PPKM for the sake of Indonesia Healthy and Majul Protection and Your Families with Projects and PPKMakman also friends and your environment for always obedient PPKMSEMOH Pandemi to quickly pass, amen")</f>
        <v>I obeyed PPKM for the sake of Indonesia Healthy and Majul Protection and Your Families with Projects and PPKMakman also friends and your environment for always obedient PPKMSEMOH Pandemi to quickly pass, amen</v>
      </c>
    </row>
    <row r="115" ht="15.75" customHeight="1">
      <c r="A115" s="2">
        <v>113.0</v>
      </c>
      <c r="B115" s="5" t="s">
        <v>204</v>
      </c>
      <c r="C115" s="6">
        <v>1.0</v>
      </c>
      <c r="D115" s="9" t="s">
        <v>205</v>
      </c>
      <c r="E115" s="8" t="str">
        <f>IFERROR(__xludf.DUMMYFUNCTION("googletranslate(D115,""id"",""en"")"),"Ppkm week, it was confirmed I was increasingly pucet kek vampire, last week running on the beach, hit by a wind + sweat, red skin red2 and itchy CI, friend said ""km too appreciation diem at home, less sunbathing""")</f>
        <v>Ppkm week, it was confirmed I was increasingly pucet kek vampire, last week running on the beach, hit by a wind + sweat, red skin red2 and itchy CI, friend said "km too appreciation diem at home, less sunbathing"</v>
      </c>
    </row>
    <row r="116" ht="15.75" customHeight="1">
      <c r="A116" s="2">
        <v>114.0</v>
      </c>
      <c r="B116" s="5" t="s">
        <v>206</v>
      </c>
      <c r="C116" s="6">
        <v>2.0</v>
      </c>
      <c r="D116" s="7" t="s">
        <v>207</v>
      </c>
      <c r="E116" s="8" t="str">
        <f>IFERROR(__xludf.DUMMYFUNCTION("googletranslate(D116,""id"",""en"")"),"PPKM? Yes, Yes, Yes...")</f>
        <v>PPKM? Yes, Yes, Yes...</v>
      </c>
    </row>
    <row r="117" ht="15.75" customHeight="1">
      <c r="A117" s="2">
        <v>115.0</v>
      </c>
      <c r="B117" s="5" t="s">
        <v>208</v>
      </c>
      <c r="C117" s="6">
        <v>2.0</v>
      </c>
      <c r="D117" s="9" t="s">
        <v>208</v>
      </c>
      <c r="E117" s="8" t="str">
        <f>IFERROR(__xludf.DUMMYFUNCTION("googletranslate(D117,""id"",""en"")"),"PPKM actually facilitates people who want to get married, so don't need to release a big cost. But that's hard to get married just a soul mate yet.wkwk")</f>
        <v>PPKM actually facilitates people who want to get married, so don't need to release a big cost. But that's hard to get married just a soul mate yet.wkwk</v>
      </c>
    </row>
    <row r="118" ht="15.75" customHeight="1">
      <c r="A118" s="2">
        <v>116.0</v>
      </c>
      <c r="B118" s="5" t="s">
        <v>209</v>
      </c>
      <c r="C118" s="6">
        <v>2.0</v>
      </c>
      <c r="D118" s="7" t="s">
        <v>210</v>
      </c>
      <c r="E118" s="8" t="str">
        <f>IFERROR(__xludf.DUMMYFUNCTION("googletranslate(D118,""id"",""en"")"),"Sabi TPI PPKM is dijogja")</f>
        <v>Sabi TPI PPKM is dijogja</v>
      </c>
    </row>
    <row r="119" ht="15.75" customHeight="1">
      <c r="A119" s="2">
        <v>117.0</v>
      </c>
      <c r="B119" s="5" t="s">
        <v>211</v>
      </c>
      <c r="C119" s="6">
        <v>1.0</v>
      </c>
      <c r="D119" s="7" t="s">
        <v>211</v>
      </c>
      <c r="E119" s="8" t="str">
        <f>IFERROR(__xludf.DUMMYFUNCTION("googletranslate(D119,""id"",""en"")"),"His name is Emergency PPKM or whatever his name will succeed if the people of discipline and the officers are firm. Without it ... Preeettttt.")</f>
        <v>His name is Emergency PPKM or whatever his name will succeed if the people of discipline and the officers are firm. Without it ... Preeettttt.</v>
      </c>
    </row>
    <row r="120" ht="15.75" customHeight="1">
      <c r="A120" s="2">
        <v>118.0</v>
      </c>
      <c r="B120" s="5" t="s">
        <v>212</v>
      </c>
      <c r="C120" s="6">
        <v>3.0</v>
      </c>
      <c r="D120" s="9" t="s">
        <v>213</v>
      </c>
      <c r="E120" s="8" t="str">
        <f>IFERROR(__xludf.DUMMYFUNCTION("googletranslate(D120,""id"",""en"")"),"I obeyed the PPKM for the sake of Indonesia Healthy and Majustay Safe, Masks Don't Send and Always Often Prames M Hopefully Indonesia Will Immediately Recover From This Pandemic")</f>
        <v>I obeyed the PPKM for the sake of Indonesia Healthy and Majustay Safe, Masks Don't Send and Always Often Prames M Hopefully Indonesia Will Immediately Recover From This Pandemic</v>
      </c>
    </row>
    <row r="121" ht="15.75" customHeight="1">
      <c r="A121" s="2">
        <v>119.0</v>
      </c>
      <c r="B121" s="5" t="s">
        <v>214</v>
      </c>
      <c r="C121" s="6">
        <v>1.0</v>
      </c>
      <c r="D121" s="7" t="s">
        <v>214</v>
      </c>
      <c r="E121" s="8" t="str">
        <f>IFERROR(__xludf.DUMMYFUNCTION("googletranslate(D121,""id"",""en"")"),"annoyed when there are friends still hanging out at the emergency PPKM gini. Mbok yes, it's done so much. Kena Covid later Nanges.")</f>
        <v>annoyed when there are friends still hanging out at the emergency PPKM gini. Mbok yes, it's done so much. Kena Covid later Nanges.</v>
      </c>
    </row>
    <row r="122" ht="15.75" customHeight="1">
      <c r="A122" s="2">
        <v>120.0</v>
      </c>
      <c r="B122" s="5" t="s">
        <v>215</v>
      </c>
      <c r="C122" s="6">
        <v>3.0</v>
      </c>
      <c r="D122" s="9" t="s">
        <v>216</v>
      </c>
      <c r="E122" s="8" t="str">
        <f>IFERROR(__xludf.DUMMYFUNCTION("googletranslate(D122,""id"",""en"")"),"Well that, so if sudirman mah from the first is the most orderly if the PSBB model or ppkm gini, try a little upside")</f>
        <v>Well that, so if sudirman mah from the first is the most orderly if the PSBB model or ppkm gini, try a little upside</v>
      </c>
    </row>
    <row r="123" ht="15.75" customHeight="1">
      <c r="A123" s="2">
        <v>121.0</v>
      </c>
      <c r="B123" s="5" t="s">
        <v>217</v>
      </c>
      <c r="C123" s="6">
        <v>2.0</v>
      </c>
      <c r="D123" s="7" t="s">
        <v>217</v>
      </c>
      <c r="E123" s="8" t="str">
        <f>IFERROR(__xludf.DUMMYFUNCTION("googletranslate(D123,""id"",""en"")"),"Exercising in the crowded place is one point that is prohibited during emergency PPKM because it has the potential to trigger a crowd.")</f>
        <v>Exercising in the crowded place is one point that is prohibited during emergency PPKM because it has the potential to trigger a crowd.</v>
      </c>
    </row>
    <row r="124" ht="15.75" customHeight="1">
      <c r="A124" s="2">
        <v>122.0</v>
      </c>
      <c r="B124" s="5" t="s">
        <v>218</v>
      </c>
      <c r="C124" s="6">
        <v>3.0</v>
      </c>
      <c r="D124" s="7" t="s">
        <v>219</v>
      </c>
      <c r="E124" s="8" t="str">
        <f>IFERROR(__xludf.DUMMYFUNCTION("googletranslate(D124,""id"",""en"")"),"To add immunting ayoo sempetin goes - goes but, remember following the ppkm")</f>
        <v>To add immunting ayoo sempetin goes - goes but, remember following the ppkm</v>
      </c>
    </row>
    <row r="125" ht="15.75" customHeight="1">
      <c r="A125" s="2">
        <v>123.0</v>
      </c>
      <c r="B125" s="5" t="s">
        <v>220</v>
      </c>
      <c r="C125" s="6">
        <v>2.0</v>
      </c>
      <c r="D125" s="7" t="s">
        <v>221</v>
      </c>
      <c r="E125" s="8" t="str">
        <f>IFERROR(__xludf.DUMMYFUNCTION("googletranslate(D125,""id"",""en"")"),"May be tried ... seblm hit by ppkm")</f>
        <v>May be tried ... seblm hit by ppkm</v>
      </c>
    </row>
    <row r="126" ht="15.75" customHeight="1">
      <c r="A126" s="2">
        <v>124.0</v>
      </c>
      <c r="B126" s="5" t="s">
        <v>222</v>
      </c>
      <c r="C126" s="6">
        <v>2.0</v>
      </c>
      <c r="D126" s="7" t="s">
        <v>222</v>
      </c>
      <c r="E126" s="8" t="str">
        <f>IFERROR(__xludf.DUMMYFUNCTION("googletranslate(D126,""id"",""en"")"),"Apparently that's the reason for Dei disappeared. Because the government applied PPKM ""once a concern then disappeared""")</f>
        <v>Apparently that's the reason for Dei disappeared. Because the government applied PPKM "once a concern then disappeared"</v>
      </c>
    </row>
    <row r="127" ht="15.75" customHeight="1">
      <c r="A127" s="2">
        <v>125.0</v>
      </c>
      <c r="B127" s="5" t="s">
        <v>223</v>
      </c>
      <c r="C127" s="6">
        <v>2.0</v>
      </c>
      <c r="D127" s="9" t="s">
        <v>224</v>
      </c>
      <c r="E127" s="8" t="str">
        <f>IFERROR(__xludf.DUMMYFUNCTION("googletranslate(D127,""id"",""en"")"),"The mall isn't it closed at this emergency PPKM? Which opens only supermarkets, drug stores, and other essential requirements. Try to check first")</f>
        <v>The mall isn't it closed at this emergency PPKM? Which opens only supermarkets, drug stores, and other essential requirements. Try to check first</v>
      </c>
    </row>
    <row r="128" ht="15.75" customHeight="1">
      <c r="A128" s="2">
        <v>126.0</v>
      </c>
      <c r="B128" s="5" t="s">
        <v>225</v>
      </c>
      <c r="C128" s="6">
        <v>2.0</v>
      </c>
      <c r="D128" s="7" t="s">
        <v>226</v>
      </c>
      <c r="E128" s="8" t="str">
        <f>IFERROR(__xludf.DUMMYFUNCTION("googletranslate(D128,""id"",""en"")"),"Whether the government applies the Chief Law to implement the current Emergency PPKM, if emergency PPKM violations will be applied to violators.")</f>
        <v>Whether the government applies the Chief Law to implement the current Emergency PPKM, if emergency PPKM violations will be applied to violators.</v>
      </c>
    </row>
    <row r="129" ht="15.75" customHeight="1">
      <c r="A129" s="2">
        <v>127.0</v>
      </c>
      <c r="B129" s="5" t="s">
        <v>227</v>
      </c>
      <c r="C129" s="6">
        <v>2.0</v>
      </c>
      <c r="D129" s="7" t="s">
        <v>228</v>
      </c>
      <c r="E129" s="8" t="str">
        <f>IFERROR(__xludf.DUMMYFUNCTION("googletranslate(D129,""id"",""en"")"),"from PSBB to PPKM I always wait for you")</f>
        <v>from PSBB to PPKM I always wait for you</v>
      </c>
    </row>
    <row r="130" ht="15.75" customHeight="1">
      <c r="A130" s="2">
        <v>128.0</v>
      </c>
      <c r="B130" s="5" t="s">
        <v>229</v>
      </c>
      <c r="C130" s="6">
        <v>3.0</v>
      </c>
      <c r="D130" s="7" t="s">
        <v>230</v>
      </c>
      <c r="E130" s="8" t="str">
        <f>IFERROR(__xludf.DUMMYFUNCTION("googletranslate(D130,""id"",""en"")"),"Ready for ppkm a month")</f>
        <v>Ready for ppkm a month</v>
      </c>
    </row>
    <row r="131" ht="15.75" customHeight="1">
      <c r="A131" s="2">
        <v>129.0</v>
      </c>
      <c r="B131" s="5" t="s">
        <v>231</v>
      </c>
      <c r="C131" s="6">
        <v>2.0</v>
      </c>
      <c r="D131" s="7" t="s">
        <v>232</v>
      </c>
      <c r="E131" s="8" t="str">
        <f>IFERROR(__xludf.DUMMYFUNCTION("googletranslate(D131,""id"",""en"")"),"PPKM Emergency Day ... rather than Gabut, Mending Listen to Weekend Free together from $ Number $ ^^")</f>
        <v>PPKM Emergency Day ... rather than Gabut, Mending Listen to Weekend Free together from $ Number $ ^^</v>
      </c>
    </row>
    <row r="132" ht="15.75" customHeight="1">
      <c r="A132" s="2">
        <v>130.0</v>
      </c>
      <c r="B132" s="5" t="s">
        <v>233</v>
      </c>
      <c r="C132" s="6">
        <v>2.0</v>
      </c>
      <c r="D132" s="7" t="s">
        <v>234</v>
      </c>
      <c r="E132" s="8" t="str">
        <f>IFERROR(__xludf.DUMMYFUNCTION("googletranslate(D132,""id"",""en"")"),"The list of roads in Banten attacked when emergency ppkm")</f>
        <v>The list of roads in Banten attacked when emergency ppkm</v>
      </c>
    </row>
    <row r="133" ht="15.75" customHeight="1">
      <c r="A133" s="2">
        <v>131.0</v>
      </c>
      <c r="B133" s="5" t="s">
        <v>235</v>
      </c>
      <c r="C133" s="6">
        <v>2.0</v>
      </c>
      <c r="D133" s="7" t="s">
        <v>236</v>
      </c>
      <c r="E133" s="8" t="str">
        <f>IFERROR(__xludf.DUMMYFUNCTION("googletranslate(D133,""id"",""en"")"),"Lonely, because of PPKM?")</f>
        <v>Lonely, because of PPKM?</v>
      </c>
    </row>
    <row r="134" ht="15.75" customHeight="1">
      <c r="A134" s="2">
        <v>132.0</v>
      </c>
      <c r="B134" s="5" t="s">
        <v>237</v>
      </c>
      <c r="C134" s="6">
        <v>1.0</v>
      </c>
      <c r="D134" s="7" t="s">
        <v>238</v>
      </c>
      <c r="E134" s="8" t="str">
        <f>IFERROR(__xludf.DUMMYFUNCTION("googletranslate(D134,""id"",""en"")"),"Emergency PPKM, Lockdown But the People Who Are Believed | Islamic portal")</f>
        <v>Emergency PPKM, Lockdown But the People Who Are Believed | Islamic portal</v>
      </c>
    </row>
    <row r="135" ht="15.75" customHeight="1">
      <c r="A135" s="2">
        <v>133.0</v>
      </c>
      <c r="B135" s="5" t="s">
        <v>239</v>
      </c>
      <c r="C135" s="6">
        <v>1.0</v>
      </c>
      <c r="D135" s="7" t="s">
        <v>239</v>
      </c>
      <c r="E135" s="8" t="str">
        <f>IFERROR(__xludf.DUMMYFUNCTION("googletranslate(D135,""id"",""en"")"),"PPKM: Photo of Pidio Back Mumet")</f>
        <v>PPKM: Photo of Pidio Back Mumet</v>
      </c>
    </row>
    <row r="136" ht="15.75" customHeight="1">
      <c r="A136" s="2">
        <v>134.0</v>
      </c>
      <c r="B136" s="5" t="s">
        <v>240</v>
      </c>
      <c r="C136" s="6">
        <v>2.0</v>
      </c>
      <c r="D136" s="7" t="s">
        <v>240</v>
      </c>
      <c r="E136" s="8" t="str">
        <f>IFERROR(__xludf.DUMMYFUNCTION("googletranslate(D136,""id"",""en"")"),"Good morning, what is your morning activity on the second day of the PPKM?")</f>
        <v>Good morning, what is your morning activity on the second day of the PPKM?</v>
      </c>
    </row>
    <row r="137" ht="15.75" customHeight="1">
      <c r="A137" s="2">
        <v>135.0</v>
      </c>
      <c r="B137" s="5" t="s">
        <v>241</v>
      </c>
      <c r="C137" s="6">
        <v>1.0</v>
      </c>
      <c r="D137" s="9" t="s">
        <v>241</v>
      </c>
      <c r="E137" s="8" t="str">
        <f>IFERROR(__xludf.DUMMYFUNCTION("googletranslate(D137,""id"",""en"")"),"/ KLE PPKM The second day has been a lot that offers catering ready to get out of the house, but no one offers how to get money without leaving the house.")</f>
        <v>/ KLE PPKM The second day has been a lot that offers catering ready to get out of the house, but no one offers how to get money without leaving the house.</v>
      </c>
    </row>
    <row r="138" ht="15.75" customHeight="1">
      <c r="A138" s="2">
        <v>136.0</v>
      </c>
      <c r="B138" s="5" t="s">
        <v>242</v>
      </c>
      <c r="C138" s="6">
        <v>3.0</v>
      </c>
      <c r="D138" s="7" t="s">
        <v>243</v>
      </c>
      <c r="E138" s="8" t="str">
        <f>IFERROR(__xludf.DUMMYFUNCTION("googletranslate(D138,""id"",""en"")"),"PPKM% Masok Yok")</f>
        <v>PPKM% Masok Yok</v>
      </c>
    </row>
    <row r="139" ht="15.75" customHeight="1">
      <c r="A139" s="2">
        <v>137.0</v>
      </c>
      <c r="B139" s="5" t="s">
        <v>244</v>
      </c>
      <c r="C139" s="6">
        <v>1.0</v>
      </c>
      <c r="D139" s="7" t="s">
        <v>245</v>
      </c>
      <c r="E139" s="8" t="str">
        <f>IFERROR(__xludf.DUMMYFUNCTION("googletranslate(D139,""id"",""en"")"),"Don't be released using the stamp, it's easy to sir. The sharp snject is already violated PSL paragraph (1) of the Law DRT. No. / 1951. Mksml th in prison sir. Moreover, LG PPKM gini, obviously want to make a troublemaker.")</f>
        <v>Don't be released using the stamp, it's easy to sir. The sharp snject is already violated PSL paragraph (1) of the Law DRT. No. / 1951. Mksml th in prison sir. Moreover, LG PPKM gini, obviously want to make a troublemaker.</v>
      </c>
    </row>
    <row r="140" ht="15.75" customHeight="1">
      <c r="A140" s="2">
        <v>138.0</v>
      </c>
      <c r="B140" s="5" t="s">
        <v>246</v>
      </c>
      <c r="C140" s="6">
        <v>2.0</v>
      </c>
      <c r="D140" s="7" t="s">
        <v>247</v>
      </c>
      <c r="E140" s="8" t="str">
        <f>IFERROR(__xludf.DUMMYFUNCTION("googletranslate(D140,""id"",""en"")"),"Calm down later PPKM")</f>
        <v>Calm down later PPKM</v>
      </c>
    </row>
    <row r="141" ht="15.75" customHeight="1">
      <c r="A141" s="2">
        <v>139.0</v>
      </c>
      <c r="B141" s="5" t="s">
        <v>248</v>
      </c>
      <c r="C141" s="6">
        <v>2.0</v>
      </c>
      <c r="D141" s="9" t="s">
        <v>249</v>
      </c>
      <c r="E141" s="8" t="str">
        <f>IFERROR(__xludf.DUMMYFUNCTION("googletranslate(D141,""id"",""en"")"),"Day-2 PPKM: Cook the noodle using the egg, when you want to impose the eggs fall")</f>
        <v>Day-2 PPKM: Cook the noodle using the egg, when you want to impose the eggs fall</v>
      </c>
    </row>
    <row r="142" ht="15.75" customHeight="1">
      <c r="A142" s="2">
        <v>140.0</v>
      </c>
      <c r="B142" s="5" t="s">
        <v>250</v>
      </c>
      <c r="C142" s="6">
        <v>1.0</v>
      </c>
      <c r="D142" s="7" t="s">
        <v>250</v>
      </c>
      <c r="E142" s="8" t="str">
        <f>IFERROR(__xludf.DUMMYFUNCTION("googletranslate(D142,""id"",""en"")"),"There is a ppkm also the same feeling ._.")</f>
        <v>There is a ppkm also the same feeling ._.</v>
      </c>
    </row>
    <row r="143" ht="15.75" customHeight="1">
      <c r="A143" s="2">
        <v>141.0</v>
      </c>
      <c r="B143" s="5" t="s">
        <v>251</v>
      </c>
      <c r="C143" s="6">
        <v>1.0</v>
      </c>
      <c r="D143" s="7" t="s">
        <v>252</v>
      </c>
      <c r="E143" s="8" t="str">
        <f>IFERROR(__xludf.DUMMYFUNCTION("googletranslate(D143,""id"",""en"")"),"It has been told yesterday, during the emergency PPKM it was forbidden to Gowes, how come it ...")</f>
        <v>It has been told yesterday, during the emergency PPKM it was forbidden to Gowes, how come it ...</v>
      </c>
    </row>
    <row r="144" ht="15.75" customHeight="1">
      <c r="A144" s="2">
        <v>142.0</v>
      </c>
      <c r="B144" s="5" t="s">
        <v>253</v>
      </c>
      <c r="C144" s="6">
        <v>3.0</v>
      </c>
      <c r="D144" s="9" t="s">
        <v>254</v>
      </c>
      <c r="E144" s="8" t="str">
        <f>IFERROR(__xludf.DUMMYFUNCTION("googletranslate(D144,""id"",""en"")"),"Morning heard the sad news, I hope this PPKM has a result so often look or hear the sad news")</f>
        <v>Morning heard the sad news, I hope this PPKM has a result so often look or hear the sad news</v>
      </c>
    </row>
    <row r="145" ht="15.75" customHeight="1">
      <c r="A145" s="2">
        <v>143.0</v>
      </c>
      <c r="B145" s="5" t="s">
        <v>255</v>
      </c>
      <c r="C145" s="6">
        <v>2.0</v>
      </c>
      <c r="D145" s="7" t="s">
        <v>255</v>
      </c>
      <c r="E145" s="8" t="str">
        <f>IFERROR(__xludf.DUMMYFUNCTION("googletranslate(D145,""id"",""en"")"),"PPKM. long banana you want")</f>
        <v>PPKM. long banana you want</v>
      </c>
    </row>
    <row r="146" ht="15.75" customHeight="1">
      <c r="A146" s="2">
        <v>144.0</v>
      </c>
      <c r="B146" s="5" t="s">
        <v>256</v>
      </c>
      <c r="C146" s="6">
        <v>3.0</v>
      </c>
      <c r="D146" s="9" t="s">
        <v>257</v>
      </c>
      <c r="E146" s="8" t="str">
        <f>IFERROR(__xludf.DUMMYFUNCTION("googletranslate(D146,""id"",""en"")"),"Good morning. Since since the PPKM applies, Nee Chan is not able to buy ingredients u / work again Still smangat in working y u / friend vtuber.nee chan always supports you.tolg maintain health y.")</f>
        <v>Good morning. Since since the PPKM applies, Nee Chan is not able to buy ingredients u / work again Still smangat in working y u / friend vtuber.nee chan always supports you.tolg maintain health y.</v>
      </c>
    </row>
    <row r="147" ht="15.75" customHeight="1">
      <c r="A147" s="2">
        <v>145.0</v>
      </c>
      <c r="B147" s="5" t="s">
        <v>258</v>
      </c>
      <c r="C147" s="6">
        <v>2.0</v>
      </c>
      <c r="D147" s="7" t="s">
        <v>258</v>
      </c>
      <c r="E147" s="8" t="str">
        <f>IFERROR(__xludf.DUMMYFUNCTION("googletranslate(D147,""id"",""en"")"),"Why is it really lazy to skincarean fitting isolation with ppkm gini")</f>
        <v>Why is it really lazy to skincarean fitting isolation with ppkm gini</v>
      </c>
    </row>
    <row r="148" ht="15.75" customHeight="1">
      <c r="A148" s="2">
        <v>146.0</v>
      </c>
      <c r="B148" s="5" t="s">
        <v>259</v>
      </c>
      <c r="C148" s="6">
        <v>1.0</v>
      </c>
      <c r="D148" s="9" t="s">
        <v>260</v>
      </c>
      <c r="E148" s="8" t="str">
        <f>IFERROR(__xludf.DUMMYFUNCTION("googletranslate(D148,""id"",""en"")"),"Honestly, I didn't change the month of the month to the month, there was a plan to eat outside last week, but the arms of the job, but now PPKM")</f>
        <v>Honestly, I didn't change the month of the month to the month, there was a plan to eat outside last week, but the arms of the job, but now PPKM</v>
      </c>
    </row>
    <row r="149" ht="15.75" customHeight="1">
      <c r="A149" s="2">
        <v>147.0</v>
      </c>
      <c r="B149" s="5" t="s">
        <v>261</v>
      </c>
      <c r="C149" s="6">
        <v>3.0</v>
      </c>
      <c r="D149" s="7" t="s">
        <v>262</v>
      </c>
      <c r="E149" s="8" t="str">
        <f>IFERROR(__xludf.DUMMYFUNCTION("googletranslate(D149,""id"",""en"")"),"I obeyed PPKM for healthy and advanced Indonesia")</f>
        <v>I obeyed PPKM for healthy and advanced Indonesia</v>
      </c>
    </row>
    <row r="150" ht="15.75" customHeight="1">
      <c r="A150" s="2">
        <v>148.0</v>
      </c>
      <c r="B150" s="5" t="s">
        <v>263</v>
      </c>
      <c r="C150" s="6">
        <v>2.0</v>
      </c>
      <c r="D150" s="7" t="s">
        <v>264</v>
      </c>
      <c r="E150" s="8" t="str">
        <f>IFERROR(__xludf.DUMMYFUNCTION("googletranslate(D150,""id"",""en"")"),"Next week ?? Mumping again many ppkm wfh hahaha")</f>
        <v>Next week ?? Mumping again many ppkm wfh hahaha</v>
      </c>
    </row>
    <row r="151" ht="15.75" customHeight="1">
      <c r="A151" s="2">
        <v>149.0</v>
      </c>
      <c r="B151" s="5" t="s">
        <v>265</v>
      </c>
      <c r="C151" s="6">
        <v>1.0</v>
      </c>
      <c r="D151" s="9" t="s">
        <v>266</v>
      </c>
      <c r="E151" s="8" t="str">
        <f>IFERROR(__xludf.DUMMYFUNCTION("googletranslate(D151,""id"",""en"")"),"IISIP PPKM is also a holiday just like the ongoing online gausa, CAPE I'm dizzy where the task makes the vidio mulu, where to take the stockshoot is complicated Sono here in the bulkhead, it doesn't work on the average UAS task. I've just thought ""I'm wr"&amp;"ong with taking the department huh?"" auah wants to cemilin cet just wall")</f>
        <v>IISIP PPKM is also a holiday just like the ongoing online gausa, CAPE I'm dizzy where the task makes the vidio mulu, where to take the stockshoot is complicated Sono here in the bulkhead, it doesn't work on the average UAS task. I've just thought "I'm wrong with taking the department huh?" auah wants to cemilin cet just wall</v>
      </c>
    </row>
    <row r="152" ht="15.75" customHeight="1">
      <c r="A152" s="2">
        <v>150.0</v>
      </c>
      <c r="B152" s="5" t="s">
        <v>267</v>
      </c>
      <c r="C152" s="6">
        <v>1.0</v>
      </c>
      <c r="D152" s="7" t="s">
        <v>268</v>
      </c>
      <c r="E152" s="8" t="str">
        <f>IFERROR(__xludf.DUMMYFUNCTION("googletranslate(D152,""id"",""en"")"),"Yaaaah begoyg see the golden triangle area. KELIR GIH to Jatinegara, Cipinang, KP. Malay, Kp. Rambutan, Kramat Jati, Cakung, Milling, Ujung Menteng, Angke, Tambora, Sama Priok. Ga aspi it weeh, there are still many who roam, crowd, very same Bodo PPKM")</f>
        <v>Yaaaah begoyg see the golden triangle area. KELIR GIH to Jatinegara, Cipinang, KP. Malay, Kp. Rambutan, Kramat Jati, Cakung, Milling, Ujung Menteng, Angke, Tambora, Sama Priok. Ga aspi it weeh, there are still many who roam, crowd, very same Bodo PPKM</v>
      </c>
    </row>
    <row r="153" ht="15.75" customHeight="1">
      <c r="A153" s="2">
        <v>151.0</v>
      </c>
      <c r="B153" s="5" t="s">
        <v>269</v>
      </c>
      <c r="C153" s="6">
        <v>3.0</v>
      </c>
      <c r="D153" s="9" t="s">
        <v>270</v>
      </c>
      <c r="E153" s="8" t="str">
        <f>IFERROR(__xludf.DUMMYFUNCTION("googletranslate(D153,""id"",""en"")"),"I obeyed PPKM for the sake of Indonesia Healthy and the Majulawan was true was wrong, so if it was against the right one would be wrong. Let's obey PPKM and tightly guard the prokes, at least the sake of your beloved family. Remove the ego and improper de"&amp;"sires. The families of the family and country")</f>
        <v>I obeyed PPKM for the sake of Indonesia Healthy and the Majulawan was true was wrong, so if it was against the right one would be wrong. Let's obey PPKM and tightly guard the prokes, at least the sake of your beloved family. Remove the ego and improper desires. The families of the family and country</v>
      </c>
    </row>
    <row r="154" ht="15.75" customHeight="1">
      <c r="A154" s="2">
        <v>152.0</v>
      </c>
      <c r="B154" s="5" t="s">
        <v>271</v>
      </c>
      <c r="C154" s="6">
        <v>1.0</v>
      </c>
      <c r="D154" s="7" t="s">
        <v>272</v>
      </c>
      <c r="E154" s="8" t="str">
        <f>IFERROR(__xludf.DUMMYFUNCTION("googletranslate(D154,""id"",""en"")"),"Gloomy Saturday night, already alone, even more PPKM")</f>
        <v>Gloomy Saturday night, already alone, even more PPKM</v>
      </c>
    </row>
    <row r="155" ht="15.75" customHeight="1">
      <c r="A155" s="2">
        <v>153.0</v>
      </c>
      <c r="B155" s="5" t="s">
        <v>273</v>
      </c>
      <c r="C155" s="6">
        <v>1.0</v>
      </c>
      <c r="D155" s="7" t="s">
        <v>273</v>
      </c>
      <c r="E155" s="8" t="str">
        <f>IFERROR(__xludf.DUMMYFUNCTION("googletranslate(D155,""id"",""en"")"),"At first I wanted to buy items at the online store, just remembered the Emergency PPKM, it seemed to be on the delivery of goods.")</f>
        <v>At first I wanted to buy items at the online store, just remembered the Emergency PPKM, it seemed to be on the delivery of goods.</v>
      </c>
    </row>
    <row r="156" ht="15.75" customHeight="1">
      <c r="A156" s="2">
        <v>154.0</v>
      </c>
      <c r="B156" s="5" t="s">
        <v>274</v>
      </c>
      <c r="C156" s="6">
        <v>2.0</v>
      </c>
      <c r="D156" s="9" t="s">
        <v>275</v>
      </c>
      <c r="E156" s="8" t="str">
        <f>IFERROR(__xludf.DUMMYFUNCTION("googletranslate(D156,""id"",""en"")"),"PPKM in Depok City Depok Dilocked ACSet Out in and out of Depok Closed Installed in a number of road points that connect Depok with the surrounding area * Videos for semalem")</f>
        <v>PPKM in Depok City Depok Dilocked ACSet Out in and out of Depok Closed Installed in a number of road points that connect Depok with the surrounding area * Videos for semalem</v>
      </c>
    </row>
    <row r="157" ht="15.75" customHeight="1">
      <c r="A157" s="2">
        <v>155.0</v>
      </c>
      <c r="B157" s="5" t="s">
        <v>276</v>
      </c>
      <c r="C157" s="6">
        <v>2.0</v>
      </c>
      <c r="D157" s="9" t="s">
        <v>277</v>
      </c>
      <c r="E157" s="8" t="str">
        <f>IFERROR(__xludf.DUMMYFUNCTION("googletranslate(D157,""id"",""en"")"),"min please info if my sim dies on July, whether it can get a dispensation of extension at the date of July, namely after Emergency PPKM ?? Suwunn.")</f>
        <v>min please info if my sim dies on July, whether it can get a dispensation of extension at the date of July, namely after Emergency PPKM ?? Suwunn.</v>
      </c>
    </row>
    <row r="158" ht="15.75" customHeight="1">
      <c r="A158" s="2">
        <v>156.0</v>
      </c>
      <c r="B158" s="5" t="s">
        <v>278</v>
      </c>
      <c r="C158" s="6">
        <v>2.0</v>
      </c>
      <c r="D158" s="9" t="s">
        <v>279</v>
      </c>
      <c r="E158" s="8" t="str">
        <f>IFERROR(__xludf.DUMMYFUNCTION("googletranslate(D158,""id"",""en"")"),"Exactly Jabar: Tetaining Prokes, the Mosque does not need to be closed during Emergency PPKM")</f>
        <v>Exactly Jabar: Tetaining Prokes, the Mosque does not need to be closed during Emergency PPKM</v>
      </c>
    </row>
    <row r="159" ht="15.75" customHeight="1">
      <c r="A159" s="2">
        <v>157.0</v>
      </c>
      <c r="B159" s="5" t="s">
        <v>280</v>
      </c>
      <c r="C159" s="6">
        <v>2.0</v>
      </c>
      <c r="D159" s="10" t="s">
        <v>281</v>
      </c>
      <c r="E159" s="8" t="str">
        <f>IFERROR(__xludf.DUMMYFUNCTION("googletranslate(D159,""id"",""en"")"),"PPKM Lhooo.")</f>
        <v>PPKM Lhooo.</v>
      </c>
    </row>
    <row r="160" ht="15.75" customHeight="1">
      <c r="A160" s="2">
        <v>158.0</v>
      </c>
      <c r="B160" s="5" t="s">
        <v>282</v>
      </c>
      <c r="C160" s="6">
        <v>2.0</v>
      </c>
      <c r="D160" s="7" t="s">
        <v>283</v>
      </c>
      <c r="E160" s="8" t="str">
        <f>IFERROR(__xludf.DUMMYFUNCTION("googletranslate(D160,""id"",""en"")"),"Want my PPKM or not still LDR")</f>
        <v>Want my PPKM or not still LDR</v>
      </c>
    </row>
    <row r="161" ht="15.75" customHeight="1">
      <c r="A161" s="2">
        <v>159.0</v>
      </c>
      <c r="B161" s="5" t="s">
        <v>284</v>
      </c>
      <c r="C161" s="6">
        <v>2.0</v>
      </c>
      <c r="D161" s="7" t="s">
        <v>285</v>
      </c>
      <c r="E161" s="8" t="str">
        <f>IFERROR(__xludf.DUMMYFUNCTION("googletranslate(D161,""id"",""en"")"),"Set prokes? The people are set prokes .. The government has been told, the community violates, so there is PPKM. Be Smart Buuk.")</f>
        <v>Set prokes? The people are set prokes .. The government has been told, the community violates, so there is PPKM. Be Smart Buuk.</v>
      </c>
    </row>
    <row r="162" ht="15.75" customHeight="1">
      <c r="A162" s="2">
        <v>160.0</v>
      </c>
      <c r="B162" s="5" t="s">
        <v>286</v>
      </c>
      <c r="C162" s="6">
        <v>2.0</v>
      </c>
      <c r="D162" s="7" t="s">
        <v>286</v>
      </c>
      <c r="E162" s="8" t="str">
        <f>IFERROR(__xludf.DUMMYFUNCTION("googletranslate(D162,""id"",""en"")"),"What emergency PPKM exhausted?")</f>
        <v>What emergency PPKM exhausted?</v>
      </c>
    </row>
    <row r="163" ht="15.75" customHeight="1">
      <c r="A163" s="2">
        <v>161.0</v>
      </c>
      <c r="B163" s="5" t="s">
        <v>287</v>
      </c>
      <c r="C163" s="6">
        <v>2.0</v>
      </c>
      <c r="D163" s="7" t="s">
        <v>288</v>
      </c>
      <c r="E163" s="8" t="str">
        <f>IFERROR(__xludf.DUMMYFUNCTION("googletranslate(D163,""id"",""en"")"),"Towards UTS = PSBB before UAS = PPKM")</f>
        <v>Towards UTS = PSBB before UAS = PPKM</v>
      </c>
    </row>
    <row r="164" ht="15.75" customHeight="1">
      <c r="A164" s="2">
        <v>162.0</v>
      </c>
      <c r="B164" s="5" t="s">
        <v>289</v>
      </c>
      <c r="C164" s="6">
        <v>2.0</v>
      </c>
      <c r="D164" s="7" t="s">
        <v>289</v>
      </c>
      <c r="E164" s="8" t="str">
        <f>IFERROR(__xludf.DUMMYFUNCTION("googletranslate(D164,""id"",""en"")"),"Ppkm that makes w fat")</f>
        <v>Ppkm that makes w fat</v>
      </c>
    </row>
    <row r="165" ht="15.75" customHeight="1">
      <c r="A165" s="2">
        <v>163.0</v>
      </c>
      <c r="B165" s="5" t="s">
        <v>290</v>
      </c>
      <c r="C165" s="6">
        <v>2.0</v>
      </c>
      <c r="D165" s="9" t="s">
        <v>291</v>
      </c>
      <c r="E165" s="8" t="str">
        <f>IFERROR(__xludf.DUMMYFUNCTION("googletranslate(D165,""id"",""en"")"),"Ppkmpengen hug you mas")</f>
        <v>Ppkmpengen hug you mas</v>
      </c>
    </row>
    <row r="166" ht="15.75" customHeight="1">
      <c r="A166" s="2">
        <v>164.0</v>
      </c>
      <c r="B166" s="5" t="s">
        <v>292</v>
      </c>
      <c r="C166" s="6">
        <v>1.0</v>
      </c>
      <c r="D166" s="7" t="s">
        <v>293</v>
      </c>
      <c r="E166" s="8" t="str">
        <f>IFERROR(__xludf.DUMMYFUNCTION("googletranslate(D166,""id"",""en"")"),"PPKM's violator is only a Penjapani Sariat hell")</f>
        <v>PPKM's violator is only a Penjapani Sariat hell</v>
      </c>
    </row>
    <row r="167" ht="15.75" customHeight="1">
      <c r="A167" s="2">
        <v>165.0</v>
      </c>
      <c r="B167" s="5" t="s">
        <v>294</v>
      </c>
      <c r="C167" s="6">
        <v>3.0</v>
      </c>
      <c r="D167" s="7" t="s">
        <v>295</v>
      </c>
      <c r="E167" s="8" t="str">
        <f>IFERROR(__xludf.DUMMYFUNCTION("googletranslate(D167,""id"",""en"")"),"Come on, friend, take care of Prokes and stay healthy I obey PPKM for the sake of Indonesia healthy and advanced")</f>
        <v>Come on, friend, take care of Prokes and stay healthy I obey PPKM for the sake of Indonesia healthy and advanced</v>
      </c>
    </row>
    <row r="168" ht="15.75" customHeight="1">
      <c r="A168" s="2">
        <v>166.0</v>
      </c>
      <c r="B168" s="5" t="s">
        <v>296</v>
      </c>
      <c r="C168" s="6">
        <v>3.0</v>
      </c>
      <c r="D168" s="7" t="s">
        <v>297</v>
      </c>
      <c r="E168" s="8" t="str">
        <f>IFERROR(__xludf.DUMMYFUNCTION("googletranslate(D168,""id"",""en"")"),"I obeyed PPKM for healthy and advanced Indonesia For the sake of saving lives, not just myself but for all of us! Don't want to have to you yapp")</f>
        <v>I obeyed PPKM for healthy and advanced Indonesia For the sake of saving lives, not just myself but for all of us! Don't want to have to you yapp</v>
      </c>
    </row>
    <row r="169" ht="15.75" customHeight="1">
      <c r="A169" s="2">
        <v>167.0</v>
      </c>
      <c r="B169" s="5" t="s">
        <v>298</v>
      </c>
      <c r="C169" s="6">
        <v>2.0</v>
      </c>
      <c r="D169" s="10" t="s">
        <v>299</v>
      </c>
      <c r="E169" s="8" t="str">
        <f>IFERROR(__xludf.DUMMYFUNCTION("googletranslate(D169,""id"",""en"")"),"Again ppkm nder.")</f>
        <v>Again ppkm nder.</v>
      </c>
    </row>
    <row r="170" ht="15.75" customHeight="1">
      <c r="A170" s="2">
        <v>168.0</v>
      </c>
      <c r="B170" s="5" t="s">
        <v>300</v>
      </c>
      <c r="C170" s="6">
        <v>3.0</v>
      </c>
      <c r="D170" s="9" t="s">
        <v>301</v>
      </c>
      <c r="E170" s="8" t="str">
        <f>IFERROR(__xludf.DUMMYFUNCTION("googletranslate(D170,""id"",""en"")"),"No need to be angry at the mosque closed while when the Emergency PPKM. This is an opportunity to make our home as a mosque. Adhan in each house. The worshipers at Kelg's house. Wirid - Koran at home. Our blessings are mosques for our family. Break")</f>
        <v>No need to be angry at the mosque closed while when the Emergency PPKM. This is an opportunity to make our home as a mosque. Adhan in each house. The worshipers at Kelg's house. Wirid - Koran at home. Our blessings are mosques for our family. Break</v>
      </c>
    </row>
    <row r="171" ht="15.75" customHeight="1">
      <c r="A171" s="2">
        <v>169.0</v>
      </c>
      <c r="B171" s="5" t="s">
        <v>302</v>
      </c>
      <c r="C171" s="6">
        <v>2.0</v>
      </c>
      <c r="D171" s="7" t="s">
        <v>303</v>
      </c>
      <c r="E171" s="8" t="str">
        <f>IFERROR(__xludf.DUMMYFUNCTION("googletranslate(D171,""id"",""en"")"),"Incidentally, it shouldn't be a biftie because of PPKM, the brake pad runs out and it's really hard !! the price is already rich canvas car brake too")</f>
        <v>Incidentally, it shouldn't be a biftie because of PPKM, the brake pad runs out and it's really hard !! the price is already rich canvas car brake too</v>
      </c>
    </row>
    <row r="172" ht="15.75" customHeight="1">
      <c r="A172" s="2">
        <v>170.0</v>
      </c>
      <c r="B172" s="5" t="s">
        <v>304</v>
      </c>
      <c r="C172" s="6">
        <v>3.0</v>
      </c>
      <c r="D172" s="9" t="s">
        <v>304</v>
      </c>
      <c r="E172" s="8" t="str">
        <f>IFERROR(__xludf.DUMMYFUNCTION("googletranslate(D172,""id"",""en"")"),"Good morning ... Let's enjoy the weekend and PPKM by gathering with family. Stay healthy and enthusiasm.")</f>
        <v>Good morning ... Let's enjoy the weekend and PPKM by gathering with family. Stay healthy and enthusiasm.</v>
      </c>
    </row>
    <row r="173" ht="15.75" customHeight="1">
      <c r="A173" s="2">
        <v>171.0</v>
      </c>
      <c r="B173" s="5" t="s">
        <v>305</v>
      </c>
      <c r="C173" s="6">
        <v>2.0</v>
      </c>
      <c r="D173" s="7" t="s">
        <v>305</v>
      </c>
      <c r="E173" s="8" t="str">
        <f>IFERROR(__xludf.DUMMYFUNCTION("googletranslate(D173,""id"",""en"")"),"gmna ppkm in dps? Want to go to Kos ...")</f>
        <v>gmna ppkm in dps? Want to go to Kos ...</v>
      </c>
    </row>
    <row r="174" ht="15.75" customHeight="1">
      <c r="A174" s="2">
        <v>172.0</v>
      </c>
      <c r="B174" s="5" t="s">
        <v>306</v>
      </c>
      <c r="C174" s="6">
        <v>2.0</v>
      </c>
      <c r="D174" s="7" t="s">
        <v>306</v>
      </c>
      <c r="E174" s="8" t="str">
        <f>IFERROR(__xludf.DUMMYFUNCTION("googletranslate(D174,""id"",""en"")"),"FORCOKDA East Java also held a meeting last night to follow up on the implementation of emergency PPKM.")</f>
        <v>FORCOKDA East Java also held a meeting last night to follow up on the implementation of emergency PPKM.</v>
      </c>
    </row>
    <row r="175" ht="15.75" customHeight="1">
      <c r="A175" s="2">
        <v>173.0</v>
      </c>
      <c r="B175" s="5" t="s">
        <v>307</v>
      </c>
      <c r="C175" s="6">
        <v>2.0</v>
      </c>
      <c r="D175" s="7" t="s">
        <v>308</v>
      </c>
      <c r="E175" s="8" t="str">
        <f>IFERROR(__xludf.DUMMYFUNCTION("googletranslate(D175,""id"",""en"")"),"Ppkm = pepek km mambu")</f>
        <v>Ppkm = pepek km mambu</v>
      </c>
    </row>
    <row r="176" ht="15.75" customHeight="1">
      <c r="A176" s="2">
        <v>174.0</v>
      </c>
      <c r="B176" s="5" t="s">
        <v>309</v>
      </c>
      <c r="C176" s="6">
        <v>3.0</v>
      </c>
      <c r="D176" s="7" t="s">
        <v>310</v>
      </c>
      <c r="E176" s="8" t="str">
        <f>IFERROR(__xludf.DUMMYFUNCTION("googletranslate(D176,""id"",""en"")"),"At: 53 last night, the road to the city of Yogyakarta was closed, ~ Consistent PPKM ~")</f>
        <v>At: 53 last night, the road to the city of Yogyakarta was closed, ~ Consistent PPKM ~</v>
      </c>
    </row>
    <row r="177" ht="15.75" customHeight="1">
      <c r="A177" s="2">
        <v>175.0</v>
      </c>
      <c r="B177" s="5" t="s">
        <v>311</v>
      </c>
      <c r="C177" s="6">
        <v>1.0</v>
      </c>
      <c r="D177" s="7" t="s">
        <v>312</v>
      </c>
      <c r="E177" s="8" t="str">
        <f>IFERROR(__xludf.DUMMYFUNCTION("googletranslate(D177,""id"",""en"")"),"Ga know emergency ppkm yes pkeb mah")</f>
        <v>Ga know emergency ppkm yes pkeb mah</v>
      </c>
    </row>
    <row r="178" ht="15.75" customHeight="1">
      <c r="A178" s="2">
        <v>176.0</v>
      </c>
      <c r="B178" s="5" t="s">
        <v>313</v>
      </c>
      <c r="C178" s="6">
        <v>2.0</v>
      </c>
      <c r="D178" s="7" t="s">
        <v>313</v>
      </c>
      <c r="E178" s="8" t="str">
        <f>IFERROR(__xludf.DUMMYFUNCTION("googletranslate(D178,""id"",""en"")"),"again ppkm how to download it?: ')")</f>
        <v>again ppkm how to download it?: ')</v>
      </c>
    </row>
    <row r="179" ht="15.75" customHeight="1">
      <c r="A179" s="2">
        <v>177.0</v>
      </c>
      <c r="B179" s="5" t="s">
        <v>314</v>
      </c>
      <c r="C179" s="6">
        <v>2.0</v>
      </c>
      <c r="D179" s="7" t="s">
        <v>315</v>
      </c>
      <c r="E179" s="8" t="str">
        <f>IFERROR(__xludf.DUMMYFUNCTION("googletranslate(D179,""id"",""en"")"),"I can only pray that it will run out, it will increase the PPKM again. Amen")</f>
        <v>I can only pray that it will run out, it will increase the PPKM again. Amen</v>
      </c>
    </row>
    <row r="180" ht="15.75" customHeight="1">
      <c r="A180" s="2">
        <v>178.0</v>
      </c>
      <c r="B180" s="5" t="s">
        <v>316</v>
      </c>
      <c r="C180" s="6">
        <v>3.0</v>
      </c>
      <c r="D180" s="9" t="s">
        <v>316</v>
      </c>
      <c r="E180" s="8" t="str">
        <f>IFERROR(__xludf.DUMMYFUNCTION("googletranslate(D180,""id"",""en"")"),"God created you not tested you with a side by side of the road ... but all there are Wasait through the process of in the uterus mbokmu ... All need because Hayooo Toguk2 participated in the success of the government to obey the government's suggestion at"&amp;" PPKM to be immediately the State for Immediately Dr. Covid")</f>
        <v>God created you not tested you with a side by side of the road ... but all there are Wasait through the process of in the uterus mbokmu ... All need because Hayooo Toguk2 participated in the success of the government to obey the government's suggestion at PPKM to be immediately the State for Immediately Dr. Covid</v>
      </c>
    </row>
    <row r="181" ht="15.75" customHeight="1">
      <c r="A181" s="2">
        <v>179.0</v>
      </c>
      <c r="B181" s="5" t="s">
        <v>317</v>
      </c>
      <c r="C181" s="6">
        <v>1.0</v>
      </c>
      <c r="D181" s="7" t="s">
        <v>318</v>
      </c>
      <c r="E181" s="8" t="str">
        <f>IFERROR(__xludf.DUMMYFUNCTION("googletranslate(D181,""id"",""en"")"),"Article Law No year on the outbreak of infectious diseases. It is for officials in RI which does not support Emergency PPKM ....")</f>
        <v>Article Law No year on the outbreak of infectious diseases. It is for officials in RI which does not support Emergency PPKM ....</v>
      </c>
    </row>
    <row r="182" ht="15.75" customHeight="1">
      <c r="A182" s="2">
        <v>180.0</v>
      </c>
      <c r="B182" s="5" t="s">
        <v>319</v>
      </c>
      <c r="C182" s="6">
        <v>1.0</v>
      </c>
      <c r="D182" s="7" t="s">
        <v>320</v>
      </c>
      <c r="E182" s="8" t="str">
        <f>IFERROR(__xludf.DUMMYFUNCTION("googletranslate(D182,""id"",""en"")"),"Prove the firmness in Emergency PPKM enforcement, do not look at the beard.")</f>
        <v>Prove the firmness in Emergency PPKM enforcement, do not look at the beard.</v>
      </c>
    </row>
    <row r="183" ht="15.75" customHeight="1">
      <c r="A183" s="2">
        <v>181.0</v>
      </c>
      <c r="B183" s="5" t="s">
        <v>321</v>
      </c>
      <c r="C183" s="6">
        <v>2.0</v>
      </c>
      <c r="D183" s="9" t="s">
        <v>322</v>
      </c>
      <c r="E183" s="8" t="str">
        <f>IFERROR(__xludf.DUMMYFUNCTION("googletranslate(D183,""id"",""en"")"),"Hihihi, the area entered the emergency PPKM, the portal door came out of the boarding house closed today fortunately I hobbies laying up. just yes again there needs to come out this time it doesn't come out")</f>
        <v>Hihihi, the area entered the emergency PPKM, the portal door came out of the boarding house closed today fortunately I hobbies laying up. just yes again there needs to come out this time it doesn't come out</v>
      </c>
    </row>
    <row r="184" ht="15.75" customHeight="1">
      <c r="A184" s="2">
        <v>182.0</v>
      </c>
      <c r="B184" s="5" t="s">
        <v>323</v>
      </c>
      <c r="C184" s="6">
        <v>2.0</v>
      </c>
      <c r="D184" s="7" t="s">
        <v>324</v>
      </c>
      <c r="E184" s="8" t="str">
        <f>IFERROR(__xludf.DUMMYFUNCTION("googletranslate(D184,""id"",""en"")"),"Let's Have Our Own PPKM. You slowly enter it")</f>
        <v>Let's Have Our Own PPKM. You slowly enter it</v>
      </c>
    </row>
    <row r="185" ht="15.75" customHeight="1">
      <c r="A185" s="2">
        <v>183.0</v>
      </c>
      <c r="B185" s="5" t="s">
        <v>325</v>
      </c>
      <c r="C185" s="6">
        <v>2.0</v>
      </c>
      <c r="D185" s="9" t="s">
        <v>326</v>
      </c>
      <c r="E185" s="8" t="str">
        <f>IFERROR(__xludf.DUMMYFUNCTION("googletranslate(D185,""id"",""en"")"),"Salute the same which is still in the neighborhood in the PPKM building.")</f>
        <v>Salute the same which is still in the neighborhood in the PPKM building.</v>
      </c>
    </row>
    <row r="186" ht="15.75" customHeight="1">
      <c r="A186" s="2">
        <v>184.0</v>
      </c>
      <c r="B186" s="5" t="s">
        <v>327</v>
      </c>
      <c r="C186" s="6">
        <v>2.0</v>
      </c>
      <c r="D186" s="7" t="s">
        <v>328</v>
      </c>
      <c r="E186" s="8" t="str">
        <f>IFERROR(__xludf.DUMMYFUNCTION("googletranslate(D186,""id"",""en"")"),"During the quarantine of the region, especially Emergency PPKM, all the basic needs of the people, the people are borne by the expanded, the local government is assisted by the local government ... it's good ...")</f>
        <v>During the quarantine of the region, especially Emergency PPKM, all the basic needs of the people, the people are borne by the expanded, the local government is assisted by the local government ... it's good ...</v>
      </c>
    </row>
    <row r="187" ht="15.75" customHeight="1">
      <c r="A187" s="2">
        <v>185.0</v>
      </c>
      <c r="B187" s="5" t="s">
        <v>329</v>
      </c>
      <c r="C187" s="6">
        <v>3.0</v>
      </c>
      <c r="D187" s="7" t="s">
        <v>330</v>
      </c>
      <c r="E187" s="8" t="str">
        <f>IFERROR(__xludf.DUMMYFUNCTION("googletranslate(D187,""id"",""en"")"),"I'm PPKM for Healthy and Advanced Indonesia")</f>
        <v>I'm PPKM for Healthy and Advanced Indonesia</v>
      </c>
    </row>
    <row r="188" ht="15.75" customHeight="1">
      <c r="A188" s="2">
        <v>186.0</v>
      </c>
      <c r="B188" s="5" t="s">
        <v>331</v>
      </c>
      <c r="C188" s="6">
        <v>2.0</v>
      </c>
      <c r="D188" s="7" t="s">
        <v>332</v>
      </c>
      <c r="E188" s="8" t="str">
        <f>IFERROR(__xludf.DUMMYFUNCTION("googletranslate(D188,""id"",""en"")"),"There GA GA PPKM?")</f>
        <v>There GA GA PPKM?</v>
      </c>
    </row>
    <row r="189" ht="15.75" customHeight="1">
      <c r="A189" s="2">
        <v>187.0</v>
      </c>
      <c r="B189" s="5" t="s">
        <v>333</v>
      </c>
      <c r="C189" s="6">
        <v>1.0</v>
      </c>
      <c r="D189" s="7" t="s">
        <v>334</v>
      </c>
      <c r="E189" s="8" t="str">
        <f>IFERROR(__xludf.DUMMYFUNCTION("googletranslate(D189,""id"",""en"")"),"It seems that their TV network has a problem with Leasing Network. Sampeyan was only a week, I was a week of being ignored. Gue asked compensation to be lonely. The age of PPKM doesn't even make it more stress.")</f>
        <v>It seems that their TV network has a problem with Leasing Network. Sampeyan was only a week, I was a week of being ignored. Gue asked compensation to be lonely. The age of PPKM doesn't even make it more stress.</v>
      </c>
    </row>
    <row r="190" ht="15.75" customHeight="1">
      <c r="A190" s="2">
        <v>188.0</v>
      </c>
      <c r="B190" s="5" t="s">
        <v>335</v>
      </c>
      <c r="C190" s="6">
        <v>1.0</v>
      </c>
      <c r="D190" s="7" t="s">
        <v>336</v>
      </c>
      <c r="E190" s="8" t="str">
        <f>IFERROR(__xludf.DUMMYFUNCTION("googletranslate(D190,""id"",""en"")"),"Just recipe the head of the area - the regional head that is not compact with the central policy | The success of the implementation of emergency PPKM is highly determined by the regional head as a policy maker authority in controlling pandemics in each a"&amp;"rea.")</f>
        <v>Just recipe the head of the area - the regional head that is not compact with the central policy | The success of the implementation of emergency PPKM is highly determined by the regional head as a policy maker authority in controlling pandemics in each area.</v>
      </c>
    </row>
    <row r="191" ht="15.75" customHeight="1">
      <c r="A191" s="2">
        <v>189.0</v>
      </c>
      <c r="B191" s="5" t="s">
        <v>337</v>
      </c>
      <c r="C191" s="6">
        <v>2.0</v>
      </c>
      <c r="D191" s="7" t="s">
        <v>338</v>
      </c>
      <c r="E191" s="8" t="str">
        <f>IFERROR(__xludf.DUMMYFUNCTION("googletranslate(D191,""id"",""en"")"),"wkwkwwk ga ppkm kh")</f>
        <v>wkwkwwk ga ppkm kh</v>
      </c>
    </row>
    <row r="192" ht="15.75" customHeight="1">
      <c r="A192" s="2">
        <v>190.0</v>
      </c>
      <c r="B192" s="5" t="s">
        <v>339</v>
      </c>
      <c r="C192" s="6">
        <v>2.0</v>
      </c>
      <c r="D192" s="7" t="s">
        <v>340</v>
      </c>
      <c r="E192" s="8" t="str">
        <f>IFERROR(__xludf.DUMMYFUNCTION("googletranslate(D192,""id"",""en"")"),"Ppkm aka want to have you mas")</f>
        <v>Ppkm aka want to have you mas</v>
      </c>
    </row>
    <row r="193" ht="15.75" customHeight="1">
      <c r="A193" s="2">
        <v>191.0</v>
      </c>
      <c r="B193" s="5" t="s">
        <v>341</v>
      </c>
      <c r="C193" s="6">
        <v>3.0</v>
      </c>
      <c r="D193" s="7" t="s">
        <v>342</v>
      </c>
      <c r="E193" s="8" t="str">
        <f>IFERROR(__xludf.DUMMYFUNCTION("googletranslate(D193,""id"",""en"")"),"My mind struggled to wander on the road! Want to run an outdo but must hold it can't be selfish in this PPKM time")</f>
        <v>My mind struggled to wander on the road! Want to run an outdo but must hold it can't be selfish in this PPKM time</v>
      </c>
    </row>
    <row r="194" ht="15.75" customHeight="1">
      <c r="A194" s="2">
        <v>192.0</v>
      </c>
      <c r="B194" s="5" t="s">
        <v>343</v>
      </c>
      <c r="C194" s="6">
        <v>1.0</v>
      </c>
      <c r="D194" s="7" t="s">
        <v>343</v>
      </c>
      <c r="E194" s="8" t="str">
        <f>IFERROR(__xludf.DUMMYFUNCTION("googletranslate(D194,""id"",""en"")"),"Look at Javanese news Bali again at PPKM except Depok.")</f>
        <v>Look at Javanese news Bali again at PPKM except Depok.</v>
      </c>
    </row>
    <row r="195" ht="15.75" customHeight="1">
      <c r="A195" s="2">
        <v>193.0</v>
      </c>
      <c r="B195" s="5" t="s">
        <v>344</v>
      </c>
      <c r="C195" s="6">
        <v>2.0</v>
      </c>
      <c r="D195" s="7" t="s">
        <v>345</v>
      </c>
      <c r="E195" s="8" t="str">
        <f>IFERROR(__xludf.DUMMYFUNCTION("googletranslate(D195,""id"",""en"")"),"Balinese considerations in the emergency PPKM level are the status of the district and city here which are still in the orange zone, except for Tabanan and Karangasem huh")</f>
        <v>Balinese considerations in the emergency PPKM level are the status of the district and city here which are still in the orange zone, except for Tabanan and Karangasem huh</v>
      </c>
    </row>
    <row r="196" ht="15.75" customHeight="1">
      <c r="A196" s="2">
        <v>194.0</v>
      </c>
      <c r="B196" s="5" t="s">
        <v>346</v>
      </c>
      <c r="C196" s="6">
        <v>1.0</v>
      </c>
      <c r="D196" s="9" t="s">
        <v>346</v>
      </c>
      <c r="E196" s="8" t="str">
        <f>IFERROR(__xludf.DUMMYFUNCTION("googletranslate(D196,""id"",""en"")"),"I see the streets, how come I speechless, look at you no bermask. LG roads ride the motorbike while laughing. While me? LG panic sm husband looking for DSA JM6 afternoon plus PPKM Margonda closed. Finally? Puter behind Kermh.")</f>
        <v>I see the streets, how come I speechless, look at you no bermask. LG roads ride the motorbike while laughing. While me? LG panic sm husband looking for DSA JM6 afternoon plus PPKM Margonda closed. Finally? Puter behind Kermh.</v>
      </c>
    </row>
    <row r="197" ht="15.75" customHeight="1">
      <c r="A197" s="2">
        <v>195.0</v>
      </c>
      <c r="B197" s="5" t="s">
        <v>347</v>
      </c>
      <c r="C197" s="6">
        <v>2.0</v>
      </c>
      <c r="D197" s="7" t="s">
        <v>348</v>
      </c>
      <c r="E197" s="8" t="str">
        <f>IFERROR(__xludf.DUMMYFUNCTION("googletranslate(D197,""id"",""en"")"),"PPKM 2nd day of the streets are deserted. Lonely tenan ..")</f>
        <v>PPKM 2nd day of the streets are deserted. Lonely tenan ..</v>
      </c>
    </row>
    <row r="198" ht="15.75" customHeight="1">
      <c r="A198" s="2">
        <v>196.0</v>
      </c>
      <c r="B198" s="5" t="s">
        <v>349</v>
      </c>
      <c r="C198" s="6">
        <v>2.0</v>
      </c>
      <c r="D198" s="7" t="s">
        <v>350</v>
      </c>
      <c r="E198" s="8" t="str">
        <f>IFERROR(__xludf.DUMMYFUNCTION("googletranslate(D198,""id"",""en"")"),"Said bike road bike in the time of PPKM:")</f>
        <v>Said bike road bike in the time of PPKM:</v>
      </c>
    </row>
    <row r="199" ht="15.75" customHeight="1">
      <c r="A199" s="2">
        <v>197.0</v>
      </c>
      <c r="B199" s="5" t="s">
        <v>351</v>
      </c>
      <c r="C199" s="6">
        <v>3.0</v>
      </c>
      <c r="D199" s="7" t="s">
        <v>352</v>
      </c>
      <c r="E199" s="8" t="str">
        <f>IFERROR(__xludf.DUMMYFUNCTION("googletranslate(D199,""id"",""en"")"),"I obeyed PPKM for the sake of healthy and forward. Yuk follow all friends!")</f>
        <v>I obeyed PPKM for the sake of healthy and forward. Yuk follow all friends!</v>
      </c>
    </row>
    <row r="200" ht="15.75" customHeight="1">
      <c r="A200" s="2">
        <v>198.0</v>
      </c>
      <c r="B200" s="5" t="s">
        <v>353</v>
      </c>
      <c r="C200" s="6">
        <v>1.0</v>
      </c>
      <c r="D200" s="7" t="s">
        <v>354</v>
      </c>
      <c r="E200" s="8" t="str">
        <f>IFERROR(__xludf.DUMMYFUNCTION("googletranslate(D200,""id"",""en"")"),"People who insist on input TKA, Coordinating Minister for all ministers, failed to handle pandemics instead of being appointed PPKM to be very stupid ...")</f>
        <v>People who insist on input TKA, Coordinating Minister for all ministers, failed to handle pandemics instead of being appointed PPKM to be very stupid ...</v>
      </c>
    </row>
    <row r="201" ht="15.75" customHeight="1">
      <c r="A201" s="2">
        <v>199.0</v>
      </c>
      <c r="B201" s="5" t="s">
        <v>355</v>
      </c>
      <c r="C201" s="6">
        <v>1.0</v>
      </c>
      <c r="D201" s="7" t="s">
        <v>356</v>
      </c>
      <c r="E201" s="8" t="str">
        <f>IFERROR(__xludf.DUMMYFUNCTION("googletranslate(D201,""id"",""en"")"),"Is it difficult for it ?? At Hospital it's hard to be ?? Lg ppkm also can't go anywhere")</f>
        <v>Is it difficult for it ?? At Hospital it's hard to be ?? Lg ppkm also can't go anywhere</v>
      </c>
    </row>
    <row r="202" ht="15.75" customHeight="1">
      <c r="A202" s="2">
        <v>200.0</v>
      </c>
      <c r="B202" s="5" t="s">
        <v>357</v>
      </c>
      <c r="C202" s="6">
        <v>3.0</v>
      </c>
      <c r="D202" s="9" t="s">
        <v>358</v>
      </c>
      <c r="E202" s="8" t="str">
        <f>IFERROR(__xludf.DUMMYFUNCTION("googletranslate(D202,""id"",""en"")"),"Make Sunday become Happy. LA GMN? PPKM Create Quality Time BC Couple, ME Time or Melonyi Kids Time and Cook Special Time")</f>
        <v>Make Sunday become Happy. LA GMN? PPKM Create Quality Time BC Couple, ME Time or Melonyi Kids Time and Cook Special Time</v>
      </c>
    </row>
    <row r="203" ht="15.75" customHeight="1">
      <c r="A203" s="2">
        <v>201.0</v>
      </c>
      <c r="B203" s="5" t="s">
        <v>359</v>
      </c>
      <c r="C203" s="6">
        <v>2.0</v>
      </c>
      <c r="D203" s="9" t="s">
        <v>360</v>
      </c>
      <c r="E203" s="8" t="str">
        <f>IFERROR(__xludf.DUMMYFUNCTION("googletranslate(D203,""id"",""en"")"),"PPKM (enforcement of restrictions on community activities). Java-Bali? Said Said Sunda Mah free.wkkkk ""Kota Bongkok Kumorolong, Kacingcalang Kumarantang"".")</f>
        <v>PPKM (enforcement of restrictions on community activities). Java-Bali? Said Said Sunda Mah free.wkkkk "Kota Bongkok Kumorolong, Kacingcalang Kumarantang".</v>
      </c>
    </row>
    <row r="204" ht="15.75" customHeight="1">
      <c r="A204" s="2">
        <v>202.0</v>
      </c>
      <c r="B204" s="5" t="s">
        <v>361</v>
      </c>
      <c r="C204" s="6">
        <v>3.0</v>
      </c>
      <c r="D204" s="7" t="s">
        <v>362</v>
      </c>
      <c r="E204" s="8" t="str">
        <f>IFERROR(__xludf.DUMMYFUNCTION("googletranslate(D204,""id"",""en"")"),"A survivors forget to obey the prokes &amp; amp; Obedient ppkm sob..indonesia must be healthy")</f>
        <v>A survivors forget to obey the prokes &amp; amp; Obedient ppkm sob..indonesia must be healthy</v>
      </c>
    </row>
    <row r="205" ht="15.75" customHeight="1">
      <c r="A205" s="2">
        <v>203.0</v>
      </c>
      <c r="B205" s="5" t="s">
        <v>363</v>
      </c>
      <c r="C205" s="6">
        <v>1.0</v>
      </c>
      <c r="D205" s="7" t="s">
        <v>364</v>
      </c>
      <c r="E205" s="8" t="str">
        <f>IFERROR(__xludf.DUMMYFUNCTION("googletranslate(D205,""id"",""en"")"),"Luckily near the beach, but again ppkm bad luck")</f>
        <v>Luckily near the beach, but again ppkm bad luck</v>
      </c>
    </row>
    <row r="206" ht="15.75" customHeight="1">
      <c r="A206" s="2">
        <v>204.0</v>
      </c>
      <c r="B206" s="5" t="s">
        <v>365</v>
      </c>
      <c r="C206" s="6">
        <v>1.0</v>
      </c>
      <c r="D206" s="9" t="s">
        <v>366</v>
      </c>
      <c r="E206" s="8" t="str">
        <f>IFERROR(__xludf.DUMMYFUNCTION("googletranslate(D206,""id"",""en"")"),"Don't be afraid of having money, because as long as our PPKM doesn't need to eat")</f>
        <v>Don't be afraid of having money, because as long as our PPKM doesn't need to eat</v>
      </c>
    </row>
    <row r="207" ht="15.75" customHeight="1">
      <c r="A207" s="2">
        <v>205.0</v>
      </c>
      <c r="B207" s="5" t="s">
        <v>367</v>
      </c>
      <c r="C207" s="6">
        <v>3.0</v>
      </c>
      <c r="D207" s="7" t="s">
        <v>367</v>
      </c>
      <c r="E207" s="8" t="str">
        <f>IFERROR(__xludf.DUMMYFUNCTION("googletranslate(D207,""id"",""en"")"),"ppkm hopefully covid can be fast ilang amen")</f>
        <v>ppkm hopefully covid can be fast ilang amen</v>
      </c>
    </row>
    <row r="208" ht="15.75" customHeight="1">
      <c r="A208" s="2">
        <v>206.0</v>
      </c>
      <c r="B208" s="5" t="s">
        <v>368</v>
      </c>
      <c r="C208" s="6">
        <v>3.0</v>
      </c>
      <c r="D208" s="7" t="s">
        <v>369</v>
      </c>
      <c r="E208" s="8" t="str">
        <f>IFERROR(__xludf.DUMMYFUNCTION("googletranslate(D208,""id"",""en"")"),"PPKM Pkmui Steps Call the Government Step Right Apply Emergency PPKM")</f>
        <v>PPKM Pkmui Steps Call the Government Step Right Apply Emergency PPKM</v>
      </c>
    </row>
    <row r="209" ht="15.75" customHeight="1">
      <c r="A209" s="2">
        <v>207.0</v>
      </c>
      <c r="B209" s="5" t="s">
        <v>370</v>
      </c>
      <c r="C209" s="6">
        <v>3.0</v>
      </c>
      <c r="D209" s="9" t="s">
        <v>371</v>
      </c>
      <c r="E209" s="8" t="str">
        <f>IFERROR(__xludf.DUMMYFUNCTION("googletranslate(D209,""id"",""en"")"),"Virtual Gowes today was postponed because there was an emergency PPKM, Mancal this Sunday morning Solo Ride of the field of rice fields and villages. Still exercise for immunity and vitality")</f>
        <v>Virtual Gowes today was postponed because there was an emergency PPKM, Mancal this Sunday morning Solo Ride of the field of rice fields and villages. Still exercise for immunity and vitality</v>
      </c>
    </row>
    <row r="210" ht="15.75" customHeight="1">
      <c r="A210" s="2">
        <v>208.0</v>
      </c>
      <c r="B210" s="5" t="s">
        <v>372</v>
      </c>
      <c r="C210" s="6">
        <v>3.0</v>
      </c>
      <c r="D210" s="7" t="s">
        <v>373</v>
      </c>
      <c r="E210" s="8" t="str">
        <f>IFERROR(__xludf.DUMMYFUNCTION("googletranslate(D210,""id"",""en"")"),"The enactment of Micro PPKM in the effective value hands Corona. PPKM steps right")</f>
        <v>The enactment of Micro PPKM in the effective value hands Corona. PPKM steps right</v>
      </c>
    </row>
    <row r="211" ht="15.75" customHeight="1">
      <c r="A211" s="2">
        <v>209.0</v>
      </c>
      <c r="B211" s="5" t="s">
        <v>374</v>
      </c>
      <c r="C211" s="6">
        <v>1.0</v>
      </c>
      <c r="D211" s="7" t="s">
        <v>375</v>
      </c>
      <c r="E211" s="8" t="str">
        <f>IFERROR(__xludf.DUMMYFUNCTION("googletranslate(D211,""id"",""en"")"),"Officially postponed because of PPKM")</f>
        <v>Officially postponed because of PPKM</v>
      </c>
    </row>
    <row r="212" ht="15.75" customHeight="1">
      <c r="A212" s="2">
        <v>210.0</v>
      </c>
      <c r="B212" s="5" t="s">
        <v>376</v>
      </c>
      <c r="C212" s="6">
        <v>1.0</v>
      </c>
      <c r="D212" s="7" t="s">
        <v>377</v>
      </c>
      <c r="E212" s="8" t="str">
        <f>IFERROR(__xludf.DUMMYFUNCTION("googletranslate(D212,""id"",""en"")"),"What is the Emergency PPKM? Earlier through the MasyaAl market, it is also x folding from the benefit of% ...")</f>
        <v>What is the Emergency PPKM? Earlier through the MasyaAl market, it is also x folding from the benefit of% ...</v>
      </c>
    </row>
    <row r="213" ht="15.75" customHeight="1">
      <c r="A213" s="2">
        <v>211.0</v>
      </c>
      <c r="B213" s="5" t="s">
        <v>378</v>
      </c>
      <c r="C213" s="6">
        <v>1.0</v>
      </c>
      <c r="D213" s="7" t="s">
        <v>379</v>
      </c>
      <c r="E213" s="8" t="str">
        <f>IFERROR(__xludf.DUMMYFUNCTION("googletranslate(D213,""id"",""en"")"),"PPKM does not mean the government released responsibilities! Dr. Muhammad Taufiq S.h., M.H. Presidential Association of Indonesian Criminal Expert (AAPI)")</f>
        <v>PPKM does not mean the government released responsibilities! Dr. Muhammad Taufiq S.h., M.H. Presidential Association of Indonesian Criminal Expert (AAPI)</v>
      </c>
    </row>
    <row r="214" ht="15.75" customHeight="1">
      <c r="A214" s="2">
        <v>212.0</v>
      </c>
      <c r="B214" s="5" t="s">
        <v>380</v>
      </c>
      <c r="C214" s="6">
        <v>2.0</v>
      </c>
      <c r="D214" s="7" t="s">
        <v>381</v>
      </c>
      <c r="E214" s="8" t="str">
        <f>IFERROR(__xludf.DUMMYFUNCTION("googletranslate(D214,""id"",""en"")"),"PSBB: Big Section Social Restrictions Bigpk Management Of Restrictions on Public Activities, WITNESS SUPPENING THE RULES OF THE GOAN")</f>
        <v>PSBB: Big Section Social Restrictions Bigpk Management Of Restrictions on Public Activities, WITNESS SUPPENING THE RULES OF THE GOAN</v>
      </c>
    </row>
    <row r="215" ht="15.75" customHeight="1">
      <c r="A215" s="2">
        <v>213.0</v>
      </c>
      <c r="B215" s="5" t="s">
        <v>382</v>
      </c>
      <c r="C215" s="6">
        <v>2.0</v>
      </c>
      <c r="D215" s="7" t="s">
        <v>383</v>
      </c>
      <c r="E215" s="8" t="str">
        <f>IFERROR(__xludf.DUMMYFUNCTION("googletranslate(D215,""id"",""en"")"),"PPK is believing and then disappear")</f>
        <v>PPK is believing and then disappear</v>
      </c>
    </row>
    <row r="216" ht="15.75" customHeight="1">
      <c r="A216" s="2">
        <v>214.0</v>
      </c>
      <c r="B216" s="5" t="s">
        <v>384</v>
      </c>
      <c r="C216" s="6">
        <v>3.0</v>
      </c>
      <c r="D216" s="9" t="s">
        <v>385</v>
      </c>
      <c r="E216" s="8" t="str">
        <f>IFERROR(__xludf.DUMMYFUNCTION("googletranslate(D216,""id"",""en"")"),"LBP: All we do gradually, multilevel, continuing! Finally, Mr. Jokowi pointed to his right hand LBP commanded an emergency PPKM. He is indeed used to being a critical and important situation, appearing to resolve problems completely.")</f>
        <v>LBP: All we do gradually, multilevel, continuing! Finally, Mr. Jokowi pointed to his right hand LBP commanded an emergency PPKM. He is indeed used to being a critical and important situation, appearing to resolve problems completely.</v>
      </c>
    </row>
    <row r="217" ht="15.75" customHeight="1">
      <c r="A217" s="2">
        <v>215.0</v>
      </c>
      <c r="B217" s="5" t="s">
        <v>386</v>
      </c>
      <c r="C217" s="6">
        <v>2.0</v>
      </c>
      <c r="D217" s="9" t="s">
        <v>386</v>
      </c>
      <c r="E217" s="8" t="str">
        <f>IFERROR(__xludf.DUMMYFUNCTION("googletranslate(D217,""id"",""en"")"),"Almost all districts or also cities in East Java will undergo emergency PPKM, except for two regions, namely Sumenep and Probolinggo Regency huh")</f>
        <v>Almost all districts or also cities in East Java will undergo emergency PPKM, except for two regions, namely Sumenep and Probolinggo Regency huh</v>
      </c>
    </row>
    <row r="218" ht="15.75" customHeight="1">
      <c r="A218" s="2">
        <v>216.0</v>
      </c>
      <c r="B218" s="5" t="s">
        <v>387</v>
      </c>
      <c r="C218" s="6">
        <v>3.0</v>
      </c>
      <c r="D218" s="9" t="s">
        <v>388</v>
      </c>
      <c r="E218" s="8" t="str">
        <f>IFERROR(__xludf.DUMMYFUNCTION("googletranslate(D218,""id"",""en"")"),"I obeyed PPKM for Healthy Indonesia and Majusemoga Pandemi immediately ended. And we are all always protected by God. Amen")</f>
        <v>I obeyed PPKM for Healthy Indonesia and Majusemoga Pandemi immediately ended. And we are all always protected by God. Amen</v>
      </c>
    </row>
    <row r="219" ht="15.75" customHeight="1">
      <c r="A219" s="2">
        <v>217.0</v>
      </c>
      <c r="B219" s="5" t="s">
        <v>389</v>
      </c>
      <c r="C219" s="6">
        <v>1.0</v>
      </c>
      <c r="D219" s="9" t="s">
        <v>390</v>
      </c>
      <c r="E219" s="8" t="str">
        <f>IFERROR(__xludf.DUMMYFUNCTION("googletranslate(D219,""id"",""en"")"),"Psbb - ppkm - ppkm emergatbesok again if the corona nglunjak, add ya pakppkm super emergency - super ppkm daruat - ppkm super emergency really nget nget")</f>
        <v>Psbb - ppkm - ppkm emergatbesok again if the corona nglunjak, add ya pakppkm super emergency - super ppkm daruat - ppkm super emergency really nget nget</v>
      </c>
    </row>
    <row r="220" ht="15.75" customHeight="1">
      <c r="A220" s="2">
        <v>218.0</v>
      </c>
      <c r="B220" s="5" t="s">
        <v>391</v>
      </c>
      <c r="C220" s="6">
        <v>2.0</v>
      </c>
      <c r="D220" s="9" t="s">
        <v>392</v>
      </c>
      <c r="E220" s="8" t="str">
        <f>IFERROR(__xludf.DUMMYFUNCTION("googletranslate(D220,""id"",""en"")"),"Sunday just sleeps outside still PPKM")</f>
        <v>Sunday just sleeps outside still PPKM</v>
      </c>
    </row>
    <row r="221" ht="15.75" customHeight="1">
      <c r="A221" s="2">
        <v>219.0</v>
      </c>
      <c r="B221" s="5" t="s">
        <v>393</v>
      </c>
      <c r="C221" s="6">
        <v>2.0</v>
      </c>
      <c r="D221" s="9" t="s">
        <v>394</v>
      </c>
      <c r="E221" s="8" t="str">
        <f>IFERROR(__xludf.DUMMYFUNCTION("googletranslate(D221,""id"",""en"")"),"Let's genk, maybe it's already planned for the past month and doesn't imagine there will be an emergency ppkm, it's good for the genk ... let's drink ...")</f>
        <v>Let's genk, maybe it's already planned for the past month and doesn't imagine there will be an emergency ppkm, it's good for the genk ... let's drink ...</v>
      </c>
    </row>
    <row r="222" ht="15.75" customHeight="1">
      <c r="A222" s="2">
        <v>220.0</v>
      </c>
      <c r="B222" s="5" t="s">
        <v>395</v>
      </c>
      <c r="C222" s="6">
        <v>1.0</v>
      </c>
      <c r="D222" s="7" t="s">
        <v>396</v>
      </c>
      <c r="E222" s="8" t="str">
        <f>IFERROR(__xludf.DUMMYFUNCTION("googletranslate(D222,""id"",""en"")"),"PGN New Normal, Singapore, told the PPKM just still in the street nerobos. hah indo oh indo")</f>
        <v>PGN New Normal, Singapore, told the PPKM just still in the street nerobos. hah indo oh indo</v>
      </c>
    </row>
    <row r="223" ht="15.75" customHeight="1">
      <c r="A223" s="2">
        <v>221.0</v>
      </c>
      <c r="B223" s="5" t="s">
        <v>397</v>
      </c>
      <c r="C223" s="6">
        <v>3.0</v>
      </c>
      <c r="D223" s="7" t="s">
        <v>398</v>
      </c>
      <c r="E223" s="8" t="str">
        <f>IFERROR(__xludf.DUMMYFUNCTION("googletranslate(D223,""id"",""en"")"),"For the sake of joint safety &amp; amp; Supports emergency PPKM programs, declaration &amp; amp events; The Millennial Festival of our Central Java is delayed. Thank you.")</f>
        <v>For the sake of joint safety &amp; amp; Supports emergency PPKM programs, declaration &amp; amp events; The Millennial Festival of our Central Java is delayed. Thank you.</v>
      </c>
    </row>
    <row r="224" ht="15.75" customHeight="1">
      <c r="A224" s="2">
        <v>222.0</v>
      </c>
      <c r="B224" s="5" t="s">
        <v>399</v>
      </c>
      <c r="C224" s="6">
        <v>1.0</v>
      </c>
      <c r="D224" s="9" t="s">
        <v>400</v>
      </c>
      <c r="E224" s="8" t="str">
        <f>IFERROR(__xludf.DUMMYFUNCTION("googletranslate(D224,""id"",""en"")"),"Blame the wrong one of the herus, so as not to keep wrong. If we want to be honest this emergency PPKM is wrong. NGAPAIN CAFE, Resto, Mall is still open. Airport, public transportation is still operational. The office is still a partial work. It should be"&amp;" all at home, it doesn't come out first.")</f>
        <v>Blame the wrong one of the herus, so as not to keep wrong. If we want to be honest this emergency PPKM is wrong. NGAPAIN CAFE, Resto, Mall is still open. Airport, public transportation is still operational. The office is still a partial work. It should be all at home, it doesn't come out first.</v>
      </c>
    </row>
    <row r="225" ht="15.75" customHeight="1">
      <c r="A225" s="2">
        <v>223.0</v>
      </c>
      <c r="B225" s="5" t="s">
        <v>401</v>
      </c>
      <c r="C225" s="6">
        <v>2.0</v>
      </c>
      <c r="D225" s="9" t="s">
        <v>402</v>
      </c>
      <c r="E225" s="8" t="str">
        <f>IFERROR(__xludf.DUMMYFUNCTION("googletranslate(D225,""id"",""en"")"),"Emange if the PPKM is closed?")</f>
        <v>Emange if the PPKM is closed?</v>
      </c>
    </row>
    <row r="226" ht="15.75" customHeight="1">
      <c r="A226" s="2">
        <v>224.0</v>
      </c>
      <c r="B226" s="5" t="s">
        <v>403</v>
      </c>
      <c r="C226" s="6">
        <v>1.0</v>
      </c>
      <c r="D226" s="9" t="s">
        <v>403</v>
      </c>
      <c r="E226" s="8" t="str">
        <f>IFERROR(__xludf.DUMMYFUNCTION("googletranslate(D226,""id"",""en"")"),"Tasty ye lu in the skill on the ppkm gini")</f>
        <v>Tasty ye lu in the skill on the ppkm gini</v>
      </c>
    </row>
    <row r="227" ht="15.75" customHeight="1">
      <c r="A227" s="2">
        <v>225.0</v>
      </c>
      <c r="B227" s="5" t="s">
        <v>404</v>
      </c>
      <c r="C227" s="6">
        <v>1.0</v>
      </c>
      <c r="D227" s="9" t="s">
        <v>405</v>
      </c>
      <c r="E227" s="8" t="str">
        <f>IFERROR(__xludf.DUMMYFUNCTION("googletranslate(D227,""id"",""en"")"),"Ask if the laws imposed on PPKM offenders are quarantine law, well if the part of the government's obligation applies or not? Maybe some in the adoption of law?")</f>
        <v>Ask if the laws imposed on PPKM offenders are quarantine law, well if the part of the government's obligation applies or not? Maybe some in the adoption of law?</v>
      </c>
    </row>
    <row r="228" ht="15.75" customHeight="1">
      <c r="A228" s="2">
        <v>226.0</v>
      </c>
      <c r="B228" s="5" t="s">
        <v>406</v>
      </c>
      <c r="C228" s="6">
        <v>2.0</v>
      </c>
      <c r="D228" s="7" t="s">
        <v>406</v>
      </c>
      <c r="E228" s="8" t="str">
        <f>IFERROR(__xludf.DUMMYFUNCTION("googletranslate(D228,""id"",""en"")"),"I tried to just make it again until the PPKM finished, hopefully this time it works.")</f>
        <v>I tried to just make it again until the PPKM finished, hopefully this time it works.</v>
      </c>
    </row>
    <row r="229" ht="15.75" customHeight="1">
      <c r="A229" s="2">
        <v>227.0</v>
      </c>
      <c r="B229" s="5" t="s">
        <v>407</v>
      </c>
      <c r="C229" s="6">
        <v>2.0</v>
      </c>
      <c r="D229" s="7" t="s">
        <v>408</v>
      </c>
      <c r="E229" s="8" t="str">
        <f>IFERROR(__xludf.DUMMYFUNCTION("googletranslate(D229,""id"",""en"")"),"On rmh, ppkm nder")</f>
        <v>On rmh, ppkm nder</v>
      </c>
    </row>
    <row r="230" ht="15.75" customHeight="1">
      <c r="A230" s="2">
        <v>228.0</v>
      </c>
      <c r="B230" s="5" t="s">
        <v>409</v>
      </c>
      <c r="C230" s="6">
        <v>3.0</v>
      </c>
      <c r="D230" s="7" t="s">
        <v>410</v>
      </c>
      <c r="E230" s="8" t="str">
        <f>IFERROR(__xludf.DUMMYFUNCTION("googletranslate(D230,""id"",""en"")"),"DPD Invites Communities to Obey Emergency PPKM Rules")</f>
        <v>DPD Invites Communities to Obey Emergency PPKM Rules</v>
      </c>
    </row>
    <row r="231" ht="15.75" customHeight="1">
      <c r="A231" s="2">
        <v>229.0</v>
      </c>
      <c r="B231" s="5" t="s">
        <v>411</v>
      </c>
      <c r="C231" s="6">
        <v>1.0</v>
      </c>
      <c r="D231" s="9" t="s">
        <v>412</v>
      </c>
      <c r="E231" s="8" t="str">
        <f>IFERROR(__xludf.DUMMYFUNCTION("googletranslate(D231,""id"",""en"")"),"Variety of Emergency PPKM tuffer stories The first day of the main road was handled, but Tumplek on a small road. The aim is achieved? Like sweeping, impulse hungketin under under.")</f>
        <v>Variety of Emergency PPKM tuffer stories The first day of the main road was handled, but Tumplek on a small road. The aim is achieved? Like sweeping, impulse hungketin under under.</v>
      </c>
    </row>
    <row r="232" ht="15.75" customHeight="1">
      <c r="A232" s="2">
        <v>230.0</v>
      </c>
      <c r="B232" s="5" t="s">
        <v>413</v>
      </c>
      <c r="C232" s="6">
        <v>2.0</v>
      </c>
      <c r="D232" s="7" t="s">
        <v>414</v>
      </c>
      <c r="E232" s="8" t="str">
        <f>IFERROR(__xludf.DUMMYFUNCTION("googletranslate(D232,""id"",""en"")"),"bdg yukppkm syg")</f>
        <v>bdg yukppkm syg</v>
      </c>
    </row>
    <row r="233" ht="15.75" customHeight="1">
      <c r="A233" s="2">
        <v>231.0</v>
      </c>
      <c r="B233" s="5" t="s">
        <v>415</v>
      </c>
      <c r="C233" s="6">
        <v>1.0</v>
      </c>
      <c r="D233" s="7" t="s">
        <v>416</v>
      </c>
      <c r="E233" s="8" t="str">
        <f>IFERROR(__xludf.DUMMYFUNCTION("googletranslate(D233,""id"",""en"")"),"Jawa Emergency PPKM - Balitapi Still Looks Jakartans Sweet in Bali Yes ... It's more quiet, because the Bali person is obedient. It contains Jakartans.")</f>
        <v>Jawa Emergency PPKM - Balitapi Still Looks Jakartans Sweet in Bali Yes ... It's more quiet, because the Bali person is obedient. It contains Jakartans.</v>
      </c>
    </row>
    <row r="234" ht="15.75" customHeight="1">
      <c r="A234" s="2">
        <v>232.0</v>
      </c>
      <c r="B234" s="5" t="s">
        <v>417</v>
      </c>
      <c r="C234" s="6">
        <v>3.0</v>
      </c>
      <c r="D234" s="7" t="s">
        <v>418</v>
      </c>
      <c r="E234" s="8" t="str">
        <f>IFERROR(__xludf.DUMMYFUNCTION("googletranslate(D234,""id"",""en"")"),"To narrow down the spread of Covid, it's a good idea to obey PPKM, stay away from my crowd.")</f>
        <v>To narrow down the spread of Covid, it's a good idea to obey PPKM, stay away from my crowd.</v>
      </c>
    </row>
    <row r="235" ht="15.75" customHeight="1">
      <c r="A235" s="2">
        <v>233.0</v>
      </c>
      <c r="B235" s="5" t="s">
        <v>419</v>
      </c>
      <c r="C235" s="6">
        <v>1.0</v>
      </c>
      <c r="D235" s="7" t="s">
        <v>420</v>
      </c>
      <c r="E235" s="8" t="str">
        <f>IFERROR(__xludf.DUMMYFUNCTION("googletranslate(D235,""id"",""en"")"),"KKN online but must be offline events and now PPKmantap doesn't really")</f>
        <v>KKN online but must be offline events and now PPKmantap doesn't really</v>
      </c>
    </row>
    <row r="236" ht="15.75" customHeight="1">
      <c r="A236" s="2">
        <v>234.0</v>
      </c>
      <c r="B236" s="5" t="s">
        <v>421</v>
      </c>
      <c r="C236" s="6">
        <v>2.0</v>
      </c>
      <c r="D236" s="9" t="s">
        <v>422</v>
      </c>
      <c r="E236" s="8" t="str">
        <f>IFERROR(__xludf.DUMMYFUNCTION("googletranslate(D236,""id"",""en"")"),"Emergency PPKM will be held in the Regency / City in East Java Province Loh!")</f>
        <v>Emergency PPKM will be held in the Regency / City in East Java Province Loh!</v>
      </c>
    </row>
    <row r="237" ht="15.75" customHeight="1">
      <c r="A237" s="2">
        <v>235.0</v>
      </c>
      <c r="B237" s="5" t="s">
        <v>423</v>
      </c>
      <c r="C237" s="6">
        <v>2.0</v>
      </c>
      <c r="D237" s="7" t="s">
        <v>424</v>
      </c>
      <c r="E237" s="8" t="str">
        <f>IFERROR(__xludf.DUMMYFUNCTION("googletranslate(D237,""id"",""en"")"),"Terms go out of town when PPKM and")</f>
        <v>Terms go out of town when PPKM and</v>
      </c>
    </row>
    <row r="238" ht="15.75" customHeight="1">
      <c r="A238" s="2">
        <v>236.0</v>
      </c>
      <c r="B238" s="5" t="s">
        <v>425</v>
      </c>
      <c r="C238" s="6">
        <v>2.0</v>
      </c>
      <c r="D238" s="7" t="s">
        <v>426</v>
      </c>
      <c r="E238" s="8" t="str">
        <f>IFERROR(__xludf.DUMMYFUNCTION("googletranslate(D238,""id"",""en"")"),"The latest update requirements to ride long distance trains during Emergency PPKM, apply from July!")</f>
        <v>The latest update requirements to ride long distance trains during Emergency PPKM, apply from July!</v>
      </c>
    </row>
    <row r="239" ht="15.75" customHeight="1">
      <c r="A239" s="2">
        <v>237.0</v>
      </c>
      <c r="B239" s="5" t="s">
        <v>427</v>
      </c>
      <c r="C239" s="6">
        <v>2.0</v>
      </c>
      <c r="D239" s="7" t="s">
        <v>427</v>
      </c>
      <c r="E239" s="8" t="str">
        <f>IFERROR(__xludf.DUMMYFUNCTION("googletranslate(D239,""id"",""en"")"),"PPKM - Dating Disconnect Because of Melua")</f>
        <v>PPKM - Dating Disconnect Because of Melua</v>
      </c>
    </row>
    <row r="240" ht="15.75" customHeight="1">
      <c r="A240" s="2">
        <v>238.0</v>
      </c>
      <c r="B240" s="5" t="s">
        <v>428</v>
      </c>
      <c r="C240" s="6">
        <v>1.0</v>
      </c>
      <c r="D240" s="7" t="s">
        <v>429</v>
      </c>
      <c r="E240" s="8" t="str">
        <f>IFERROR(__xludf.DUMMYFUNCTION("googletranslate(D240,""id"",""en"")"),"Stop TKA China comes to Indonesia ....... Emergency Covid ......... Alvin Lie Criticism Emergency PPKM But Foreign Flights Opened")</f>
        <v>Stop TKA China comes to Indonesia ....... Emergency Covid ......... Alvin Lie Criticism Emergency PPKM But Foreign Flights Opened</v>
      </c>
    </row>
    <row r="241" ht="15.75" customHeight="1">
      <c r="A241" s="2">
        <v>239.0</v>
      </c>
      <c r="B241" s="5" t="s">
        <v>430</v>
      </c>
      <c r="C241" s="6">
        <v>2.0</v>
      </c>
      <c r="D241" s="7" t="s">
        <v>431</v>
      </c>
      <c r="E241" s="8" t="str">
        <f>IFERROR(__xludf.DUMMYFUNCTION("googletranslate(D241,""id"",""en"")"),"Ppkm what is not just the same, this self still remains at home")</f>
        <v>Ppkm what is not just the same, this self still remains at home</v>
      </c>
    </row>
    <row r="242" ht="15.75" customHeight="1">
      <c r="A242" s="2">
        <v>240.0</v>
      </c>
      <c r="B242" s="5" t="s">
        <v>432</v>
      </c>
      <c r="C242" s="6">
        <v>2.0</v>
      </c>
      <c r="D242" s="9" t="s">
        <v>433</v>
      </c>
      <c r="E242" s="8" t="str">
        <f>IFERROR(__xludf.DUMMYFUNCTION("googletranslate(D242,""id"",""en"")"),"Emergency PPKM Day 3 (July 5) Pasar Mbalong, Pucakwangi, Pati, Central Java")</f>
        <v>Emergency PPKM Day 3 (July 5) Pasar Mbalong, Pucakwangi, Pati, Central Java</v>
      </c>
    </row>
    <row r="243" ht="15.75" customHeight="1">
      <c r="A243" s="2">
        <v>241.0</v>
      </c>
      <c r="B243" s="5" t="s">
        <v>434</v>
      </c>
      <c r="C243" s="6">
        <v>3.0</v>
      </c>
      <c r="D243" s="9" t="s">
        <v>435</v>
      </c>
      <c r="E243" s="8" t="str">
        <f>IFERROR(__xludf.DUMMYFUNCTION("googletranslate(D243,""id"",""en"")"),"Meluu .... NKRI Account Yuk Stop by Dimari Reply: Support Emergency PPKM:")</f>
        <v>Meluu .... NKRI Account Yuk Stop by Dimari Reply: Support Emergency PPKM:</v>
      </c>
    </row>
    <row r="244" ht="15.75" customHeight="1">
      <c r="A244" s="2">
        <v>242.0</v>
      </c>
      <c r="B244" s="5" t="s">
        <v>436</v>
      </c>
      <c r="C244" s="6">
        <v>3.0</v>
      </c>
      <c r="D244" s="7" t="s">
        <v>437</v>
      </c>
      <c r="E244" s="8" t="str">
        <f>IFERROR(__xludf.DUMMYFUNCTION("googletranslate(D244,""id"",""en"")"),"Implementation of emergency micro PPKM as the exact stepppkpkm")</f>
        <v>Implementation of emergency micro PPKM as the exact stepppkpkm</v>
      </c>
    </row>
    <row r="245" ht="15.75" customHeight="1">
      <c r="A245" s="2">
        <v>243.0</v>
      </c>
      <c r="B245" s="5" t="s">
        <v>438</v>
      </c>
      <c r="C245" s="6">
        <v>1.0</v>
      </c>
      <c r="D245" s="7" t="s">
        <v>439</v>
      </c>
      <c r="E245" s="8" t="str">
        <f>IFERROR(__xludf.DUMMYFUNCTION("googletranslate(D245,""id"",""en"")"),"God forgive our sins but you actually open the mall and close the place of worship, how do we pay other sinspkm")</f>
        <v>God forgive our sins but you actually open the mall and close the place of worship, how do we pay other sinspkm</v>
      </c>
    </row>
    <row r="246" ht="15.75" customHeight="1">
      <c r="A246" s="2">
        <v>244.0</v>
      </c>
      <c r="B246" s="5" t="s">
        <v>440</v>
      </c>
      <c r="C246" s="6">
        <v>2.0</v>
      </c>
      <c r="D246" s="7" t="s">
        <v>441</v>
      </c>
      <c r="E246" s="8" t="str">
        <f>IFERROR(__xludf.DUMMYFUNCTION("googletranslate(D246,""id"",""en"")"),"Don't let PPKM read the ad Erot ad at the red light")</f>
        <v>Don't let PPKM read the ad Erot ad at the red light</v>
      </c>
    </row>
    <row r="247" ht="15.75" customHeight="1">
      <c r="A247" s="2">
        <v>245.0</v>
      </c>
      <c r="B247" s="5" t="s">
        <v>442</v>
      </c>
      <c r="C247" s="6">
        <v>1.0</v>
      </c>
      <c r="D247" s="7" t="s">
        <v>443</v>
      </c>
      <c r="E247" s="8" t="str">
        <f>IFERROR(__xludf.DUMMYFUNCTION("googletranslate(D247,""id"",""en"")"),"some say ppkmpakpesidenkapanmundur")</f>
        <v>some say ppkmpakpesidenkapanmundur</v>
      </c>
    </row>
    <row r="248" ht="15.75" customHeight="1">
      <c r="A248" s="2">
        <v>246.0</v>
      </c>
      <c r="B248" s="5" t="s">
        <v>444</v>
      </c>
      <c r="C248" s="6">
        <v>1.0</v>
      </c>
      <c r="D248" s="7" t="s">
        <v>445</v>
      </c>
      <c r="E248" s="8" t="str">
        <f>IFERROR(__xludf.DUMMYFUNCTION("googletranslate(D248,""id"",""en"")"),"PPKM Makes the Introvert More Introverts")</f>
        <v>PPKM Makes the Introvert More Introverts</v>
      </c>
    </row>
    <row r="249" ht="15.75" customHeight="1">
      <c r="A249" s="2">
        <v>247.0</v>
      </c>
      <c r="B249" s="5" t="s">
        <v>446</v>
      </c>
      <c r="C249" s="6">
        <v>2.0</v>
      </c>
      <c r="D249" s="7" t="s">
        <v>447</v>
      </c>
      <c r="E249" s="8" t="str">
        <f>IFERROR(__xludf.DUMMYFUNCTION("googletranslate(D249,""id"",""en"")"),"PPKM; I see you")</f>
        <v>PPKM; I see you</v>
      </c>
    </row>
    <row r="250" ht="15.75" customHeight="1">
      <c r="A250" s="2">
        <v>248.0</v>
      </c>
      <c r="B250" s="5" t="s">
        <v>448</v>
      </c>
      <c r="C250" s="6">
        <v>2.0</v>
      </c>
      <c r="D250" s="7" t="s">
        <v>449</v>
      </c>
      <c r="E250" s="8" t="str">
        <f>IFERROR(__xludf.DUMMYFUNCTION("googletranslate(D250,""id"",""en"")"),"PPKM where "". Depart for work or not?")</f>
        <v>PPKM where ". Depart for work or not?</v>
      </c>
    </row>
    <row r="251" ht="15.75" customHeight="1">
      <c r="A251" s="2">
        <v>249.0</v>
      </c>
      <c r="B251" s="5" t="s">
        <v>450</v>
      </c>
      <c r="C251" s="6">
        <v>1.0</v>
      </c>
      <c r="D251" s="9" t="s">
        <v>451</v>
      </c>
      <c r="E251" s="8" t="str">
        <f>IFERROR(__xludf.DUMMYFUNCTION("googletranslate(D251,""id"",""en"")"),"Monday morning the streets are still in the same as the streets on the road that I passed until the office where the emergency PPKM lay?")</f>
        <v>Monday morning the streets are still in the same as the streets on the road that I passed until the office where the emergency PPKM lay?</v>
      </c>
    </row>
    <row r="252" ht="15.75" customHeight="1">
      <c r="A252" s="2">
        <v>250.0</v>
      </c>
      <c r="B252" s="5" t="s">
        <v>452</v>
      </c>
      <c r="C252" s="6">
        <v>2.0</v>
      </c>
      <c r="D252" s="7" t="s">
        <v>453</v>
      </c>
      <c r="E252" s="8" t="str">
        <f>IFERROR(__xludf.DUMMYFUNCTION("googletranslate(D252,""id"",""en"")"),"PPKM (Purapura Strong Mas)")</f>
        <v>PPKM (Purapura Strong Mas)</v>
      </c>
    </row>
    <row r="253" ht="15.75" customHeight="1">
      <c r="A253" s="2">
        <v>251.0</v>
      </c>
      <c r="B253" s="5" t="s">
        <v>454</v>
      </c>
      <c r="C253" s="6">
        <v>2.0</v>
      </c>
      <c r="D253" s="7" t="s">
        <v>455</v>
      </c>
      <c r="E253" s="8" t="str">
        <f>IFERROR(__xludf.DUMMYFUNCTION("googletranslate(D253,""id"",""en"")"),"Info If you want to go to Surabaya from Gresik through Osowilangon Is there an examination during the PPKM? thank you")</f>
        <v>Info If you want to go to Surabaya from Gresik through Osowilangon Is there an examination during the PPKM? thank you</v>
      </c>
    </row>
    <row r="254" ht="15.75" customHeight="1">
      <c r="A254" s="2">
        <v>252.0</v>
      </c>
      <c r="B254" s="5" t="s">
        <v>456</v>
      </c>
      <c r="C254" s="6">
        <v>1.0</v>
      </c>
      <c r="D254" s="7" t="s">
        <v>457</v>
      </c>
      <c r="E254" s="8" t="str">
        <f>IFERROR(__xludf.DUMMYFUNCTION("googletranslate(D254,""id"",""en"")"),"Innalillahi wa innalillahi rojiun ... we are at the ppkm ... he is sick of him ?? Whatever the reason for this is really Pekook")</f>
        <v>Innalillahi wa innalillahi rojiun ... we are at the ppkm ... he is sick of him ?? Whatever the reason for this is really Pekook</v>
      </c>
    </row>
    <row r="255" ht="15.75" customHeight="1">
      <c r="A255" s="2">
        <v>253.0</v>
      </c>
      <c r="B255" s="5" t="s">
        <v>458</v>
      </c>
      <c r="C255" s="6">
        <v>1.0</v>
      </c>
      <c r="D255" s="7" t="s">
        <v>459</v>
      </c>
      <c r="E255" s="8" t="str">
        <f>IFERROR(__xludf.DUMMYFUNCTION("googletranslate(D255,""id"",""en"")"),"LHA is already Julijawa Bali ppkm gabisa nder jduhnya")</f>
        <v>LHA is already Julijawa Bali ppkm gabisa nder jduhnya</v>
      </c>
    </row>
    <row r="256" ht="15.75" customHeight="1">
      <c r="A256" s="2">
        <v>254.0</v>
      </c>
      <c r="B256" s="5" t="s">
        <v>460</v>
      </c>
      <c r="C256" s="6">
        <v>2.0</v>
      </c>
      <c r="D256" s="7" t="s">
        <v>461</v>
      </c>
      <c r="E256" s="8" t="str">
        <f>IFERROR(__xludf.DUMMYFUNCTION("googletranslate(D256,""id"",""en"")"),"Just ppkm pak jokowi")</f>
        <v>Just ppkm pak jokowi</v>
      </c>
    </row>
    <row r="257" ht="15.75" customHeight="1">
      <c r="A257" s="2">
        <v>255.0</v>
      </c>
      <c r="B257" s="5" t="s">
        <v>462</v>
      </c>
      <c r="C257" s="6">
        <v>1.0</v>
      </c>
      <c r="D257" s="7" t="s">
        <v>463</v>
      </c>
      <c r="E257" s="8" t="str">
        <f>IFERROR(__xludf.DUMMYFUNCTION("googletranslate(D257,""id"",""en"")"),"PPKM LG Pandemic Period, the People Pressed by China TKA Enter ... We Want To Take Back To Japan Can Can't Be, Why Can China Enter Indo Easy Pak Justice Like What You Strengthen? Which rich doesn't work still, how do we don't work poor people don't work")</f>
        <v>PPKM LG Pandemic Period, the People Pressed by China TKA Enter ... We Want To Take Back To Japan Can Can't Be, Why Can China Enter Indo Easy Pak Justice Like What You Strengthen? Which rich doesn't work still, how do we don't work poor people don't work</v>
      </c>
    </row>
    <row r="258" ht="15.75" customHeight="1">
      <c r="A258" s="2">
        <v>256.0</v>
      </c>
      <c r="B258" s="5" t="s">
        <v>464</v>
      </c>
      <c r="C258" s="6">
        <v>1.0</v>
      </c>
      <c r="D258" s="9" t="s">
        <v>465</v>
      </c>
      <c r="E258" s="8" t="str">
        <f>IFERROR(__xludf.DUMMYFUNCTION("googletranslate(D258,""id"",""en"")"),"The PPKM acronym is just his extension to * PLANGAPLONGOKYAKMONYET * YO WIS * PAK PRESIDENDANMBE ""???")</f>
        <v>The PPKM acronym is just his extension to * PLANGAPLONGOKYAKMONYET * YO WIS * PAK PRESIDENDANMBE "???</v>
      </c>
    </row>
    <row r="259" ht="15.75" customHeight="1">
      <c r="A259" s="2">
        <v>257.0</v>
      </c>
      <c r="B259" s="5" t="s">
        <v>466</v>
      </c>
      <c r="C259" s="6">
        <v>2.0</v>
      </c>
      <c r="D259" s="7" t="s">
        <v>466</v>
      </c>
      <c r="E259" s="8" t="str">
        <f>IFERROR(__xludf.DUMMYFUNCTION("googletranslate(D259,""id"",""en"")"),"Since Sicepat, Jnt will be a long time? What's because of the PPKM effect or what ...")</f>
        <v>Since Sicepat, Jnt will be a long time? What's because of the PPKM effect or what ...</v>
      </c>
    </row>
    <row r="260" ht="15.75" customHeight="1">
      <c r="A260" s="2">
        <v>258.0</v>
      </c>
      <c r="B260" s="5" t="s">
        <v>467</v>
      </c>
      <c r="C260" s="6">
        <v>2.0</v>
      </c>
      <c r="D260" s="7" t="s">
        <v>467</v>
      </c>
      <c r="E260" s="8" t="str">
        <f>IFERROR(__xludf.DUMMYFUNCTION("googletranslate(D260,""id"",""en"")"),"-Ness, what are you doing, how did you do it, the GIIS LGI PPKM?")</f>
        <v>-Ness, what are you doing, how did you do it, the GIIS LGI PPKM?</v>
      </c>
    </row>
    <row r="261" ht="15.75" customHeight="1">
      <c r="A261" s="2">
        <v>259.0</v>
      </c>
      <c r="B261" s="5" t="s">
        <v>468</v>
      </c>
      <c r="C261" s="6">
        <v>2.0</v>
      </c>
      <c r="D261" s="7" t="s">
        <v>469</v>
      </c>
      <c r="E261" s="8" t="str">
        <f>IFERROR(__xludf.DUMMYFUNCTION("googletranslate(D261,""id"",""en"")"),"Applicable tomorrow, this is the rules of the Ministry of Transportation's land travel when Ecastrial PPKM Click to read:")</f>
        <v>Applicable tomorrow, this is the rules of the Ministry of Transportation's land travel when Ecastrial PPKM Click to read:</v>
      </c>
    </row>
    <row r="262" ht="15.75" customHeight="1">
      <c r="A262" s="2">
        <v>260.0</v>
      </c>
      <c r="B262" s="5" t="s">
        <v>470</v>
      </c>
      <c r="C262" s="6">
        <v>1.0</v>
      </c>
      <c r="D262" s="9" t="s">
        <v>471</v>
      </c>
      <c r="E262" s="8" t="str">
        <f>IFERROR(__xludf.DUMMYFUNCTION("googletranslate(D262,""id"",""en"")"),"Mr. Your Wife at PPKM.WNA, Passing Out. History of Kagungane Sinten Sir? Your Warms Akh Kerjoe Ieh Singer Sing Unemployed Goro2 Covid, added MU PPKM etc. E. Is it Canaake Poll Isok Karepe Dewe.")</f>
        <v>Mr. Your Wife at PPKM.WNA, Passing Out. History of Kagungane Sinten Sir? Your Warms Akh Kerjoe Ieh Singer Sing Unemployed Goro2 Covid, added MU PPKM etc. E. Is it Canaake Poll Isok Karepe Dewe.</v>
      </c>
    </row>
    <row r="263" ht="15.75" customHeight="1">
      <c r="A263" s="2">
        <v>261.0</v>
      </c>
      <c r="B263" s="5" t="s">
        <v>472</v>
      </c>
      <c r="C263" s="6">
        <v>2.0</v>
      </c>
      <c r="D263" s="7" t="s">
        <v>472</v>
      </c>
      <c r="E263" s="8" t="str">
        <f>IFERROR(__xludf.DUMMYFUNCTION("googletranslate(D263,""id"",""en"")"),"WORK! You work in bank br * bn * During the PPKM gini wfh or reduced working hours?")</f>
        <v>WORK! You work in bank br * bn * During the PPKM gini wfh or reduced working hours?</v>
      </c>
    </row>
    <row r="264" ht="15.75" customHeight="1">
      <c r="A264" s="2">
        <v>262.0</v>
      </c>
      <c r="B264" s="5" t="s">
        <v>473</v>
      </c>
      <c r="C264" s="6">
        <v>2.0</v>
      </c>
      <c r="D264" s="7" t="s">
        <v>473</v>
      </c>
      <c r="E264" s="8" t="str">
        <f>IFERROR(__xludf.DUMMYFUNCTION("googletranslate(D264,""id"",""en"")"),"PPKM: Want to hit your head")</f>
        <v>PPKM: Want to hit your head</v>
      </c>
    </row>
    <row r="265" ht="15.75" customHeight="1">
      <c r="A265" s="2">
        <v>263.0</v>
      </c>
      <c r="B265" s="5" t="s">
        <v>474</v>
      </c>
      <c r="C265" s="6">
        <v>1.0</v>
      </c>
      <c r="D265" s="7" t="s">
        <v>475</v>
      </c>
      <c r="E265" s="8" t="str">
        <f>IFERROR(__xludf.DUMMYFUNCTION("googletranslate(D265,""id"",""en"")"),"PPKM is difficult ~ now, far in the heart near positive.")</f>
        <v>PPKM is difficult ~ now, far in the heart near positive.</v>
      </c>
    </row>
    <row r="266" ht="15.75" customHeight="1">
      <c r="A266" s="2">
        <v>264.0</v>
      </c>
      <c r="B266" s="5" t="s">
        <v>476</v>
      </c>
      <c r="C266" s="6">
        <v>2.0</v>
      </c>
      <c r="D266" s="9" t="s">
        <v>477</v>
      </c>
      <c r="E266" s="8" t="str">
        <f>IFERROR(__xludf.DUMMYFUNCTION("googletranslate(D266,""id"",""en"")"),"OOT, in Turkey can still fly the balloons? No Emergency PPKM?")</f>
        <v>OOT, in Turkey can still fly the balloons? No Emergency PPKM?</v>
      </c>
    </row>
    <row r="267" ht="15.75" customHeight="1">
      <c r="A267" s="2">
        <v>265.0</v>
      </c>
      <c r="B267" s="5" t="s">
        <v>478</v>
      </c>
      <c r="C267" s="6">
        <v>2.0</v>
      </c>
      <c r="D267" s="9" t="s">
        <v>478</v>
      </c>
      <c r="E267" s="8" t="str">
        <f>IFERROR(__xludf.DUMMYFUNCTION("googletranslate(D267,""id"",""en"")"),"Because the PPKM became a lot of clubs that didn't arrive at the morning if we were busyed together in my room?")</f>
        <v>Because the PPKM became a lot of clubs that didn't arrive at the morning if we were busyed together in my room?</v>
      </c>
    </row>
    <row r="268" ht="15.75" customHeight="1">
      <c r="A268" s="2">
        <v>266.0</v>
      </c>
      <c r="B268" s="5" t="s">
        <v>479</v>
      </c>
      <c r="C268" s="6">
        <v>1.0</v>
      </c>
      <c r="D268" s="7" t="s">
        <v>480</v>
      </c>
      <c r="E268" s="8" t="str">
        <f>IFERROR(__xludf.DUMMYFUNCTION("googletranslate(D268,""id"",""en"")"),"Emergency PPKM is in Java ... This is Chinese tourist coming to Makassar, so you can still. You don't provoke ... BISMILLAH Commissioner")</f>
        <v>Emergency PPKM is in Java ... This is Chinese tourist coming to Makassar, so you can still. You don't provoke ... BISMILLAH Commissioner</v>
      </c>
    </row>
    <row r="269" ht="15.75" customHeight="1">
      <c r="A269" s="2">
        <v>267.0</v>
      </c>
      <c r="B269" s="5" t="s">
        <v>481</v>
      </c>
      <c r="C269" s="6">
        <v>2.0</v>
      </c>
      <c r="D269" s="7" t="s">
        <v>481</v>
      </c>
      <c r="E269" s="8" t="str">
        <f>IFERROR(__xludf.DUMMYFUNCTION("googletranslate(D269,""id"",""en"")"),"PPKM slowly you left me.")</f>
        <v>PPKM slowly you left me.</v>
      </c>
    </row>
    <row r="270" ht="15.75" customHeight="1">
      <c r="A270" s="2">
        <v>268.0</v>
      </c>
      <c r="B270" s="5" t="s">
        <v>482</v>
      </c>
      <c r="C270" s="6">
        <v>2.0</v>
      </c>
      <c r="D270" s="7" t="s">
        <v>483</v>
      </c>
      <c r="E270" s="8" t="str">
        <f>IFERROR(__xludf.DUMMYFUNCTION("googletranslate(D270,""id"",""en"")"),"Later tonight at Kediri, street lights in the city have been turned off for PPKM regulations. My friend is like:")</f>
        <v>Later tonight at Kediri, street lights in the city have been turned off for PPKM regulations. My friend is like:</v>
      </c>
    </row>
    <row r="271" ht="15.75" customHeight="1">
      <c r="A271" s="2">
        <v>269.0</v>
      </c>
      <c r="B271" s="5" t="s">
        <v>484</v>
      </c>
      <c r="C271" s="6">
        <v>1.0</v>
      </c>
      <c r="D271" s="7" t="s">
        <v>485</v>
      </c>
      <c r="E271" s="8" t="str">
        <f>IFERROR(__xludf.DUMMYFUNCTION("googletranslate(D271,""id"",""en"")"),"Jokowi introduces Emergency PPKM, while Chinese TKA continues to land.")</f>
        <v>Jokowi introduces Emergency PPKM, while Chinese TKA continues to land.</v>
      </c>
    </row>
    <row r="272" ht="15.75" customHeight="1">
      <c r="A272" s="2">
        <v>270.0</v>
      </c>
      <c r="B272" s="5" t="s">
        <v>486</v>
      </c>
      <c r="C272" s="6">
        <v>3.0</v>
      </c>
      <c r="D272" s="7" t="s">
        <v>487</v>
      </c>
      <c r="E272" s="8" t="str">
        <f>IFERROR(__xludf.DUMMYFUNCTION("googletranslate(D272,""id"",""en"")"),"Just like the PPKM at home just, the scales add to the music skill")</f>
        <v>Just like the PPKM at home just, the scales add to the music skill</v>
      </c>
    </row>
    <row r="273" ht="15.75" customHeight="1">
      <c r="A273" s="2">
        <v>271.0</v>
      </c>
      <c r="B273" s="5" t="s">
        <v>488</v>
      </c>
      <c r="C273" s="6">
        <v>1.0</v>
      </c>
      <c r="D273" s="7" t="s">
        <v>489</v>
      </c>
      <c r="E273" s="8" t="str">
        <f>IFERROR(__xludf.DUMMYFUNCTION("googletranslate(D273,""id"",""en"")"),"Rizal Fadillah: Emergency Emergency PPKM Regime Avoid the Chapter Law that requires feeding residents")</f>
        <v>Rizal Fadillah: Emergency Emergency PPKM Regime Avoid the Chapter Law that requires feeding residents</v>
      </c>
    </row>
    <row r="274" ht="15.75" customHeight="1">
      <c r="A274" s="2">
        <v>272.0</v>
      </c>
      <c r="B274" s="5" t="s">
        <v>490</v>
      </c>
      <c r="C274" s="6">
        <v>3.0</v>
      </c>
      <c r="D274" s="9" t="s">
        <v>490</v>
      </c>
      <c r="E274" s="8" t="str">
        <f>IFERROR(__xludf.DUMMYFUNCTION("googletranslate(D274,""id"",""en"")"),"ppkm = cleaning sky from pollution")</f>
        <v>ppkm = cleaning sky from pollution</v>
      </c>
    </row>
    <row r="275" ht="15.75" customHeight="1">
      <c r="A275" s="2">
        <v>273.0</v>
      </c>
      <c r="B275" s="5" t="s">
        <v>491</v>
      </c>
      <c r="C275" s="6">
        <v>1.0</v>
      </c>
      <c r="D275" s="7" t="s">
        <v>492</v>
      </c>
      <c r="E275" s="8" t="str">
        <f>IFERROR(__xludf.DUMMYFUNCTION("googletranslate(D275,""id"",""en"")"),"All org of his son and sama")</f>
        <v>All org of his son and sama</v>
      </c>
    </row>
    <row r="276" ht="15.75" customHeight="1">
      <c r="A276" s="2">
        <v>274.0</v>
      </c>
      <c r="B276" s="5" t="s">
        <v>493</v>
      </c>
      <c r="C276" s="6">
        <v>2.0</v>
      </c>
      <c r="D276" s="9" t="s">
        <v>494</v>
      </c>
      <c r="E276" s="8" t="str">
        <f>IFERROR(__xludf.DUMMYFUNCTION("googletranslate(D276,""id"",""en"")"),"Is this a normal schedule? Isn't the PPKM schedule? Klu ppkm schedule no min")</f>
        <v>Is this a normal schedule? Isn't the PPKM schedule? Klu ppkm schedule no min</v>
      </c>
    </row>
    <row r="277" ht="15.75" customHeight="1">
      <c r="A277" s="2">
        <v>275.0</v>
      </c>
      <c r="B277" s="5" t="s">
        <v>495</v>
      </c>
      <c r="C277" s="6">
        <v>2.0</v>
      </c>
      <c r="D277" s="7" t="s">
        <v>496</v>
      </c>
      <c r="E277" s="8" t="str">
        <f>IFERROR(__xludf.DUMMYFUNCTION("googletranslate(D277,""id"",""en"")"),"PPKM: Practice Morning Kepablasan Melekkalau PPKM Your Version?")</f>
        <v>PPKM: Practice Morning Kepablasan Melekkalau PPKM Your Version?</v>
      </c>
    </row>
    <row r="278" ht="15.75" customHeight="1">
      <c r="A278" s="2">
        <v>276.0</v>
      </c>
      <c r="B278" s="5" t="s">
        <v>497</v>
      </c>
      <c r="C278" s="6">
        <v>2.0</v>
      </c>
      <c r="D278" s="7" t="s">
        <v>498</v>
      </c>
      <c r="E278" s="8" t="str">
        <f>IFERROR(__xludf.DUMMYFUNCTION("googletranslate(D278,""id"",""en"")"),"Gosah, there is a PPKM Emergency Java - Bali.")</f>
        <v>Gosah, there is a PPKM Emergency Java - Bali.</v>
      </c>
    </row>
    <row r="279" ht="15.75" customHeight="1">
      <c r="A279" s="2">
        <v>277.0</v>
      </c>
      <c r="B279" s="5" t="s">
        <v>499</v>
      </c>
      <c r="C279" s="6">
        <v>1.0</v>
      </c>
      <c r="D279" s="7" t="s">
        <v>499</v>
      </c>
      <c r="E279" s="8" t="str">
        <f>IFERROR(__xludf.DUMMYFUNCTION("googletranslate(D279,""id"",""en"")"),"I don't like your KDK PPKM")</f>
        <v>I don't like your KDK PPKM</v>
      </c>
    </row>
    <row r="280" ht="15.75" customHeight="1">
      <c r="A280" s="2">
        <v>278.0</v>
      </c>
      <c r="B280" s="5" t="s">
        <v>500</v>
      </c>
      <c r="C280" s="6">
        <v>2.0</v>
      </c>
      <c r="D280" s="7" t="s">
        <v>500</v>
      </c>
      <c r="E280" s="8" t="str">
        <f>IFERROR(__xludf.DUMMYFUNCTION("googletranslate(D280,""id"",""en"")"),"Two positive people after a health check with the Swab Test Antigen at the Limitation and Control of the Implementation of Emergency PPKM which was held at the East Java border with Central Java, precisely the Cemorosewu post.")</f>
        <v>Two positive people after a health check with the Swab Test Antigen at the Limitation and Control of the Implementation of Emergency PPKM which was held at the East Java border with Central Java, precisely the Cemorosewu post.</v>
      </c>
    </row>
    <row r="281" ht="15.75" customHeight="1">
      <c r="A281" s="2">
        <v>279.0</v>
      </c>
      <c r="B281" s="5" t="s">
        <v>501</v>
      </c>
      <c r="C281" s="6">
        <v>1.0</v>
      </c>
      <c r="D281" s="7" t="s">
        <v>502</v>
      </c>
      <c r="E281" s="8" t="str">
        <f>IFERROR(__xludf.DUMMYFUNCTION("googletranslate(D281,""id"",""en"")"),"The application of the PPKM ends caused a crowd, especially the second-wheeled user community of all directions who want to do activities such as work or other trapped in a circle which causes human density that cannot be avoided.")</f>
        <v>The application of the PPKM ends caused a crowd, especially the second-wheeled user community of all directions who want to do activities such as work or other trapped in a circle which causes human density that cannot be avoided.</v>
      </c>
    </row>
    <row r="282" ht="15.75" customHeight="1">
      <c r="A282" s="2">
        <v>280.0</v>
      </c>
      <c r="B282" s="5" t="s">
        <v>503</v>
      </c>
      <c r="C282" s="6">
        <v>2.0</v>
      </c>
      <c r="D282" s="7" t="s">
        <v>504</v>
      </c>
      <c r="E282" s="8" t="str">
        <f>IFERROR(__xludf.DUMMYFUNCTION("googletranslate(D282,""id"",""en"")"),"During PPKM what is still operational for an annual tax extension")</f>
        <v>During PPKM what is still operational for an annual tax extension</v>
      </c>
    </row>
    <row r="283" ht="15.75" customHeight="1">
      <c r="A283" s="2">
        <v>281.0</v>
      </c>
      <c r="B283" s="5" t="s">
        <v>505</v>
      </c>
      <c r="C283" s="6">
        <v>1.0</v>
      </c>
      <c r="D283" s="7" t="s">
        <v>505</v>
      </c>
      <c r="E283" s="8" t="str">
        <f>IFERROR(__xludf.DUMMYFUNCTION("googletranslate(D283,""id"",""en"")"),"PPKM, slowly we die.")</f>
        <v>PPKM, slowly we die.</v>
      </c>
    </row>
    <row r="284" ht="15.75" customHeight="1">
      <c r="A284" s="2">
        <v>282.0</v>
      </c>
      <c r="B284" s="5" t="s">
        <v>506</v>
      </c>
      <c r="C284" s="6">
        <v>1.0</v>
      </c>
      <c r="D284" s="7" t="s">
        <v>507</v>
      </c>
      <c r="E284" s="8" t="str">
        <f>IFERROR(__xludf.DUMMYFUNCTION("googletranslate(D284,""id"",""en"")"),"Jogja the case of the case of the case was delicious told the ppkm and earlier when I jogged to find this, the rest was still a lot but it wasn't charred. More than a person who doesn't use a mask.")</f>
        <v>Jogja the case of the case of the case was delicious told the ppkm and earlier when I jogged to find this, the rest was still a lot but it wasn't charred. More than a person who doesn't use a mask.</v>
      </c>
    </row>
    <row r="285" ht="15.75" customHeight="1">
      <c r="A285" s="2">
        <v>283.0</v>
      </c>
      <c r="B285" s="5" t="s">
        <v>508</v>
      </c>
      <c r="C285" s="6">
        <v>1.0</v>
      </c>
      <c r="D285" s="9" t="s">
        <v>509</v>
      </c>
      <c r="E285" s="8" t="str">
        <f>IFERROR(__xludf.DUMMYFUNCTION("googletranslate(D285,""id"",""en"")"),"Not forgetting it when Mr. Anies Udh blames the emergency brake mark instead, the buzzerrp sma, now it's the turn of it, it's still busy nyinyirin, Mr. Anies, I forget that I don't have a msa ppkm, it's sad to China")</f>
        <v>Not forgetting it when Mr. Anies Udh blames the emergency brake mark instead, the buzzerrp sma, now it's the turn of it, it's still busy nyinyirin, Mr. Anies, I forget that I don't have a msa ppkm, it's sad to China</v>
      </c>
    </row>
    <row r="286" ht="15.75" customHeight="1">
      <c r="A286" s="2">
        <v>284.0</v>
      </c>
      <c r="B286" s="5" t="s">
        <v>510</v>
      </c>
      <c r="C286" s="6">
        <v>3.0</v>
      </c>
      <c r="D286" s="7" t="s">
        <v>511</v>
      </c>
      <c r="E286" s="8" t="str">
        <f>IFERROR(__xludf.DUMMYFUNCTION("googletranslate(D286,""id"",""en"")"),"Finished independent isolation, now PPKM. Really God loves me really. Told to rest the month")</f>
        <v>Finished independent isolation, now PPKM. Really God loves me really. Told to rest the month</v>
      </c>
    </row>
    <row r="287" ht="15.75" customHeight="1">
      <c r="A287" s="2">
        <v>285.0</v>
      </c>
      <c r="B287" s="5" t="s">
        <v>512</v>
      </c>
      <c r="C287" s="6">
        <v>1.0</v>
      </c>
      <c r="D287" s="7" t="s">
        <v>513</v>
      </c>
      <c r="E287" s="8" t="str">
        <f>IFERROR(__xludf.DUMMYFUNCTION("googletranslate(D287,""id"",""en"")"),"bbrp ulama, nih watch the video of the mother in West Sumatra who accused the government of Zalim DG PPKM; Dg of his pongah showing off the crowd without this mask.")</f>
        <v>bbrp ulama, nih watch the video of the mother in West Sumatra who accused the government of Zalim DG PPKM; Dg of his pongah showing off the crowd without this mask.</v>
      </c>
    </row>
    <row r="288" ht="15.75" customHeight="1">
      <c r="A288" s="2">
        <v>286.0</v>
      </c>
      <c r="B288" s="5" t="s">
        <v>514</v>
      </c>
      <c r="C288" s="6">
        <v>2.0</v>
      </c>
      <c r="D288" s="7" t="s">
        <v>515</v>
      </c>
      <c r="E288" s="8" t="str">
        <f>IFERROR(__xludf.DUMMYFUNCTION("googletranslate(D288,""id"",""en"")"),"It has been read since before the PPKM")</f>
        <v>It has been read since before the PPKM</v>
      </c>
    </row>
    <row r="289" ht="15.75" customHeight="1">
      <c r="A289" s="2">
        <v>287.0</v>
      </c>
      <c r="B289" s="5" t="s">
        <v>516</v>
      </c>
      <c r="C289" s="6">
        <v>1.0</v>
      </c>
      <c r="D289" s="9" t="s">
        <v>517</v>
      </c>
      <c r="E289" s="8" t="str">
        <f>IFERROR(__xludf.DUMMYFUNCTION("googletranslate(D289,""id"",""en"")"),"Yes, if you take a climb case in Sulawesi, then PPKM in Sulawesi? This is just this, just keep going to buzzerrp pensianti wkwkwkwkwkw")</f>
        <v>Yes, if you take a climb case in Sulawesi, then PPKM in Sulawesi? This is just this, just keep going to buzzerrp pensianti wkwkwkwkwkw</v>
      </c>
    </row>
    <row r="290" ht="15.75" customHeight="1">
      <c r="A290" s="2">
        <v>288.0</v>
      </c>
      <c r="B290" s="5" t="s">
        <v>518</v>
      </c>
      <c r="C290" s="6">
        <v>1.0</v>
      </c>
      <c r="D290" s="9" t="s">
        <v>519</v>
      </c>
      <c r="E290" s="8" t="str">
        <f>IFERROR(__xludf.DUMMYFUNCTION("googletranslate(D290,""id"",""en"")"),"Concerned about seeing the situation at the Emergency PPKM insulation pointing towards Jakarta. Driver accumulation occurs. I don't know what's in my heart and mind, MGP He didn't follow the government's recommendation so that Covid was finished? Don't fe"&amp;"el myself strong, think of other people, nakes, etc. Don't be stupid ...!")</f>
        <v>Concerned about seeing the situation at the Emergency PPKM insulation pointing towards Jakarta. Driver accumulation occurs. I don't know what's in my heart and mind, MGP He didn't follow the government's recommendation so that Covid was finished? Don't feel myself strong, think of other people, nakes, etc. Don't be stupid ...!</v>
      </c>
    </row>
    <row r="291" ht="15.75" customHeight="1">
      <c r="A291" s="2">
        <v>289.0</v>
      </c>
      <c r="B291" s="5" t="s">
        <v>520</v>
      </c>
      <c r="C291" s="6">
        <v>2.0</v>
      </c>
      <c r="D291" s="7" t="s">
        <v>521</v>
      </c>
      <c r="E291" s="8" t="str">
        <f>IFERROR(__xludf.DUMMYFUNCTION("googletranslate(D291,""id"",""en"")"),"Yesterday, PSBBSekarang, PPKMbesok, PPKN MTK IPS IPS etc.")</f>
        <v>Yesterday, PSBBSekarang, PPKMbesok, PPKN MTK IPS IPS etc.</v>
      </c>
    </row>
    <row r="292" ht="15.75" customHeight="1">
      <c r="A292" s="2">
        <v>290.0</v>
      </c>
      <c r="B292" s="5" t="s">
        <v>522</v>
      </c>
      <c r="C292" s="6">
        <v>2.0</v>
      </c>
      <c r="D292" s="7" t="s">
        <v>523</v>
      </c>
      <c r="E292" s="8" t="str">
        <f>IFERROR(__xludf.DUMMYFUNCTION("googletranslate(D292,""id"",""en"")"),"PPKM and Anies.")</f>
        <v>PPKM and Anies.</v>
      </c>
    </row>
    <row r="293" ht="15.75" customHeight="1">
      <c r="A293" s="2">
        <v>291.0</v>
      </c>
      <c r="B293" s="5" t="s">
        <v>524</v>
      </c>
      <c r="C293" s="6">
        <v>2.0</v>
      </c>
      <c r="D293" s="7" t="s">
        <v>525</v>
      </c>
      <c r="E293" s="8" t="str">
        <f>IFERROR(__xludf.DUMMYFUNCTION("googletranslate(D293,""id"",""en"")"),"Want to enter Kendal when emergency ppkm, hundreds of vehicles played back")</f>
        <v>Want to enter Kendal when emergency ppkm, hundreds of vehicles played back</v>
      </c>
    </row>
    <row r="294" ht="15.75" customHeight="1">
      <c r="A294" s="2">
        <v>292.0</v>
      </c>
      <c r="B294" s="5" t="s">
        <v>526</v>
      </c>
      <c r="C294" s="6">
        <v>3.0</v>
      </c>
      <c r="D294" s="7" t="s">
        <v>527</v>
      </c>
      <c r="E294" s="8" t="str">
        <f>IFERROR(__xludf.DUMMYFUNCTION("googletranslate(D294,""id"",""en"")"),"PPKM makes me more economical")</f>
        <v>PPKM makes me more economical</v>
      </c>
    </row>
    <row r="295" ht="15.75" customHeight="1">
      <c r="A295" s="2">
        <v>293.0</v>
      </c>
      <c r="B295" s="5" t="s">
        <v>528</v>
      </c>
      <c r="C295" s="6">
        <v>1.0</v>
      </c>
      <c r="D295" s="7" t="s">
        <v>529</v>
      </c>
      <c r="E295" s="8" t="str">
        <f>IFERROR(__xludf.DUMMYFUNCTION("googletranslate(D295,""id"",""en"")"),"Ppkm is unemployed not eating the end of the moon")</f>
        <v>Ppkm is unemployed not eating the end of the moon</v>
      </c>
    </row>
    <row r="296" ht="15.75" customHeight="1">
      <c r="A296" s="2">
        <v>294.0</v>
      </c>
      <c r="B296" s="5" t="s">
        <v>530</v>
      </c>
      <c r="C296" s="6">
        <v>2.0</v>
      </c>
      <c r="D296" s="7" t="s">
        <v>531</v>
      </c>
      <c r="E296" s="8" t="str">
        <f>IFERROR(__xludf.DUMMYFUNCTION("googletranslate(D296,""id"",""en"")"),"Said Balinese: ppkm")</f>
        <v>Said Balinese: ppkm</v>
      </c>
    </row>
    <row r="297" ht="15.75" customHeight="1">
      <c r="A297" s="2">
        <v>295.0</v>
      </c>
      <c r="B297" s="5" t="s">
        <v>532</v>
      </c>
      <c r="C297" s="6">
        <v>1.0</v>
      </c>
      <c r="D297" s="9" t="s">
        <v>533</v>
      </c>
      <c r="E297" s="8" t="str">
        <f>IFERROR(__xludf.DUMMYFUNCTION("googletranslate(D297,""id"",""en"")"),"Yes, how come they are and when they are the first ppkm, they are not the same as Bali, right? So InshaAlloh Safe Pao, yo I strongly agree to the smooth running of the project. !!! Bismillah Komisari Pertamina")</f>
        <v>Yes, how come they are and when they are the first ppkm, they are not the same as Bali, right? So InshaAlloh Safe Pao, yo I strongly agree to the smooth running of the project. !!! Bismillah Komisari Pertamina</v>
      </c>
    </row>
    <row r="298" ht="15.75" customHeight="1">
      <c r="A298" s="2">
        <v>296.0</v>
      </c>
      <c r="B298" s="5" t="s">
        <v>534</v>
      </c>
      <c r="C298" s="6">
        <v>2.0</v>
      </c>
      <c r="D298" s="7" t="s">
        <v>535</v>
      </c>
      <c r="E298" s="8" t="str">
        <f>IFERROR(__xludf.DUMMYFUNCTION("googletranslate(D298,""id"",""en"")"),"cw // food day ppkmbikin new menu, salmon fried egg")</f>
        <v>cw // food day ppkmbikin new menu, salmon fried egg</v>
      </c>
    </row>
    <row r="299" ht="15.75" customHeight="1">
      <c r="A299" s="2">
        <v>297.0</v>
      </c>
      <c r="B299" s="5" t="s">
        <v>536</v>
      </c>
      <c r="C299" s="6">
        <v>1.0</v>
      </c>
      <c r="D299" s="7" t="s">
        <v>537</v>
      </c>
      <c r="E299" s="8" t="str">
        <f>IFERROR(__xludf.DUMMYFUNCTION("googletranslate(D299,""id"",""en"")"),"PPKM or Mr. President when to retreat? There is only his extension, a very interesting paper")</f>
        <v>PPKM or Mr. President when to retreat? There is only his extension, a very interesting paper</v>
      </c>
    </row>
    <row r="300" ht="15.75" customHeight="1">
      <c r="A300" s="2">
        <v>298.0</v>
      </c>
      <c r="B300" s="5" t="s">
        <v>538</v>
      </c>
      <c r="C300" s="6">
        <v>1.0</v>
      </c>
      <c r="D300" s="7" t="s">
        <v>539</v>
      </c>
      <c r="E300" s="8" t="str">
        <f>IFERROR(__xludf.DUMMYFUNCTION("googletranslate(D300,""id"",""en"")"),"PPKM tight people there is no help at all, eh right after making a living at the person who has for a big sin. May the people safe sentusa ...")</f>
        <v>PPKM tight people there is no help at all, eh right after making a living at the person who has for a big sin. May the people safe sentusa ...</v>
      </c>
    </row>
    <row r="301" ht="15.75" customHeight="1">
      <c r="A301" s="2">
        <v>299.0</v>
      </c>
      <c r="B301" s="5" t="s">
        <v>540</v>
      </c>
      <c r="C301" s="6">
        <v>2.0</v>
      </c>
      <c r="D301" s="7" t="s">
        <v>541</v>
      </c>
      <c r="E301" s="8" t="str">
        <f>IFERROR(__xludf.DUMMYFUNCTION("googletranslate(D301,""id"",""en"")"),"I was on the second day, third to day to get closed PPKM:")</f>
        <v>I was on the second day, third to day to get closed PPKM:</v>
      </c>
    </row>
    <row r="302" ht="15.75" customHeight="1">
      <c r="A302" s="2">
        <v>300.0</v>
      </c>
      <c r="B302" s="5" t="s">
        <v>542</v>
      </c>
      <c r="C302" s="6">
        <v>3.0</v>
      </c>
      <c r="D302" s="7" t="s">
        <v>543</v>
      </c>
      <c r="E302" s="8" t="str">
        <f>IFERROR(__xludf.DUMMYFUNCTION("googletranslate(D302,""id"",""en"")"),"Manufacture worked up to support the emergency PPKM which had been inaugurated by the Jokowi government.")</f>
        <v>Manufacture worked up to support the emergency PPKM which had been inaugurated by the Jokowi government.</v>
      </c>
    </row>
    <row r="303" ht="15.75" customHeight="1">
      <c r="A303" s="2">
        <v>301.0</v>
      </c>
      <c r="B303" s="5" t="s">
        <v>544</v>
      </c>
      <c r="C303" s="6">
        <v>1.0</v>
      </c>
      <c r="D303" s="7" t="s">
        <v>545</v>
      </c>
      <c r="E303" s="8" t="str">
        <f>IFERROR(__xludf.DUMMYFUNCTION("googletranslate(D303,""id"",""en"")"),"Grieving and praying together. For all fields that are directly affected by PPKM.")</f>
        <v>Grieving and praying together. For all fields that are directly affected by PPKM.</v>
      </c>
    </row>
    <row r="304" ht="15.75" customHeight="1">
      <c r="A304" s="2">
        <v>302.0</v>
      </c>
      <c r="B304" s="5" t="s">
        <v>546</v>
      </c>
      <c r="C304" s="6">
        <v>3.0</v>
      </c>
      <c r="D304" s="9" t="s">
        <v>547</v>
      </c>
      <c r="E304" s="8" t="str">
        <f>IFERROR(__xludf.DUMMYFUNCTION("googletranslate(D304,""id"",""en"")"),"The point is restrictions. Don't like that the main essence of PPKM. Let alone on a motorbike, going on the pilgrimage can also be Corona. ""Is it true that Corona is a holiday hour?"" Yes this is restrictions, reducing mobility, reducing the risk of tran"&amp;"smission. Healthy healthy bro.")</f>
        <v>The point is restrictions. Don't like that the main essence of PPKM. Let alone on a motorbike, going on the pilgrimage can also be Corona. "Is it true that Corona is a holiday hour?" Yes this is restrictions, reducing mobility, reducing the risk of transmission. Healthy healthy bro.</v>
      </c>
    </row>
    <row r="305" ht="15.75" customHeight="1">
      <c r="A305" s="2">
        <v>304.0</v>
      </c>
      <c r="B305" s="5" t="s">
        <v>548</v>
      </c>
      <c r="C305" s="6">
        <v>1.0</v>
      </c>
      <c r="D305" s="7" t="s">
        <v>549</v>
      </c>
      <c r="E305" s="8" t="str">
        <f>IFERROR(__xludf.DUMMYFUNCTION("googletranslate(D305,""id"",""en"")"),"Tourism Make the Emergency PPKM Ambassador.")</f>
        <v>Tourism Make the Emergency PPKM Ambassador.</v>
      </c>
    </row>
    <row r="306" ht="15.75" customHeight="1">
      <c r="A306" s="2">
        <v>305.0</v>
      </c>
      <c r="B306" s="5" t="s">
        <v>550</v>
      </c>
      <c r="C306" s="6">
        <v>1.0</v>
      </c>
      <c r="D306" s="7" t="s">
        <v>551</v>
      </c>
      <c r="E306" s="8" t="str">
        <f>IFERROR(__xludf.DUMMYFUNCTION("googletranslate(D306,""id"",""en"")"),"Mr. President when is the resignation again")</f>
        <v>Mr. President when is the resignation again</v>
      </c>
    </row>
    <row r="307" ht="15.75" customHeight="1">
      <c r="A307" s="2">
        <v>306.0</v>
      </c>
      <c r="B307" s="5" t="s">
        <v>552</v>
      </c>
      <c r="C307" s="6">
        <v>2.0</v>
      </c>
      <c r="D307" s="7" t="s">
        <v>552</v>
      </c>
      <c r="E307" s="8" t="str">
        <f>IFERROR(__xludf.DUMMYFUNCTION("googletranslate(D307,""id"",""en"")"),"I like PPKM without PP")</f>
        <v>I like PPKM without PP</v>
      </c>
    </row>
    <row r="308" ht="15.75" customHeight="1">
      <c r="A308" s="2">
        <v>307.0</v>
      </c>
      <c r="B308" s="5" t="s">
        <v>553</v>
      </c>
      <c r="C308" s="6">
        <v>1.0</v>
      </c>
      <c r="D308" s="7" t="s">
        <v>553</v>
      </c>
      <c r="E308" s="8" t="str">
        <f>IFERROR(__xludf.DUMMYFUNCTION("googletranslate(D308,""id"",""en"")"),"I got rid of why everything was closed in a round know. I understand the ppkm what is a macem but yes it can be yesterday, for example it's informed. I don't have a ppkm info, it's not? Yes doong ???")</f>
        <v>I got rid of why everything was closed in a round know. I understand the ppkm what is a macem but yes it can be yesterday, for example it's informed. I don't have a ppkm info, it's not? Yes doong ???</v>
      </c>
    </row>
    <row r="309" ht="15.75" customHeight="1">
      <c r="A309" s="2">
        <v>308.0</v>
      </c>
      <c r="B309" s="5" t="s">
        <v>554</v>
      </c>
      <c r="C309" s="6">
        <v>2.0</v>
      </c>
      <c r="D309" s="7" t="s">
        <v>555</v>
      </c>
      <c r="E309" s="8" t="str">
        <f>IFERROR(__xludf.DUMMYFUNCTION("googletranslate(D309,""id"",""en"")"),"Karyo: Dul when .....ppkmadul: the answer to know ... karyo: yes dong ... it's done: basically ""counting the day"" ... karyo: wow ...")</f>
        <v>Karyo: Dul when .....ppkmadul: the answer to know ... karyo: yes dong ... it's done: basically "counting the day" ... karyo: wow ...</v>
      </c>
    </row>
    <row r="310" ht="15.75" customHeight="1">
      <c r="A310" s="2">
        <v>309.0</v>
      </c>
      <c r="B310" s="5" t="s">
        <v>556</v>
      </c>
      <c r="C310" s="6">
        <v>1.0</v>
      </c>
      <c r="D310" s="9" t="s">
        <v>557</v>
      </c>
      <c r="E310" s="8" t="str">
        <f>IFERROR(__xludf.DUMMYFUNCTION("googletranslate(D310,""id"",""en"")"),"PPKM Aqual Terms Ruler avoided the lock down, quarantine region, because if this Law was used by the government obliged to eat citizens + cats, dogs, ducks, chicken, rabbits and the term seemed to be cool but actually deceptic deceit work on the back of t"&amp;"he ...")</f>
        <v>PPKM Aqual Terms Ruler avoided the lock down, quarantine region, because if this Law was used by the government obliged to eat citizens + cats, dogs, ducks, chicken, rabbits and the term seemed to be cool but actually deceptic deceit work on the back of the ...</v>
      </c>
    </row>
    <row r="311" ht="15.75" customHeight="1">
      <c r="A311" s="2">
        <v>310.0</v>
      </c>
      <c r="B311" s="5" t="s">
        <v>558</v>
      </c>
      <c r="C311" s="6">
        <v>1.0</v>
      </c>
      <c r="D311" s="9" t="s">
        <v>559</v>
      </c>
      <c r="E311" s="8" t="str">
        <f>IFERROR(__xludf.DUMMYFUNCTION("googletranslate(D311,""id"",""en"")"),"For the enactment of the emergency PPKM should be able to supervise the field with Walkot / Lurah, see the obedience / readiness of citizens and problems / help citizens difficult or minimize traditional market crowds.")</f>
        <v>For the enactment of the emergency PPKM should be able to supervise the field with Walkot / Lurah, see the obedience / readiness of citizens and problems / help citizens difficult or minimize traditional market crowds.</v>
      </c>
    </row>
    <row r="312" ht="15.75" customHeight="1">
      <c r="A312" s="2">
        <v>311.0</v>
      </c>
      <c r="B312" s="5" t="s">
        <v>560</v>
      </c>
      <c r="C312" s="6">
        <v>1.0</v>
      </c>
      <c r="D312" s="7" t="s">
        <v>560</v>
      </c>
      <c r="E312" s="8" t="str">
        <f>IFERROR(__xludf.DUMMYFUNCTION("googletranslate(D312,""id"",""en"")"),"PPKM A ""safe"" attitude taken by the government because ""already"" wrongly chose the way. From the beginning, from a few cases, the government was not strict in handling pandemic, the community was confused about whom he had to follow")</f>
        <v>PPKM A "safe" attitude taken by the government because "already" wrongly chose the way. From the beginning, from a few cases, the government was not strict in handling pandemic, the community was confused about whom he had to follow</v>
      </c>
    </row>
    <row r="313" ht="15.75" customHeight="1">
      <c r="A313" s="2">
        <v>312.0</v>
      </c>
      <c r="B313" s="5" t="s">
        <v>561</v>
      </c>
      <c r="C313" s="6">
        <v>1.0</v>
      </c>
      <c r="D313" s="7" t="s">
        <v>562</v>
      </c>
      <c r="E313" s="8" t="str">
        <f>IFERROR(__xludf.DUMMYFUNCTION("googletranslate(D313,""id"",""en"")"),"They panicked knowing maybe knowing Mo Demo students, so they tightened the central government because students want to demo, workers and other mass organizations. Bali $ Number $ Samapai")</f>
        <v>They panicked knowing maybe knowing Mo Demo students, so they tightened the central government because students want to demo, workers and other mass organizations. Bali $ Number $ Samapai</v>
      </c>
    </row>
    <row r="314" ht="15.75" customHeight="1">
      <c r="A314" s="2">
        <v>313.0</v>
      </c>
      <c r="B314" s="5" t="s">
        <v>563</v>
      </c>
      <c r="C314" s="6">
        <v>1.0</v>
      </c>
      <c r="D314" s="7" t="s">
        <v>564</v>
      </c>
      <c r="E314" s="8" t="str">
        <f>IFERROR(__xludf.DUMMYFUNCTION("googletranslate(D314,""id"",""en"")"),"Ppkm = slowly you turn off ...")</f>
        <v>Ppkm = slowly you turn off ...</v>
      </c>
    </row>
    <row r="315" ht="15.75" customHeight="1">
      <c r="A315" s="2">
        <v>314.0</v>
      </c>
      <c r="B315" s="5" t="s">
        <v>565</v>
      </c>
      <c r="C315" s="6">
        <v>2.0</v>
      </c>
      <c r="D315" s="7" t="s">
        <v>565</v>
      </c>
      <c r="E315" s="8" t="str">
        <f>IFERROR(__xludf.DUMMYFUNCTION("googletranslate(D315,""id"",""en"")"),"I like PPKM without PP.")</f>
        <v>I like PPKM without PP.</v>
      </c>
    </row>
    <row r="316" ht="15.75" customHeight="1">
      <c r="A316" s="2">
        <v>315.0</v>
      </c>
      <c r="B316" s="5" t="s">
        <v>566</v>
      </c>
      <c r="C316" s="6">
        <v>1.0</v>
      </c>
      <c r="D316" s="9" t="s">
        <v>566</v>
      </c>
      <c r="E316" s="8" t="str">
        <f>IFERROR(__xludf.DUMMYFUNCTION("googletranslate(D316,""id"",""en"")"),"PPKM: Reduction of Poor Family Revenues")</f>
        <v>PPKM: Reduction of Poor Family Revenues</v>
      </c>
    </row>
    <row r="317" ht="15.75" customHeight="1">
      <c r="A317" s="2">
        <v>316.0</v>
      </c>
      <c r="B317" s="5" t="s">
        <v>567</v>
      </c>
      <c r="C317" s="6">
        <v>1.0</v>
      </c>
      <c r="D317" s="7" t="s">
        <v>568</v>
      </c>
      <c r="E317" s="8" t="str">
        <f>IFERROR(__xludf.DUMMYFUNCTION("googletranslate(D317,""id"",""en"")"),"Confused by what was made by the government")</f>
        <v>Confused by what was made by the government</v>
      </c>
    </row>
    <row r="318" ht="15.75" customHeight="1">
      <c r="A318" s="2">
        <v>317.0</v>
      </c>
      <c r="B318" s="5" t="s">
        <v>569</v>
      </c>
      <c r="C318" s="6">
        <v>1.0</v>
      </c>
      <c r="D318" s="9" t="s">
        <v>570</v>
      </c>
      <c r="E318" s="8" t="str">
        <f>IFERROR(__xludf.DUMMYFUNCTION("googletranslate(D318,""id"",""en"")"),"It's really strange, residents themselves are broken, China's TKA is left to get it very difficult, I don't want to stop international passengers when PPKM ... until the one to prostitute themselves, then the day the people are misrepresented.")</f>
        <v>It's really strange, residents themselves are broken, China's TKA is left to get it very difficult, I don't want to stop international passengers when PPKM ... until the one to prostitute themselves, then the day the people are misrepresented.</v>
      </c>
    </row>
    <row r="319" ht="15.75" customHeight="1">
      <c r="A319" s="2">
        <v>318.0</v>
      </c>
      <c r="B319" s="5" t="s">
        <v>571</v>
      </c>
      <c r="C319" s="6">
        <v>1.0</v>
      </c>
      <c r="D319" s="9" t="s">
        <v>572</v>
      </c>
      <c r="E319" s="8" t="str">
        <f>IFERROR(__xludf.DUMMYFUNCTION("googletranslate(D319,""id"",""en"")"),"The people themselves told PPKM, other countries enter easily, please explain Pak thanks")</f>
        <v>The people themselves told PPKM, other countries enter easily, please explain Pak thanks</v>
      </c>
    </row>
    <row r="320" ht="15.75" customHeight="1">
      <c r="A320" s="2">
        <v>319.0</v>
      </c>
      <c r="B320" s="5" t="s">
        <v>573</v>
      </c>
      <c r="C320" s="6">
        <v>2.0</v>
      </c>
      <c r="D320" s="7" t="s">
        <v>573</v>
      </c>
      <c r="E320" s="8" t="str">
        <f>IFERROR(__xludf.DUMMYFUNCTION("googletranslate(D320,""id"",""en"")"),"Ppkm psbb, kbanyaakan abbreviation")</f>
        <v>Ppkm psbb, kbanyaakan abbreviation</v>
      </c>
    </row>
    <row r="321" ht="15.75" customHeight="1">
      <c r="A321" s="2">
        <v>320.0</v>
      </c>
      <c r="B321" s="5" t="s">
        <v>574</v>
      </c>
      <c r="C321" s="6">
        <v>1.0</v>
      </c>
      <c r="D321" s="7" t="s">
        <v>575</v>
      </c>
      <c r="E321" s="8" t="str">
        <f>IFERROR(__xludf.DUMMYFUNCTION("googletranslate(D321,""id"",""en"")"),"PPKM Mr. President when to retreat")</f>
        <v>PPKM Mr. President when to retreat</v>
      </c>
    </row>
    <row r="322" ht="15.75" customHeight="1">
      <c r="A322" s="2">
        <v>321.0</v>
      </c>
      <c r="B322" s="5" t="s">
        <v>576</v>
      </c>
      <c r="C322" s="6">
        <v>1.0</v>
      </c>
      <c r="D322" s="9" t="s">
        <v>577</v>
      </c>
      <c r="E322" s="8" t="str">
        <f>IFERROR(__xludf.DUMMYFUNCTION("googletranslate(D322,""id"",""en"")"),"And always the people blamed especially this majority ummah. Look at Central Java Warung Destroyed Polpp Krn Merangat PPKM? While the obligation to give a citizen mkn to be livestock not fulfilled !! What are the people? BYR electricity? Home?")</f>
        <v>And always the people blamed especially this majority ummah. Look at Central Java Warung Destroyed Polpp Krn Merangat PPKM? While the obligation to give a citizen mkn to be livestock not fulfilled !! What are the people? BYR electricity? Home?</v>
      </c>
    </row>
    <row r="323" ht="15.75" customHeight="1">
      <c r="A323" s="2">
        <v>322.0</v>
      </c>
      <c r="B323" s="5" t="s">
        <v>578</v>
      </c>
      <c r="C323" s="6">
        <v>1.0</v>
      </c>
      <c r="D323" s="9" t="s">
        <v>579</v>
      </c>
      <c r="E323" s="8" t="str">
        <f>IFERROR(__xludf.DUMMYFUNCTION("googletranslate(D323,""id"",""en"")"),"Just know if the ppkm is the president when you are back")</f>
        <v>Just know if the ppkm is the president when you are back</v>
      </c>
    </row>
    <row r="324" ht="15.75" customHeight="1">
      <c r="A324" s="2">
        <v>323.0</v>
      </c>
      <c r="B324" s="5" t="s">
        <v>580</v>
      </c>
      <c r="C324" s="6">
        <v>1.0</v>
      </c>
      <c r="D324" s="7" t="s">
        <v>581</v>
      </c>
      <c r="E324" s="8" t="str">
        <f>IFERROR(__xludf.DUMMYFUNCTION("googletranslate(D324,""id"",""en"")"),"Good morning, second PPKM day and still have to work ... when is the holiday")</f>
        <v>Good morning, second PPKM day and still have to work ... when is the holiday</v>
      </c>
    </row>
    <row r="325" ht="15.75" customHeight="1">
      <c r="A325" s="2">
        <v>324.0</v>
      </c>
      <c r="B325" s="5" t="s">
        <v>582</v>
      </c>
      <c r="C325" s="6">
        <v>1.0</v>
      </c>
      <c r="D325" s="9" t="s">
        <v>583</v>
      </c>
      <c r="E325" s="8" t="str">
        <f>IFERROR(__xludf.DUMMYFUNCTION("googletranslate(D325,""id"",""en"")"),"Cave unemployment and this is what I felt right on PPKM")</f>
        <v>Cave unemployment and this is what I felt right on PPKM</v>
      </c>
    </row>
    <row r="326" ht="15.75" customHeight="1">
      <c r="A326" s="2">
        <v>325.0</v>
      </c>
      <c r="B326" s="5" t="s">
        <v>584</v>
      </c>
      <c r="C326" s="6">
        <v>1.0</v>
      </c>
      <c r="D326" s="7" t="s">
        <v>585</v>
      </c>
      <c r="E326" s="8" t="str">
        <f>IFERROR(__xludf.DUMMYFUNCTION("googletranslate(D326,""id"",""en"")"),"Darut PPKM is the apostles of Muslims. Sepi Mosque, I heard the sound of adzan &amp; amp; Takbiran")</f>
        <v>Darut PPKM is the apostles of Muslims. Sepi Mosque, I heard the sound of adzan &amp; amp; Takbiran</v>
      </c>
    </row>
    <row r="327" ht="15.75" customHeight="1">
      <c r="A327" s="2">
        <v>326.0</v>
      </c>
      <c r="B327" s="5" t="s">
        <v>586</v>
      </c>
      <c r="C327" s="6">
        <v>2.0</v>
      </c>
      <c r="D327" s="7" t="s">
        <v>587</v>
      </c>
      <c r="E327" s="8" t="str">
        <f>IFERROR(__xludf.DUMMYFUNCTION("googletranslate(D327,""id"",""en"")"),"Questioning Article from Article Sanctions for Emergency PPKM violators? Answer: The Book of Criminal Law (Criminal Code) Article and.")</f>
        <v>Questioning Article from Article Sanctions for Emergency PPKM violators? Answer: The Book of Criminal Law (Criminal Code) Article and.</v>
      </c>
    </row>
    <row r="328" ht="15.75" customHeight="1">
      <c r="A328" s="2">
        <v>327.0</v>
      </c>
      <c r="B328" s="5" t="s">
        <v>588</v>
      </c>
      <c r="C328" s="6">
        <v>1.0</v>
      </c>
      <c r="D328" s="9" t="s">
        <v>589</v>
      </c>
      <c r="E328" s="8" t="str">
        <f>IFERROR(__xludf.DUMMYFUNCTION("googletranslate(D328,""id"",""en"")"),"Uniquely, in the morning - evening actually lacked tightening of community activities. Msh seen a social society socializing in the alun2 without a mask, also the traditional market of Msh 'Kemruyuk'. Is the ppkm in this city that is important at the top "&amp;"of the pitch black huh?")</f>
        <v>Uniquely, in the morning - evening actually lacked tightening of community activities. Msh seen a social society socializing in the alun2 without a mask, also the traditional market of Msh 'Kemruyuk'. Is the ppkm in this city that is important at the top of the pitch black huh?</v>
      </c>
    </row>
    <row r="329" ht="15.75" customHeight="1">
      <c r="A329" s="2">
        <v>328.0</v>
      </c>
      <c r="B329" s="5" t="s">
        <v>590</v>
      </c>
      <c r="C329" s="6">
        <v>1.0</v>
      </c>
      <c r="D329" s="7" t="s">
        <v>591</v>
      </c>
      <c r="E329" s="8" t="str">
        <f>IFERROR(__xludf.DUMMYFUNCTION("googletranslate(D329,""id"",""en"")"),"Since PPKM every day above the clock almost all the city lights (the protocol road) are turned off. Ga Kasian, with the person who just came home from work? Travel back to the house with a state of pitch blackway, is it comfortable?")</f>
        <v>Since PPKM every day above the clock almost all the city lights (the protocol road) are turned off. Ga Kasian, with the person who just came home from work? Travel back to the house with a state of pitch blackway, is it comfortable?</v>
      </c>
    </row>
    <row r="330" ht="15.75" customHeight="1">
      <c r="A330" s="2">
        <v>329.0</v>
      </c>
      <c r="B330" s="5" t="s">
        <v>592</v>
      </c>
      <c r="C330" s="6">
        <v>1.0</v>
      </c>
      <c r="D330" s="7" t="s">
        <v>593</v>
      </c>
      <c r="E330" s="8" t="str">
        <f>IFERROR(__xludf.DUMMYFUNCTION("googletranslate(D330,""id"",""en"")"),"Emergency PPKM is why Slipi is at this time")</f>
        <v>Emergency PPKM is why Slipi is at this time</v>
      </c>
    </row>
    <row r="331" ht="15.75" customHeight="1">
      <c r="A331" s="2">
        <v>330.0</v>
      </c>
      <c r="B331" s="5" t="s">
        <v>594</v>
      </c>
      <c r="C331" s="6">
        <v>1.0</v>
      </c>
      <c r="D331" s="7" t="s">
        <v>595</v>
      </c>
      <c r="E331" s="8" t="str">
        <f>IFERROR(__xludf.DUMMYFUNCTION("googletranslate(D331,""id"",""en"")"),"TKA China entered South Sulawesi when Emergency PPKM, Immigration said she did not know")</f>
        <v>TKA China entered South Sulawesi when Emergency PPKM, Immigration said she did not know</v>
      </c>
    </row>
    <row r="332" ht="15.75" customHeight="1">
      <c r="A332" s="2">
        <v>331.0</v>
      </c>
      <c r="B332" s="5" t="s">
        <v>596</v>
      </c>
      <c r="C332" s="6">
        <v>3.0</v>
      </c>
      <c r="D332" s="7" t="s">
        <v>596</v>
      </c>
      <c r="E332" s="8" t="str">
        <f>IFERROR(__xludf.DUMMYFUNCTION("googletranslate(D332,""id"",""en"")"),"Emergency Condition CTMM")</f>
        <v>Emergency Condition CTMM</v>
      </c>
    </row>
    <row r="333" ht="15.75" customHeight="1">
      <c r="A333" s="2">
        <v>332.0</v>
      </c>
      <c r="B333" s="5" t="s">
        <v>597</v>
      </c>
      <c r="C333" s="6">
        <v>3.0</v>
      </c>
      <c r="D333" s="7" t="s">
        <v>262</v>
      </c>
      <c r="E333" s="8" t="str">
        <f>IFERROR(__xludf.DUMMYFUNCTION("googletranslate(D333,""id"",""en"")"),"I obeyed PPKM for healthy and advanced Indonesia")</f>
        <v>I obeyed PPKM for healthy and advanced Indonesia</v>
      </c>
    </row>
    <row r="334" ht="15.75" customHeight="1">
      <c r="A334" s="2">
        <v>333.0</v>
      </c>
      <c r="B334" s="5" t="s">
        <v>598</v>
      </c>
      <c r="C334" s="6">
        <v>1.0</v>
      </c>
      <c r="D334" s="7" t="s">
        <v>598</v>
      </c>
      <c r="E334" s="8" t="str">
        <f>IFERROR(__xludf.DUMMYFUNCTION("googletranslate(D334,""id"",""en"")"),"SYG! Slamat Morning Victims of PPKM")</f>
        <v>SYG! Slamat Morning Victims of PPKM</v>
      </c>
    </row>
    <row r="335" ht="15.75" customHeight="1">
      <c r="A335" s="2">
        <v>334.0</v>
      </c>
      <c r="B335" s="5" t="s">
        <v>599</v>
      </c>
      <c r="C335" s="6">
        <v>2.0</v>
      </c>
      <c r="D335" s="7" t="s">
        <v>600</v>
      </c>
      <c r="E335" s="8" t="str">
        <f>IFERROR(__xludf.DUMMYFUNCTION("googletranslate(D335,""id"",""en"")"),"The lawyer yesterday who died opponents PPKM in Situbondo Ate Curhat too")</f>
        <v>The lawyer yesterday who died opponents PPKM in Situbondo Ate Curhat too</v>
      </c>
    </row>
    <row r="336" ht="15.75" customHeight="1">
      <c r="A336" s="2">
        <v>335.0</v>
      </c>
      <c r="B336" s="5" t="s">
        <v>601</v>
      </c>
      <c r="C336" s="6">
        <v>2.0</v>
      </c>
      <c r="D336" s="9" t="s">
        <v>602</v>
      </c>
      <c r="E336" s="8" t="str">
        <f>IFERROR(__xludf.DUMMYFUNCTION("googletranslate(D336,""id"",""en"")"),"Emergency PPKM, the situation is getting more precarious | Analysis of the official government apply Emergency PPKM Start - July, see the full analysis with Ustadzah Nida Sa'adah in the following video .. Forgot to share the widest")</f>
        <v>Emergency PPKM, the situation is getting more precarious | Analysis of the official government apply Emergency PPKM Start - July, see the full analysis with Ustadzah Nida Sa'adah in the following video .. Forgot to share the widest</v>
      </c>
    </row>
    <row r="337" ht="15.75" customHeight="1">
      <c r="A337" s="2">
        <v>336.0</v>
      </c>
      <c r="B337" s="5" t="s">
        <v>603</v>
      </c>
      <c r="C337" s="6">
        <v>1.0</v>
      </c>
      <c r="D337" s="10" t="s">
        <v>604</v>
      </c>
      <c r="E337" s="8" t="str">
        <f>IFERROR(__xludf.DUMMYFUNCTION("googletranslate(D337,""id"",""en"")"),"Ppkm =.")</f>
        <v>Ppkm =.</v>
      </c>
    </row>
    <row r="338" ht="15.75" customHeight="1">
      <c r="A338" s="2">
        <v>337.0</v>
      </c>
      <c r="B338" s="5" t="s">
        <v>605</v>
      </c>
      <c r="C338" s="6">
        <v>1.0</v>
      </c>
      <c r="D338" s="7" t="s">
        <v>606</v>
      </c>
      <c r="E338" s="8" t="str">
        <f>IFERROR(__xludf.DUMMYFUNCTION("googletranslate(D338,""id"",""en"")"),"Ppkm? Sir president when to retreat? Yntktsyo nda know ko ask me! Angel wis angel ..")</f>
        <v>Ppkm? Sir president when to retreat? Yntktsyo nda know ko ask me! Angel wis angel ..</v>
      </c>
    </row>
    <row r="339" ht="15.75" customHeight="1">
      <c r="A339" s="2">
        <v>338.0</v>
      </c>
      <c r="B339" s="5" t="s">
        <v>607</v>
      </c>
      <c r="C339" s="6">
        <v>3.0</v>
      </c>
      <c r="D339" s="9" t="s">
        <v>608</v>
      </c>
      <c r="E339" s="8" t="str">
        <f>IFERROR(__xludf.DUMMYFUNCTION("googletranslate(D339,""id"",""en"")"),"The state must be straightforward and firm! For the sake of people who have sacrificed to obey the emergency PPKM for the sake of the nation; Opol, shop employees, informal workers")</f>
        <v>The state must be straightforward and firm! For the sake of people who have sacrificed to obey the emergency PPKM for the sake of the nation; Opol, shop employees, informal workers</v>
      </c>
    </row>
    <row r="340" ht="15.75" customHeight="1">
      <c r="A340" s="2">
        <v>339.0</v>
      </c>
      <c r="B340" s="5" t="s">
        <v>609</v>
      </c>
      <c r="C340" s="6">
        <v>1.0</v>
      </c>
      <c r="D340" s="7" t="s">
        <v>610</v>
      </c>
      <c r="E340" s="8" t="str">
        <f>IFERROR(__xludf.DUMMYFUNCTION("googletranslate(D340,""id"",""en"")"),"PPKM: ""Mr. President When to Retreat"" It's Time to Fly White Flag")</f>
        <v>PPKM: "Mr. President When to Retreat" It's Time to Fly White Flag</v>
      </c>
    </row>
    <row r="341" ht="15.75" customHeight="1">
      <c r="A341" s="2">
        <v>340.0</v>
      </c>
      <c r="B341" s="5" t="s">
        <v>611</v>
      </c>
      <c r="C341" s="6">
        <v>2.0</v>
      </c>
      <c r="D341" s="7" t="s">
        <v>611</v>
      </c>
      <c r="E341" s="8" t="str">
        <f>IFERROR(__xludf.DUMMYFUNCTION("googletranslate(D341,""id"",""en"")"),"FRIEND TWIPS ... What is your version of PPKM's stand?")</f>
        <v>FRIEND TWIPS ... What is your version of PPKM's stand?</v>
      </c>
    </row>
    <row r="342" ht="15.75" customHeight="1">
      <c r="A342" s="2">
        <v>341.0</v>
      </c>
      <c r="B342" s="5" t="s">
        <v>612</v>
      </c>
      <c r="C342" s="6">
        <v>2.0</v>
      </c>
      <c r="D342" s="7" t="s">
        <v>612</v>
      </c>
      <c r="E342" s="8" t="str">
        <f>IFERROR(__xludf.DUMMYFUNCTION("googletranslate(D342,""id"",""en"")"),"The first day to the office in the Emergency PPKM period ~~")</f>
        <v>The first day to the office in the Emergency PPKM period ~~</v>
      </c>
    </row>
    <row r="343" ht="15.75" customHeight="1">
      <c r="A343" s="2">
        <v>342.0</v>
      </c>
      <c r="B343" s="5" t="s">
        <v>613</v>
      </c>
      <c r="C343" s="6">
        <v>1.0</v>
      </c>
      <c r="D343" s="9" t="s">
        <v>614</v>
      </c>
      <c r="E343" s="8" t="str">
        <f>IFERROR(__xludf.DUMMYFUNCTION("googletranslate(D343,""id"",""en"")"),"Should PPKM (PLANGA PLONGO AND MAGEMENT)?")</f>
        <v>Should PPKM (PLANGA PLONGO AND MAGEMENT)?</v>
      </c>
    </row>
    <row r="344" ht="15.75" customHeight="1">
      <c r="A344" s="2">
        <v>343.0</v>
      </c>
      <c r="B344" s="5" t="s">
        <v>615</v>
      </c>
      <c r="C344" s="6">
        <v>1.0</v>
      </c>
      <c r="D344" s="7" t="s">
        <v>616</v>
      </c>
      <c r="E344" s="8" t="str">
        <f>IFERROR(__xludf.DUMMYFUNCTION("googletranslate(D344,""id"",""en"")"),"Hehehe ... PPKM = Mr. President when to retreat?!")</f>
        <v>Hehehe ... PPKM = Mr. President when to retreat?!</v>
      </c>
    </row>
    <row r="345" ht="15.75" customHeight="1">
      <c r="A345" s="2">
        <v>344.0</v>
      </c>
      <c r="B345" s="5" t="s">
        <v>617</v>
      </c>
      <c r="C345" s="6">
        <v>2.0</v>
      </c>
      <c r="D345" s="7" t="s">
        <v>617</v>
      </c>
      <c r="E345" s="8" t="str">
        <f>IFERROR(__xludf.DUMMYFUNCTION("googletranslate(D345,""id"",""en"")"),"Khofifah to add, that while preparing emergency PPKM technicals to be arranged in Inmendagri")</f>
        <v>Khofifah to add, that while preparing emergency PPKM technicals to be arranged in Inmendagri</v>
      </c>
    </row>
    <row r="346" ht="15.75" customHeight="1">
      <c r="A346" s="2">
        <v>345.0</v>
      </c>
      <c r="B346" s="5" t="s">
        <v>618</v>
      </c>
      <c r="C346" s="6">
        <v>2.0</v>
      </c>
      <c r="D346" s="9" t="s">
        <v>619</v>
      </c>
      <c r="E346" s="8" t="str">
        <f>IFERROR(__xludf.DUMMYFUNCTION("googletranslate(D346,""id"",""en"")"),"It seems like if it's hard to get him, you have to follow the government's strategy, the PPKM strategy ... Slowly I approached Mamahnya")</f>
        <v>It seems like if it's hard to get him, you have to follow the government's strategy, the PPKM strategy ... Slowly I approached Mamahnya</v>
      </c>
    </row>
    <row r="347" ht="15.75" customHeight="1">
      <c r="A347" s="2">
        <v>346.0</v>
      </c>
      <c r="B347" s="5" t="s">
        <v>620</v>
      </c>
      <c r="C347" s="6">
        <v>1.0</v>
      </c>
      <c r="D347" s="7" t="s">
        <v>620</v>
      </c>
      <c r="E347" s="8" t="str">
        <f>IFERROR(__xludf.DUMMYFUNCTION("googletranslate(D347,""id"",""en"")"),"PPKM: ""Mr. President when to retreat""")</f>
        <v>PPKM: "Mr. President when to retreat"</v>
      </c>
    </row>
    <row r="348" ht="15.75" customHeight="1">
      <c r="A348" s="2">
        <v>347.0</v>
      </c>
      <c r="B348" s="5" t="s">
        <v>621</v>
      </c>
      <c r="C348" s="6">
        <v>1.0</v>
      </c>
      <c r="D348" s="7" t="s">
        <v>621</v>
      </c>
      <c r="E348" s="8" t="str">
        <f>IFERROR(__xludf.DUMMYFUNCTION("googletranslate(D348,""id"",""en"")"),"Already many main plans, EE PPKM")</f>
        <v>Already many main plans, EE PPKM</v>
      </c>
    </row>
    <row r="349" ht="15.75" customHeight="1">
      <c r="A349" s="2">
        <v>348.0</v>
      </c>
      <c r="B349" s="5" t="s">
        <v>622</v>
      </c>
      <c r="C349" s="6">
        <v>2.0</v>
      </c>
      <c r="D349" s="7" t="s">
        <v>623</v>
      </c>
      <c r="E349" s="8" t="str">
        <f>IFERROR(__xludf.DUMMYFUNCTION("googletranslate(D349,""id"",""en"")"),"Monday in the PPKM period, Commuterline Tangerang - Duri is quiet")</f>
        <v>Monday in the PPKM period, Commuterline Tangerang - Duri is quiet</v>
      </c>
    </row>
    <row r="350" ht="15.75" customHeight="1">
      <c r="A350" s="2">
        <v>349.0</v>
      </c>
      <c r="B350" s="5" t="s">
        <v>624</v>
      </c>
      <c r="C350" s="6">
        <v>2.0</v>
      </c>
      <c r="D350" s="7" t="s">
        <v>624</v>
      </c>
      <c r="E350" s="8" t="str">
        <f>IFERROR(__xludf.DUMMYFUNCTION("googletranslate(D350,""id"",""en"")"),"ppkm at home aja, the work of the work is teroskkk terossssss")</f>
        <v>ppkm at home aja, the work of the work is teroskkk terossssss</v>
      </c>
    </row>
    <row r="351" ht="15.75" customHeight="1">
      <c r="A351" s="2">
        <v>350.0</v>
      </c>
      <c r="B351" s="5" t="s">
        <v>625</v>
      </c>
      <c r="C351" s="6">
        <v>1.0</v>
      </c>
      <c r="D351" s="7" t="s">
        <v>626</v>
      </c>
      <c r="E351" s="8" t="str">
        <f>IFERROR(__xludf.DUMMYFUNCTION("googletranslate(D351,""id"",""en"")"),"Ppkm = slowly communist entered")</f>
        <v>Ppkm = slowly communist entered</v>
      </c>
    </row>
    <row r="352" ht="15.75" customHeight="1">
      <c r="A352" s="2">
        <v>351.0</v>
      </c>
      <c r="B352" s="5" t="s">
        <v>627</v>
      </c>
      <c r="C352" s="6">
        <v>1.0</v>
      </c>
      <c r="D352" s="7" t="s">
        <v>628</v>
      </c>
      <c r="E352" s="8" t="str">
        <f>IFERROR(__xludf.DUMMYFUNCTION("googletranslate(D352,""id"",""en"")"),"Ppkm = definitely full of trains mah")</f>
        <v>Ppkm = definitely full of trains mah</v>
      </c>
    </row>
    <row r="353" ht="15.75" customHeight="1">
      <c r="A353" s="2">
        <v>352.0</v>
      </c>
      <c r="B353" s="5" t="s">
        <v>629</v>
      </c>
      <c r="C353" s="6">
        <v>1.0</v>
      </c>
      <c r="D353" s="9" t="s">
        <v>629</v>
      </c>
      <c r="E353" s="8" t="str">
        <f>IFERROR(__xludf.DUMMYFUNCTION("googletranslate(D353,""id"",""en"")"),"Emergency PPKM. Ineffective, forbid / close mobilotas people, how come everyone checks? Will be more effective in instructions to the office, through RT. Or the apparatus of each kelurahan ... capeeek dech")</f>
        <v>Emergency PPKM. Ineffective, forbid / close mobilotas people, how come everyone checks? Will be more effective in instructions to the office, through RT. Or the apparatus of each kelurahan ... capeeek dech</v>
      </c>
    </row>
    <row r="354" ht="15.75" customHeight="1">
      <c r="A354" s="2">
        <v>353.0</v>
      </c>
      <c r="B354" s="5" t="s">
        <v>630</v>
      </c>
      <c r="C354" s="6">
        <v>1.0</v>
      </c>
      <c r="D354" s="7" t="s">
        <v>631</v>
      </c>
      <c r="E354" s="8" t="str">
        <f>IFERROR(__xludf.DUMMYFUNCTION("googletranslate(D354,""id"",""en"")"),"The main thing is the Eid al-Adha H and the continiest qurban event we carry out for the devoted ummah .. TKA China continues to come in the PPKM period and arrive at Hasanuddin Airport on 7/29, how come the ummah is prohibited from praying Eid al-Adha .."&amp;". ???")</f>
        <v>The main thing is the Eid al-Adha H and the continiest qurban event we carry out for the devoted ummah .. TKA China continues to come in the PPKM period and arrive at Hasanuddin Airport on 7/29, how come the ummah is prohibited from praying Eid al-Adha ... ???</v>
      </c>
    </row>
    <row r="355" ht="15.75" customHeight="1">
      <c r="A355" s="2">
        <v>354.0</v>
      </c>
      <c r="B355" s="5" t="s">
        <v>632</v>
      </c>
      <c r="C355" s="6">
        <v>2.0</v>
      </c>
      <c r="D355" s="7" t="s">
        <v>632</v>
      </c>
      <c r="E355" s="8" t="str">
        <f>IFERROR(__xludf.DUMMYFUNCTION("googletranslate(D355,""id"",""en"")"),"Tables instead of PPKM are prohibited from roads?")</f>
        <v>Tables instead of PPKM are prohibited from roads?</v>
      </c>
    </row>
    <row r="356" ht="15.75" customHeight="1">
      <c r="A356" s="2">
        <v>355.0</v>
      </c>
      <c r="B356" s="5" t="s">
        <v>633</v>
      </c>
      <c r="C356" s="6">
        <v>2.0</v>
      </c>
      <c r="D356" s="7" t="s">
        <v>634</v>
      </c>
      <c r="E356" s="8" t="str">
        <f>IFERROR(__xludf.DUMMYFUNCTION("googletranslate(D356,""id"",""en"")"),"Do you want PPKM or not?")</f>
        <v>Do you want PPKM or not?</v>
      </c>
    </row>
    <row r="357" ht="15.75" customHeight="1">
      <c r="A357" s="2">
        <v>356.0</v>
      </c>
      <c r="B357" s="5" t="s">
        <v>635</v>
      </c>
      <c r="C357" s="6">
        <v>1.0</v>
      </c>
      <c r="D357" s="7" t="s">
        <v>636</v>
      </c>
      <c r="E357" s="8" t="str">
        <f>IFERROR(__xludf.DUMMYFUNCTION("googletranslate(D357,""id"",""en"")"),"It's been a more than a year, the funds of hundreds of trillions have been abis, have full control for the law. At this time still blame the people. Ppkm..pak president when to retreat ...")</f>
        <v>It's been a more than a year, the funds of hundreds of trillions have been abis, have full control for the law. At this time still blame the people. Ppkm..pak president when to retreat ...</v>
      </c>
    </row>
    <row r="358" ht="15.75" customHeight="1">
      <c r="A358" s="2">
        <v>357.0</v>
      </c>
      <c r="B358" s="5" t="s">
        <v>637</v>
      </c>
      <c r="C358" s="6">
        <v>2.0</v>
      </c>
      <c r="D358" s="7" t="s">
        <v>638</v>
      </c>
      <c r="E358" s="8" t="str">
        <f>IFERROR(__xludf.DUMMYFUNCTION("googletranslate(D358,""id"",""en"")"),"Ppkm or not, the age of playing is still being told to go home to sunset")</f>
        <v>Ppkm or not, the age of playing is still being told to go home to sunset</v>
      </c>
    </row>
    <row r="359" ht="15.75" customHeight="1">
      <c r="A359" s="2">
        <v>358.0</v>
      </c>
      <c r="B359" s="5" t="s">
        <v>639</v>
      </c>
      <c r="C359" s="6">
        <v>1.0</v>
      </c>
      <c r="D359" s="7" t="s">
        <v>640</v>
      </c>
      <c r="E359" s="8" t="str">
        <f>IFERROR(__xludf.DUMMYFUNCTION("googletranslate(D359,""id"",""en"")"),"PPKM = Slowly Communists Enter ... When I don't ...")</f>
        <v>PPKM = Slowly Communists Enter ... When I don't ...</v>
      </c>
    </row>
    <row r="360" ht="15.75" customHeight="1">
      <c r="A360" s="2">
        <v>359.0</v>
      </c>
      <c r="B360" s="5" t="s">
        <v>641</v>
      </c>
      <c r="C360" s="6">
        <v>2.0</v>
      </c>
      <c r="D360" s="7" t="s">
        <v>642</v>
      </c>
      <c r="E360" s="8" t="str">
        <f>IFERROR(__xludf.DUMMYFUNCTION("googletranslate(D360,""id"",""en"")"),"Good morning. I want to collect diploma photos. Can I go to UPBJJ if you are now PPKM? TRIMS.")</f>
        <v>Good morning. I want to collect diploma photos. Can I go to UPBJJ if you are now PPKM? TRIMS.</v>
      </c>
    </row>
    <row r="361" ht="15.75" customHeight="1">
      <c r="A361" s="2">
        <v>360.0</v>
      </c>
      <c r="B361" s="5" t="s">
        <v>643</v>
      </c>
      <c r="C361" s="6">
        <v>1.0</v>
      </c>
      <c r="D361" s="9" t="s">
        <v>644</v>
      </c>
      <c r="E361" s="8" t="str">
        <f>IFERROR(__xludf.DUMMYFUNCTION("googletranslate(D361,""id"",""en"")"),"Good morning PPKM world full of blessings, opportunities, challenges and deceences")</f>
        <v>Good morning PPKM world full of blessings, opportunities, challenges and deceences</v>
      </c>
    </row>
    <row r="362" ht="15.75" customHeight="1">
      <c r="A362" s="2">
        <v>361.0</v>
      </c>
      <c r="B362" s="5" t="s">
        <v>645</v>
      </c>
      <c r="C362" s="6">
        <v>1.0</v>
      </c>
      <c r="D362" s="9" t="s">
        <v>646</v>
      </c>
      <c r="E362" s="8" t="str">
        <f>IFERROR(__xludf.DUMMYFUNCTION("googletranslate(D362,""id"",""en"")"),"PPKM? (Want to hug you sweet) Not a government-style PPKM. People scream.")</f>
        <v>PPKM? (Want to hug you sweet) Not a government-style PPKM. People scream.</v>
      </c>
    </row>
    <row r="363" ht="15.75" customHeight="1">
      <c r="A363" s="2">
        <v>362.0</v>
      </c>
      <c r="B363" s="5" t="s">
        <v>647</v>
      </c>
      <c r="C363" s="6">
        <v>1.0</v>
      </c>
      <c r="D363" s="7" t="s">
        <v>648</v>
      </c>
      <c r="E363" s="8" t="str">
        <f>IFERROR(__xludf.DUMMYFUNCTION("googletranslate(D363,""id"",""en"")"),"What is PPKM? KRL Masi Ajaa")</f>
        <v>What is PPKM? KRL Masi Ajaa</v>
      </c>
    </row>
    <row r="364" ht="15.75" customHeight="1">
      <c r="A364" s="2">
        <v>363.0</v>
      </c>
      <c r="B364" s="5" t="s">
        <v>649</v>
      </c>
      <c r="C364" s="6">
        <v>1.0</v>
      </c>
      <c r="D364" s="7" t="s">
        <v>575</v>
      </c>
      <c r="E364" s="8" t="str">
        <f>IFERROR(__xludf.DUMMYFUNCTION("googletranslate(D364,""id"",""en"")"),"PPKM Mr. President when to retreat")</f>
        <v>PPKM Mr. President when to retreat</v>
      </c>
    </row>
    <row r="365" ht="15.75" customHeight="1">
      <c r="A365" s="2">
        <v>364.0</v>
      </c>
      <c r="B365" s="5" t="s">
        <v>650</v>
      </c>
      <c r="C365" s="6">
        <v>1.0</v>
      </c>
      <c r="D365" s="7" t="s">
        <v>651</v>
      </c>
      <c r="E365" s="8" t="str">
        <f>IFERROR(__xludf.DUMMYFUNCTION("googletranslate(D365,""id"",""en"")"),"Rizal Fadillah: Emergency Emergency PPKM Regime Avoid the Chapter Law that requires feeding residents")</f>
        <v>Rizal Fadillah: Emergency Emergency PPKM Regime Avoid the Chapter Law that requires feeding residents</v>
      </c>
    </row>
    <row r="366" ht="15.75" customHeight="1">
      <c r="A366" s="2">
        <v>365.0</v>
      </c>
      <c r="B366" s="5" t="s">
        <v>652</v>
      </c>
      <c r="C366" s="6">
        <v>1.0</v>
      </c>
      <c r="D366" s="7" t="s">
        <v>652</v>
      </c>
      <c r="E366" s="8" t="str">
        <f>IFERROR(__xludf.DUMMYFUNCTION("googletranslate(D366,""id"",""en"")"),"Mr. President when backwards ?? His theory of Emergency PPKM But the practice of Lockdown is the responsibility? To the people")</f>
        <v>Mr. President when backwards ?? His theory of Emergency PPKM But the practice of Lockdown is the responsibility? To the people</v>
      </c>
    </row>
    <row r="367" ht="15.75" customHeight="1">
      <c r="A367" s="2">
        <v>366.0</v>
      </c>
      <c r="B367" s="5" t="s">
        <v>653</v>
      </c>
      <c r="C367" s="6">
        <v>3.0</v>
      </c>
      <c r="D367" s="9" t="s">
        <v>654</v>
      </c>
      <c r="E367" s="8" t="str">
        <f>IFERROR(__xludf.DUMMYFUNCTION("googletranslate(D367,""id"",""en"")"),"Thanks to PPKMkalo there is no ppkm, it is definitely not the beginning of the morning the sky is full of pollution until the pollution continues")</f>
        <v>Thanks to PPKMkalo there is no ppkm, it is definitely not the beginning of the morning the sky is full of pollution until the pollution continues</v>
      </c>
    </row>
    <row r="368" ht="15.75" customHeight="1">
      <c r="A368" s="2">
        <v>367.0</v>
      </c>
      <c r="B368" s="5" t="s">
        <v>655</v>
      </c>
      <c r="C368" s="6">
        <v>3.0</v>
      </c>
      <c r="D368" s="7" t="s">
        <v>655</v>
      </c>
      <c r="E368" s="8" t="str">
        <f>IFERROR(__xludf.DUMMYFUNCTION("googletranslate(D368,""id"",""en"")"),"Hence, coordination and synergy related to the implementation of emergency PPKM with various related parties must continue to be done")</f>
        <v>Hence, coordination and synergy related to the implementation of emergency PPKM with various related parties must continue to be done</v>
      </c>
    </row>
    <row r="369" ht="15.75" customHeight="1">
      <c r="A369" s="2">
        <v>368.0</v>
      </c>
      <c r="B369" s="5" t="s">
        <v>656</v>
      </c>
      <c r="C369" s="6">
        <v>1.0</v>
      </c>
      <c r="D369" s="7" t="s">
        <v>657</v>
      </c>
      <c r="E369" s="8" t="str">
        <f>IFERROR(__xludf.DUMMYFUNCTION("googletranslate(D369,""id"",""en"")"),"Make sure the content is sure to realize, and the intention of course. I am not able to make a joke without realizing it")</f>
        <v>Make sure the content is sure to realize, and the intention of course. I am not able to make a joke without realizing it</v>
      </c>
    </row>
    <row r="370" ht="15.75" customHeight="1">
      <c r="A370" s="2">
        <v>369.0</v>
      </c>
      <c r="B370" s="5" t="s">
        <v>658</v>
      </c>
      <c r="C370" s="6">
        <v>1.0</v>
      </c>
      <c r="D370" s="11" t="str">
        <f> PPKM</f>
        <v>#NAME?</v>
      </c>
      <c r="E370" s="8" t="str">
        <f>IFERROR(__xludf.DUMMYFUNCTION("googletranslate(D370,""id"",""en"")"),"#NAME?")</f>
        <v>#NAME?</v>
      </c>
    </row>
    <row r="371" ht="15.75" customHeight="1">
      <c r="A371" s="2">
        <v>370.0</v>
      </c>
      <c r="B371" s="5" t="s">
        <v>659</v>
      </c>
      <c r="C371" s="6">
        <v>2.0</v>
      </c>
      <c r="D371" s="7" t="s">
        <v>660</v>
      </c>
      <c r="E371" s="8" t="str">
        <f>IFERROR(__xludf.DUMMYFUNCTION("googletranslate(D371,""id"",""en"")"),"LDR is not because of the distance but PPKM")</f>
        <v>LDR is not because of the distance but PPKM</v>
      </c>
    </row>
    <row r="372" ht="15.75" customHeight="1">
      <c r="A372" s="2">
        <v>371.0</v>
      </c>
      <c r="B372" s="5" t="s">
        <v>661</v>
      </c>
      <c r="C372" s="6">
        <v>1.0</v>
      </c>
      <c r="D372" s="7" t="s">
        <v>662</v>
      </c>
      <c r="E372" s="8" t="str">
        <f>IFERROR(__xludf.DUMMYFUNCTION("googletranslate(D372,""id"",""en"")"),"Ppkm ... the president when to cry ...")</f>
        <v>Ppkm ... the president when to cry ...</v>
      </c>
    </row>
    <row r="373" ht="15.75" customHeight="1">
      <c r="A373" s="2">
        <v>372.0</v>
      </c>
      <c r="B373" s="5" t="s">
        <v>663</v>
      </c>
      <c r="C373" s="6">
        <v>3.0</v>
      </c>
      <c r="D373" s="7" t="s">
        <v>664</v>
      </c>
      <c r="E373" s="8" t="str">
        <f>IFERROR(__xludf.DUMMYFUNCTION("googletranslate(D373,""id"",""en"")"),"Supporting President Joko Widodo's decision regarding the implementation of the Emergency PPKM to recover the nation")</f>
        <v>Supporting President Joko Widodo's decision regarding the implementation of the Emergency PPKM to recover the nation</v>
      </c>
    </row>
    <row r="374" ht="15.75" customHeight="1">
      <c r="A374" s="2">
        <v>373.0</v>
      </c>
      <c r="B374" s="5" t="s">
        <v>665</v>
      </c>
      <c r="C374" s="6">
        <v>1.0</v>
      </c>
      <c r="D374" s="9" t="s">
        <v>666</v>
      </c>
      <c r="E374" s="8" t="str">
        <f>IFERROR(__xludf.DUMMYFUNCTION("googletranslate(D374,""id"",""en"")"),"Different greetings are equally good Lockdown, PPKM, PSBB etc. The state must bear the risk of living during quarantine ...")</f>
        <v>Different greetings are equally good Lockdown, PPKM, PSBB etc. The state must bear the risk of living during quarantine ...</v>
      </c>
    </row>
    <row r="375" ht="15.75" customHeight="1">
      <c r="A375" s="2">
        <v>374.0</v>
      </c>
      <c r="B375" s="5" t="s">
        <v>667</v>
      </c>
      <c r="C375" s="6">
        <v>3.0</v>
      </c>
      <c r="D375" s="7" t="s">
        <v>667</v>
      </c>
      <c r="E375" s="8" t="str">
        <f>IFERROR(__xludf.DUMMYFUNCTION("googletranslate(D375,""id"",""en"")"),"Emergency PPKM according to President Jokowi's instructions is a great hope for us to suppress the spread of Covid-19 cases in East Java")</f>
        <v>Emergency PPKM according to President Jokowi's instructions is a great hope for us to suppress the spread of Covid-19 cases in East Java</v>
      </c>
    </row>
    <row r="376" ht="15.75" customHeight="1">
      <c r="A376" s="2">
        <v>375.0</v>
      </c>
      <c r="B376" s="5" t="s">
        <v>668</v>
      </c>
      <c r="C376" s="6">
        <v>1.0</v>
      </c>
      <c r="D376" s="9" t="s">
        <v>669</v>
      </c>
      <c r="E376" s="8" t="str">
        <f>IFERROR(__xludf.DUMMYFUNCTION("googletranslate(D376,""id"",""en"")"),"It's true that the Rosulullohkini said happened ... ""If a business is handed over to the expert then ... wait for the destruction"". PPKM.")</f>
        <v>It's true that the Rosulullohkini said happened ... "If a business is handed over to the expert then ... wait for the destruction". PPKM.</v>
      </c>
    </row>
    <row r="377" ht="15.75" customHeight="1">
      <c r="A377" s="2">
        <v>376.0</v>
      </c>
      <c r="B377" s="5" t="s">
        <v>670</v>
      </c>
      <c r="C377" s="6">
        <v>1.0</v>
      </c>
      <c r="D377" s="7" t="s">
        <v>671</v>
      </c>
      <c r="E377" s="8" t="str">
        <f>IFERROR(__xludf.DUMMYFUNCTION("googletranslate(D377,""id"",""en"")"),"Examples of Friendship Concepts with Foreign State: Enter as many TKA as possible from China, PPKM? ""We're a friend of Kadrun"" !!")</f>
        <v>Examples of Friendship Concepts with Foreign State: Enter as many TKA as possible from China, PPKM? "We're a friend of Kadrun" !!</v>
      </c>
    </row>
    <row r="378" ht="15.75" customHeight="1">
      <c r="A378" s="2">
        <v>377.0</v>
      </c>
      <c r="B378" s="5" t="s">
        <v>672</v>
      </c>
      <c r="C378" s="6">
        <v>1.0</v>
      </c>
      <c r="D378" s="7" t="s">
        <v>673</v>
      </c>
      <c r="E378" s="8" t="str">
        <f>IFERROR(__xludf.DUMMYFUNCTION("googletranslate(D378,""id"",""en"")"),"PPKM PRTAMA business day..indonesia bebal ... not just the government ... the people too -_-")</f>
        <v>PPKM PRTAMA business day..indonesia bebal ... not just the government ... the people too -_-</v>
      </c>
    </row>
    <row r="379" ht="15.75" customHeight="1">
      <c r="A379" s="2">
        <v>378.0</v>
      </c>
      <c r="B379" s="5" t="s">
        <v>674</v>
      </c>
      <c r="C379" s="6">
        <v>1.0</v>
      </c>
      <c r="D379" s="7" t="s">
        <v>675</v>
      </c>
      <c r="E379" s="8" t="str">
        <f>IFERROR(__xludf.DUMMYFUNCTION("googletranslate(D379,""id"",""en"")"),"Ppkmproject p ........ sacrifice society")</f>
        <v>Ppkmproject p ........ sacrifice society</v>
      </c>
    </row>
    <row r="380" ht="15.75" customHeight="1">
      <c r="A380" s="2">
        <v>379.0</v>
      </c>
      <c r="B380" s="5" t="s">
        <v>676</v>
      </c>
      <c r="C380" s="6">
        <v>2.0</v>
      </c>
      <c r="D380" s="7" t="s">
        <v>676</v>
      </c>
      <c r="E380" s="8" t="str">
        <f>IFERROR(__xludf.DUMMYFUNCTION("googletranslate(D380,""id"",""en"")"),"/ JBRFESS / REK, does anyone know, during this PPKM, the source of love is open? Thanks")</f>
        <v>/ JBRFESS / REK, does anyone know, during this PPKM, the source of love is open? Thanks</v>
      </c>
    </row>
    <row r="381" ht="15.75" customHeight="1">
      <c r="A381" s="2">
        <v>380.0</v>
      </c>
      <c r="B381" s="5" t="s">
        <v>677</v>
      </c>
      <c r="C381" s="6">
        <v>1.0</v>
      </c>
      <c r="D381" s="7" t="s">
        <v>678</v>
      </c>
      <c r="E381" s="8" t="str">
        <f>IFERROR(__xludf.DUMMYFUNCTION("googletranslate(D381,""id"",""en"")"),"Mr. President when to retreat (PPKM)")</f>
        <v>Mr. President when to retreat (PPKM)</v>
      </c>
    </row>
    <row r="382" ht="15.75" customHeight="1">
      <c r="A382" s="2">
        <v>381.0</v>
      </c>
      <c r="B382" s="5" t="s">
        <v>679</v>
      </c>
      <c r="C382" s="6">
        <v>1.0</v>
      </c>
      <c r="D382" s="7" t="s">
        <v>680</v>
      </c>
      <c r="E382" s="8" t="str">
        <f>IFERROR(__xludf.DUMMYFUNCTION("googletranslate(D382,""id"",""en"")"),"So it's clear ... LBP ordered JKW to appoint LBP as a PPKM commander ...")</f>
        <v>So it's clear ... LBP ordered JKW to appoint LBP as a PPKM commander ...</v>
      </c>
    </row>
    <row r="383" ht="15.75" customHeight="1">
      <c r="A383" s="2">
        <v>382.0</v>
      </c>
      <c r="B383" s="5" t="s">
        <v>681</v>
      </c>
      <c r="C383" s="6">
        <v>2.0</v>
      </c>
      <c r="D383" s="7" t="s">
        <v>682</v>
      </c>
      <c r="E383" s="8" t="str">
        <f>IFERROR(__xludf.DUMMYFUNCTION("googletranslate(D383,""id"",""en"")"),"I: The intention to save during PPKM.Shopi and Lajadah: Hold My Sale.")</f>
        <v>I: The intention to save during PPKM.Shopi and Lajadah: Hold My Sale.</v>
      </c>
    </row>
    <row r="384" ht="15.75" customHeight="1">
      <c r="A384" s="2">
        <v>383.0</v>
      </c>
      <c r="B384" s="5" t="s">
        <v>683</v>
      </c>
      <c r="C384" s="6">
        <v>2.0</v>
      </c>
      <c r="D384" s="9" t="s">
        <v>684</v>
      </c>
      <c r="E384" s="8" t="str">
        <f>IFERROR(__xludf.DUMMYFUNCTION("googletranslate(D384,""id"",""en"")"),"Ppkm or not, I rarely leave the house because I'm nolep")</f>
        <v>Ppkm or not, I rarely leave the house because I'm nolep</v>
      </c>
    </row>
    <row r="385" ht="15.75" customHeight="1">
      <c r="A385" s="2">
        <v>384.0</v>
      </c>
      <c r="B385" s="5" t="s">
        <v>685</v>
      </c>
      <c r="C385" s="6">
        <v>1.0</v>
      </c>
      <c r="D385" s="9" t="s">
        <v>686</v>
      </c>
      <c r="E385" s="8" t="str">
        <f>IFERROR(__xludf.DUMMYFUNCTION("googletranslate(D385,""id"",""en"")"),"Inj of yesterday's incident on Jl Kartini Depok who hrs the direction Krn Jl Margonda is closed because of PPKM, a resident is confused about looking for a road, until reckless opponents. Klo wants to close the road, bro, the route that is passed away")</f>
        <v>Inj of yesterday's incident on Jl Kartini Depok who hrs the direction Krn Jl Margonda is closed because of PPKM, a resident is confused about looking for a road, until reckless opponents. Klo wants to close the road, bro, the route that is passed away</v>
      </c>
    </row>
    <row r="386" ht="15.75" customHeight="1">
      <c r="A386" s="2">
        <v>385.0</v>
      </c>
      <c r="B386" s="5" t="s">
        <v>687</v>
      </c>
      <c r="C386" s="6">
        <v>3.0</v>
      </c>
      <c r="D386" s="9" t="s">
        <v>688</v>
      </c>
      <c r="E386" s="8" t="str">
        <f>IFERROR(__xludf.DUMMYFUNCTION("googletranslate(D386,""id"",""en"")"),"Surely God does not change the state of something before they change their own circumstances ... (QS Ar-Rad [13] :) We are trying with Emergency PPKM and national vaccination programs, hopefully patiently can walk and succeed according to expectations ...")</f>
        <v>Surely God does not change the state of something before they change their own circumstances ... (QS Ar-Rad [13] :) We are trying with Emergency PPKM and national vaccination programs, hopefully patiently can walk and succeed according to expectations ...</v>
      </c>
    </row>
    <row r="387" ht="15.75" customHeight="1">
      <c r="A387" s="2">
        <v>386.0</v>
      </c>
      <c r="B387" s="5" t="s">
        <v>689</v>
      </c>
      <c r="C387" s="6">
        <v>1.0</v>
      </c>
      <c r="D387" s="7" t="s">
        <v>690</v>
      </c>
      <c r="E387" s="8" t="str">
        <f>IFERROR(__xludf.DUMMYFUNCTION("googletranslate(D387,""id"",""en"")"),"... JNG SMPI or PPKM Garang in Medsos, Weak in the Field")</f>
        <v>... JNG SMPI or PPKM Garang in Medsos, Weak in the Field</v>
      </c>
    </row>
    <row r="388" ht="15.75" customHeight="1">
      <c r="A388" s="2">
        <v>387.0</v>
      </c>
      <c r="B388" s="5" t="s">
        <v>691</v>
      </c>
      <c r="C388" s="6">
        <v>1.0</v>
      </c>
      <c r="D388" s="9" t="s">
        <v>692</v>
      </c>
      <c r="E388" s="8" t="str">
        <f>IFERROR(__xludf.DUMMYFUNCTION("googletranslate(D388,""id"",""en"")"),"That's the power of the government. The community in tightening micro PPKM is even an emergency again made, but the foreign flight is opened, one of the policy policy is made, even though we know the same, the virus comes from abroad, yesterday at the air"&amp;"port in the position just keep it tight")</f>
        <v>That's the power of the government. The community in tightening micro PPKM is even an emergency again made, but the foreign flight is opened, one of the policy policy is made, even though we know the same, the virus comes from abroad, yesterday at the airport in the position just keep it tight</v>
      </c>
    </row>
    <row r="389" ht="15.75" customHeight="1">
      <c r="A389" s="2">
        <v>388.0</v>
      </c>
      <c r="B389" s="5" t="s">
        <v>693</v>
      </c>
      <c r="C389" s="6">
        <v>3.0</v>
      </c>
      <c r="D389" s="7" t="s">
        <v>694</v>
      </c>
      <c r="E389" s="8" t="str">
        <f>IFERROR(__xludf.DUMMYFUNCTION("googletranslate(D389,""id"",""en"")"),"Happy Monday PPKM fighters")</f>
        <v>Happy Monday PPKM fighters</v>
      </c>
    </row>
    <row r="390" ht="15.75" customHeight="1">
      <c r="A390" s="2">
        <v>389.0</v>
      </c>
      <c r="B390" s="5" t="s">
        <v>695</v>
      </c>
      <c r="C390" s="6">
        <v>1.0</v>
      </c>
      <c r="D390" s="7" t="s">
        <v>696</v>
      </c>
      <c r="E390" s="8" t="str">
        <f>IFERROR(__xludf.DUMMYFUNCTION("googletranslate(D390,""id"",""en"")"),"PPKM day to our fingers are getting used to and smoothly writing: Mourning 20210705")</f>
        <v>PPKM day to our fingers are getting used to and smoothly writing: Mourning 20210705</v>
      </c>
    </row>
    <row r="391" ht="15.75" customHeight="1">
      <c r="A391" s="2">
        <v>390.0</v>
      </c>
      <c r="B391" s="5" t="s">
        <v>697</v>
      </c>
      <c r="C391" s="6">
        <v>1.0</v>
      </c>
      <c r="D391" s="7" t="s">
        <v>698</v>
      </c>
      <c r="E391" s="8" t="str">
        <f>IFERROR(__xludf.DUMMYFUNCTION("googletranslate(D391,""id"",""en"")"),"But it was rather vague with his brother, the story was very happy and mara2 about the policy of insulation on the road due to the emergency ppkm which was quite disturbed by the work of him as ojol Street..")</f>
        <v>But it was rather vague with his brother, the story was very happy and mara2 about the policy of insulation on the road due to the emergency ppkm which was quite disturbed by the work of him as ojol Street..</v>
      </c>
    </row>
    <row r="392" ht="15.75" customHeight="1">
      <c r="A392" s="2">
        <v>391.0</v>
      </c>
      <c r="B392" s="5" t="s">
        <v>699</v>
      </c>
      <c r="C392" s="6">
        <v>1.0</v>
      </c>
      <c r="D392" s="9" t="s">
        <v>700</v>
      </c>
      <c r="E392" s="8" t="str">
        <f>IFERROR(__xludf.DUMMYFUNCTION("googletranslate(D392,""id"",""en"")"),"Description on the news portal Viva, CNN and Sebagainyacara briefly they came before going to Jakarta Emergency PPKM, but departing to South Sulawesi when Emergency PPKM was implemented, the question: Emergency PPKM regulations Are allowing out of Java - "&amp;"Bali?")</f>
        <v>Description on the news portal Viva, CNN and Sebagainyacara briefly they came before going to Jakarta Emergency PPKM, but departing to South Sulawesi when Emergency PPKM was implemented, the question: Emergency PPKM regulations Are allowing out of Java - Bali?</v>
      </c>
    </row>
    <row r="393" ht="15.75" customHeight="1">
      <c r="A393" s="2">
        <v>392.0</v>
      </c>
      <c r="B393" s="5" t="s">
        <v>701</v>
      </c>
      <c r="C393" s="6">
        <v>2.0</v>
      </c>
      <c r="D393" s="7" t="s">
        <v>702</v>
      </c>
      <c r="E393" s="8" t="str">
        <f>IFERROR(__xludf.DUMMYFUNCTION("googletranslate(D393,""id"",""en"")"),"Update the first Monday Emergency PPKM: Sepiii Busway")</f>
        <v>Update the first Monday Emergency PPKM: Sepiii Busway</v>
      </c>
    </row>
    <row r="394" ht="15.75" customHeight="1">
      <c r="A394" s="2">
        <v>393.0</v>
      </c>
      <c r="B394" s="5" t="s">
        <v>703</v>
      </c>
      <c r="C394" s="6">
        <v>1.0</v>
      </c>
      <c r="D394" s="7" t="s">
        <v>704</v>
      </c>
      <c r="E394" s="8" t="str">
        <f>IFERROR(__xludf.DUMMYFUNCTION("googletranslate(D394,""id"",""en"")"),"Hehehe ...... ppkm = sir president when to retreat ?! bang edy chanel =======")</f>
        <v>Hehehe ...... ppkm = sir president when to retreat ?! bang edy chanel =======</v>
      </c>
    </row>
    <row r="395" ht="15.75" customHeight="1">
      <c r="A395" s="2">
        <v>394.0</v>
      </c>
      <c r="B395" s="5" t="s">
        <v>705</v>
      </c>
      <c r="C395" s="6">
        <v>2.0</v>
      </c>
      <c r="D395" s="9" t="s">
        <v>706</v>
      </c>
      <c r="E395" s="8" t="str">
        <f>IFERROR(__xludf.DUMMYFUNCTION("googletranslate(D395,""id"",""en"")"),"Love Languange I'm Physical Touch Same Quality Time Yes, I happen to happen to be home I'm not far from Jian's house, so often meet playing first. Ni kept new ppkm how many days I didn't miss yallah")</f>
        <v>Love Languange I'm Physical Touch Same Quality Time Yes, I happen to happen to be home I'm not far from Jian's house, so often meet playing first. Ni kept new ppkm how many days I didn't miss yallah</v>
      </c>
    </row>
    <row r="396" ht="15.75" customHeight="1">
      <c r="A396" s="2">
        <v>395.0</v>
      </c>
      <c r="B396" s="5" t="s">
        <v>707</v>
      </c>
      <c r="C396" s="6">
        <v>1.0</v>
      </c>
      <c r="D396" s="7" t="s">
        <v>708</v>
      </c>
      <c r="E396" s="8" t="str">
        <f>IFERROR(__xludf.DUMMYFUNCTION("googletranslate(D396,""id"",""en"")"),"It's better that the officials are due to the salary of ngealir continue at the PPKM")</f>
        <v>It's better that the officials are due to the salary of ngealir continue at the PPKM</v>
      </c>
    </row>
    <row r="397" ht="15.75" customHeight="1">
      <c r="A397" s="2">
        <v>396.0</v>
      </c>
      <c r="B397" s="5" t="s">
        <v>709</v>
      </c>
      <c r="C397" s="6">
        <v>3.0</v>
      </c>
      <c r="D397" s="7" t="s">
        <v>710</v>
      </c>
      <c r="E397" s="8" t="str">
        <f>IFERROR(__xludf.DUMMYFUNCTION("googletranslate(D397,""id"",""en"")"),"Akuh stop by kang ... support emergency ppkm.")</f>
        <v>Akuh stop by kang ... support emergency ppkm.</v>
      </c>
    </row>
    <row r="398" ht="15.75" customHeight="1">
      <c r="A398" s="2">
        <v>397.0</v>
      </c>
      <c r="B398" s="5" t="s">
        <v>711</v>
      </c>
      <c r="C398" s="6">
        <v>2.0</v>
      </c>
      <c r="D398" s="7" t="s">
        <v>712</v>
      </c>
      <c r="E398" s="8" t="str">
        <f>IFERROR(__xludf.DUMMYFUNCTION("googletranslate(D398,""id"",""en"")"),"Want to say let's go ppkm, just here home. Come on Go Food.")</f>
        <v>Want to say let's go ppkm, just here home. Come on Go Food.</v>
      </c>
    </row>
    <row r="399" ht="15.75" customHeight="1">
      <c r="A399" s="2">
        <v>398.0</v>
      </c>
      <c r="B399" s="5" t="s">
        <v>713</v>
      </c>
      <c r="C399" s="6">
        <v>1.0</v>
      </c>
      <c r="D399" s="7" t="s">
        <v>714</v>
      </c>
      <c r="E399" s="8" t="str">
        <f>IFERROR(__xludf.DUMMYFUNCTION("googletranslate(D399,""id"",""en"")"),"Excited ... Crowded Netizens Call PPKM = Mr. President When to Retreat")</f>
        <v>Excited ... Crowded Netizens Call PPKM = Mr. President When to Retreat</v>
      </c>
    </row>
    <row r="400" ht="15.75" customHeight="1">
      <c r="A400" s="2">
        <v>399.0</v>
      </c>
      <c r="B400" s="5" t="s">
        <v>715</v>
      </c>
      <c r="C400" s="6">
        <v>2.0</v>
      </c>
      <c r="D400" s="7" t="s">
        <v>715</v>
      </c>
      <c r="E400" s="8" t="str">
        <f>IFERROR(__xludf.DUMMYFUNCTION("googletranslate(D400,""id"",""en"")"),"Yesterday PSBB now PPKM might be bought and even pie.")</f>
        <v>Yesterday PSBB now PPKM might be bought and even pie.</v>
      </c>
    </row>
    <row r="401" ht="15.75" customHeight="1">
      <c r="A401" s="2">
        <v>400.0</v>
      </c>
      <c r="B401" s="5" t="s">
        <v>716</v>
      </c>
      <c r="C401" s="6">
        <v>2.0</v>
      </c>
      <c r="D401" s="7" t="s">
        <v>716</v>
      </c>
      <c r="E401" s="8" t="str">
        <f>IFERROR(__xludf.DUMMYFUNCTION("googletranslate(D401,""id"",""en"")"),"PPKM, I slowly like you.")</f>
        <v>PPKM, I slowly like you.</v>
      </c>
    </row>
    <row r="402" ht="15.75" customHeight="1">
      <c r="A402" s="2">
        <v>401.0</v>
      </c>
      <c r="B402" s="5" t="s">
        <v>717</v>
      </c>
      <c r="C402" s="6">
        <v>2.0</v>
      </c>
      <c r="D402" s="10" t="s">
        <v>718</v>
      </c>
      <c r="E402" s="8" t="str">
        <f>IFERROR(__xludf.DUMMYFUNCTION("googletranslate(D402,""id"",""en"")"),"g krasa ppkm ny")</f>
        <v>g krasa ppkm ny</v>
      </c>
    </row>
    <row r="403" ht="15.75" customHeight="1">
      <c r="A403" s="2">
        <v>402.0</v>
      </c>
      <c r="B403" s="5" t="s">
        <v>719</v>
      </c>
      <c r="C403" s="6">
        <v>2.0</v>
      </c>
      <c r="D403" s="10" t="s">
        <v>720</v>
      </c>
      <c r="E403" s="8" t="str">
        <f>IFERROR(__xludf.DUMMYFUNCTION("googletranslate(D403,""id"",""en"")"),"Again close PPKM")</f>
        <v>Again close PPKM</v>
      </c>
    </row>
    <row r="404" ht="15.75" customHeight="1">
      <c r="A404" s="2">
        <v>403.0</v>
      </c>
      <c r="B404" s="5" t="s">
        <v>721</v>
      </c>
      <c r="C404" s="6">
        <v>2.0</v>
      </c>
      <c r="D404" s="7" t="s">
        <v>722</v>
      </c>
      <c r="E404" s="8" t="str">
        <f>IFERROR(__xludf.DUMMYFUNCTION("googletranslate(D404,""id"",""en"")"),"I like PPKM Without PP - Jerome Gombalan")</f>
        <v>I like PPKM Without PP - Jerome Gombalan</v>
      </c>
    </row>
    <row r="405" ht="15.75" customHeight="1">
      <c r="A405" s="2">
        <v>404.0</v>
      </c>
      <c r="B405" s="5" t="s">
        <v>723</v>
      </c>
      <c r="C405" s="6">
        <v>2.0</v>
      </c>
      <c r="D405" s="7" t="s">
        <v>724</v>
      </c>
      <c r="E405" s="8" t="str">
        <f>IFERROR(__xludf.DUMMYFUNCTION("googletranslate(D405,""id"",""en"")"),"PPKMPULANKS Phillip to Merseyside")</f>
        <v>PPKMPULANKS Phillip to Merseyside</v>
      </c>
    </row>
    <row r="406" ht="15.75" customHeight="1">
      <c r="A406" s="2">
        <v>405.0</v>
      </c>
      <c r="B406" s="5" t="s">
        <v>725</v>
      </c>
      <c r="C406" s="6">
        <v>3.0</v>
      </c>
      <c r="D406" s="7" t="s">
        <v>726</v>
      </c>
      <c r="E406" s="8" t="str">
        <f>IFERROR(__xludf.DUMMYFUNCTION("googletranslate(D406,""id"",""en"")"),"One way to prevent transmission of Covid19 viruses, the government has an emergency PPKM policy")</f>
        <v>One way to prevent transmission of Covid19 viruses, the government has an emergency PPKM policy</v>
      </c>
    </row>
    <row r="407" ht="15.75" customHeight="1">
      <c r="A407" s="2">
        <v>406.0</v>
      </c>
      <c r="B407" s="5" t="s">
        <v>727</v>
      </c>
      <c r="C407" s="6">
        <v>1.0</v>
      </c>
      <c r="D407" s="9" t="s">
        <v>728</v>
      </c>
      <c r="E407" s="8" t="str">
        <f>IFERROR(__xludf.DUMMYFUNCTION("googletranslate(D407,""id"",""en"")"),"Haloooo Emergency PPKM Want Bkin New Cluster? How many critical sectors? Anyone answered, punten up min the one who asked me, yes, the critical sector isn't there, my medicine doesn't come out")</f>
        <v>Haloooo Emergency PPKM Want Bkin New Cluster? How many critical sectors? Anyone answered, punten up min the one who asked me, yes, the critical sector isn't there, my medicine doesn't come out</v>
      </c>
    </row>
    <row r="408" ht="15.75" customHeight="1">
      <c r="A408" s="2">
        <v>407.0</v>
      </c>
      <c r="B408" s="5" t="s">
        <v>729</v>
      </c>
      <c r="C408" s="6">
        <v>2.0</v>
      </c>
      <c r="D408" s="7" t="s">
        <v>730</v>
      </c>
      <c r="E408" s="8" t="str">
        <f>IFERROR(__xludf.DUMMYFUNCTION("googletranslate(D408,""id"",""en"")"),"Want to make sangu ppkm hahaha")</f>
        <v>Want to make sangu ppkm hahaha</v>
      </c>
    </row>
    <row r="409" ht="15.75" customHeight="1">
      <c r="A409" s="2">
        <v>408.0</v>
      </c>
      <c r="B409" s="5" t="s">
        <v>731</v>
      </c>
      <c r="C409" s="6">
        <v>3.0</v>
      </c>
      <c r="D409" s="7" t="s">
        <v>732</v>
      </c>
      <c r="E409" s="8" t="str">
        <f>IFERROR(__xludf.DUMMYFUNCTION("googletranslate(D409,""id"",""en"")"),"Synergize with the Indonesian National Police, Banser Kab. Malang did actively appeal to the community to remain a proceennial discipline carried out every night since the implementation of emergency PPKM in vital objects, markets, cafes, stalls also plac"&amp;"es of worship")</f>
        <v>Synergize with the Indonesian National Police, Banser Kab. Malang did actively appeal to the community to remain a proceennial discipline carried out every night since the implementation of emergency PPKM in vital objects, markets, cafes, stalls also places of worship</v>
      </c>
    </row>
    <row r="410" ht="15.75" customHeight="1">
      <c r="A410" s="2">
        <v>409.0</v>
      </c>
      <c r="B410" s="5" t="s">
        <v>733</v>
      </c>
      <c r="C410" s="6">
        <v>3.0</v>
      </c>
      <c r="D410" s="7" t="s">
        <v>734</v>
      </c>
      <c r="E410" s="8" t="str">
        <f>IFERROR(__xludf.DUMMYFUNCTION("googletranslate(D410,""id"",""en"")"),"Less what is trying the government, many things have done, starting from A to Z, from Help A to Z, Ayok Laksanakn Micro PPKM")</f>
        <v>Less what is trying the government, many things have done, starting from A to Z, from Help A to Z, Ayok Laksanakn Micro PPKM</v>
      </c>
    </row>
    <row r="411" ht="15.75" customHeight="1">
      <c r="A411" s="2">
        <v>410.0</v>
      </c>
      <c r="B411" s="5" t="s">
        <v>735</v>
      </c>
      <c r="C411" s="6">
        <v>3.0</v>
      </c>
      <c r="D411" s="9" t="s">
        <v>736</v>
      </c>
      <c r="E411" s="8" t="str">
        <f>IFERROR(__xludf.DUMMYFUNCTION("googletranslate(D411,""id"",""en"")"),"Live in the present. This time. Don't know the past. There is no future. Do the best record of the main restrictions: complain, follow the PPKM Stay at home and obedient prokes")</f>
        <v>Live in the present. This time. Don't know the past. There is no future. Do the best record of the main restrictions: complain, follow the PPKM Stay at home and obedient prokes</v>
      </c>
    </row>
    <row r="412" ht="15.75" customHeight="1">
      <c r="A412" s="2">
        <v>411.0</v>
      </c>
      <c r="B412" s="5" t="s">
        <v>737</v>
      </c>
      <c r="C412" s="6">
        <v>3.0</v>
      </c>
      <c r="D412" s="7" t="s">
        <v>738</v>
      </c>
      <c r="E412" s="8" t="str">
        <f>IFERROR(__xludf.DUMMYFUNCTION("googletranslate(D412,""id"",""en"")"),"So dong for our goodness all ........ our presidium, Gatot Nurmantyo, call the Java-Bali Emergency PPKM step right")</f>
        <v>So dong for our goodness all ........ our presidium, Gatot Nurmantyo, call the Java-Bali Emergency PPKM step right</v>
      </c>
    </row>
    <row r="413" ht="15.75" customHeight="1">
      <c r="A413" s="2">
        <v>412.0</v>
      </c>
      <c r="B413" s="5" t="s">
        <v>739</v>
      </c>
      <c r="C413" s="6">
        <v>1.0</v>
      </c>
      <c r="D413" s="9" t="s">
        <v>739</v>
      </c>
      <c r="E413" s="8" t="str">
        <f>IFERROR(__xludf.DUMMYFUNCTION("googletranslate(D413,""id"",""en"")"),"I haven't been bored at the new house, bro HR ppkm yekan for the sake of the house, for the sake of Kaga Nongki. eh org org even hanging out cafe cafe anjrittt, gada ati bgt lu sat")</f>
        <v>I haven't been bored at the new house, bro HR ppkm yekan for the sake of the house, for the sake of Kaga Nongki. eh org org even hanging out cafe cafe anjrittt, gada ati bgt lu sat</v>
      </c>
    </row>
    <row r="414" ht="15.75" customHeight="1">
      <c r="A414" s="2">
        <v>413.0</v>
      </c>
      <c r="B414" s="5" t="s">
        <v>740</v>
      </c>
      <c r="C414" s="6">
        <v>2.0</v>
      </c>
      <c r="D414" s="7" t="s">
        <v>741</v>
      </c>
      <c r="E414" s="8" t="str">
        <f>IFERROR(__xludf.DUMMYFUNCTION("googletranslate(D414,""id"",""en"")"),"PPKM: Never PDKT then disappeared")</f>
        <v>PPKM: Never PDKT then disappeared</v>
      </c>
    </row>
    <row r="415" ht="15.75" customHeight="1">
      <c r="A415" s="2">
        <v>414.0</v>
      </c>
      <c r="B415" s="5" t="s">
        <v>742</v>
      </c>
      <c r="C415" s="6">
        <v>2.0</v>
      </c>
      <c r="D415" s="7" t="s">
        <v>743</v>
      </c>
      <c r="E415" s="8" t="str">
        <f>IFERROR(__xludf.DUMMYFUNCTION("googletranslate(D415,""id"",""en"")"),"The ppkm jawa bali ya hahhehoucha")</f>
        <v>The ppkm jawa bali ya hahhehoucha</v>
      </c>
    </row>
    <row r="416" ht="15.75" customHeight="1">
      <c r="A416" s="2">
        <v>415.0</v>
      </c>
      <c r="B416" s="5" t="s">
        <v>744</v>
      </c>
      <c r="C416" s="6">
        <v>2.0</v>
      </c>
      <c r="D416" s="7" t="s">
        <v>745</v>
      </c>
      <c r="E416" s="8" t="str">
        <f>IFERROR(__xludf.DUMMYFUNCTION("googletranslate(D416,""id"",""en"")"),"The government applies the Emergency PPKM in Java-Bali, Sundanese, right?")</f>
        <v>The government applies the Emergency PPKM in Java-Bali, Sundanese, right?</v>
      </c>
    </row>
    <row r="417" ht="15.75" customHeight="1">
      <c r="A417" s="2">
        <v>416.0</v>
      </c>
      <c r="B417" s="5" t="s">
        <v>746</v>
      </c>
      <c r="C417" s="6">
        <v>1.0</v>
      </c>
      <c r="D417" s="7" t="s">
        <v>747</v>
      </c>
      <c r="E417" s="8" t="str">
        <f>IFERROR(__xludf.DUMMYFUNCTION("googletranslate(D417,""id"",""en"")"),"The purpose of the PPKM is to overlook the use of vaccines to residents for the Java Bali region, the facts of the Mobilization Terms of Citizens are required to use vaccines ... The Vizine Sales Regime dares to guarantee after using the Covid &amp; Amp Vaksi"&amp;"n Can you remove the mask? Facts after vaccines, covid instead booming")</f>
        <v>The purpose of the PPKM is to overlook the use of vaccines to residents for the Java Bali region, the facts of the Mobilization Terms of Citizens are required to use vaccines ... The Vizine Sales Regime dares to guarantee after using the Covid &amp; Amp Vaksin Can you remove the mask? Facts after vaccines, covid instead booming</v>
      </c>
    </row>
    <row r="418" ht="15.75" customHeight="1">
      <c r="A418" s="2">
        <v>417.0</v>
      </c>
      <c r="B418" s="5" t="s">
        <v>748</v>
      </c>
      <c r="C418" s="6">
        <v>3.0</v>
      </c>
      <c r="D418" s="7" t="s">
        <v>749</v>
      </c>
      <c r="E418" s="8" t="str">
        <f>IFERROR(__xludf.DUMMYFUNCTION("googletranslate(D418,""id"",""en"")"),"The spirit yes who are Emergency PPKM, Stay at Home, Stay Safe ...")</f>
        <v>The spirit yes who are Emergency PPKM, Stay at Home, Stay Safe ...</v>
      </c>
    </row>
    <row r="419" ht="15.75" customHeight="1">
      <c r="A419" s="2">
        <v>418.0</v>
      </c>
      <c r="B419" s="5" t="s">
        <v>750</v>
      </c>
      <c r="C419" s="6">
        <v>2.0</v>
      </c>
      <c r="D419" s="9" t="s">
        <v>751</v>
      </c>
      <c r="E419" s="8" t="str">
        <f>IFERROR(__xludf.DUMMYFUNCTION("googletranslate(D419,""id"",""en"")"),"I like ppkm without pp aw mlu bgt ,,,,")</f>
        <v>I like ppkm without pp aw mlu bgt ,,,,</v>
      </c>
    </row>
    <row r="420" ht="15.75" customHeight="1">
      <c r="A420" s="2">
        <v>419.0</v>
      </c>
      <c r="B420" s="5" t="s">
        <v>752</v>
      </c>
      <c r="C420" s="6">
        <v>1.0</v>
      </c>
      <c r="D420" s="7" t="s">
        <v>753</v>
      </c>
      <c r="E420" s="8" t="str">
        <f>IFERROR(__xludf.DUMMYFUNCTION("googletranslate(D420,""id"",""en"")"),"If you want to apply the Emergency PPKM it's not using a tank, it's also not playing the merchandise, but use a replacement money as the implementation of the behavior of the Law /2018. It's just that you don't think. Don't dare to run it ... stop you to "&amp;"become an official.")</f>
        <v>If you want to apply the Emergency PPKM it's not using a tank, it's also not playing the merchandise, but use a replacement money as the implementation of the behavior of the Law /2018. It's just that you don't think. Don't dare to run it ... stop you to become an official.</v>
      </c>
    </row>
    <row r="421" ht="15.75" customHeight="1">
      <c r="A421" s="2">
        <v>420.0</v>
      </c>
      <c r="B421" s="5" t="s">
        <v>754</v>
      </c>
      <c r="C421" s="6">
        <v>2.0</v>
      </c>
      <c r="D421" s="7" t="s">
        <v>755</v>
      </c>
      <c r="E421" s="8" t="str">
        <f>IFERROR(__xludf.DUMMYFUNCTION("googletranslate(D421,""id"",""en"")"),"Emergency PPKM Emergency Day, Jabodetabek Weather Bright Cloudy")</f>
        <v>Emergency PPKM Emergency Day, Jabodetabek Weather Bright Cloudy</v>
      </c>
    </row>
    <row r="422" ht="15.75" customHeight="1">
      <c r="A422" s="2">
        <v>421.0</v>
      </c>
      <c r="B422" s="5" t="s">
        <v>756</v>
      </c>
      <c r="C422" s="6">
        <v>2.0</v>
      </c>
      <c r="D422" s="7" t="s">
        <v>756</v>
      </c>
      <c r="E422" s="8" t="str">
        <f>IFERROR(__xludf.DUMMYFUNCTION("googletranslate(D422,""id"",""en"")"),"The PPKM I like it slowly we slowly get married")</f>
        <v>The PPKM I like it slowly we slowly get married</v>
      </c>
    </row>
    <row r="423" ht="15.75" customHeight="1">
      <c r="A423" s="2">
        <v>422.0</v>
      </c>
      <c r="B423" s="5" t="s">
        <v>757</v>
      </c>
      <c r="C423" s="6">
        <v>1.0</v>
      </c>
      <c r="D423" s="7" t="s">
        <v>758</v>
      </c>
      <c r="E423" s="8" t="str">
        <f>IFERROR(__xludf.DUMMYFUNCTION("googletranslate(D423,""id"",""en"")"),"Provide massage services during Emergency PPKM, Police of Grebek Hotels in South Jakarta")</f>
        <v>Provide massage services during Emergency PPKM, Police of Grebek Hotels in South Jakarta</v>
      </c>
    </row>
    <row r="424" ht="15.75" customHeight="1">
      <c r="A424" s="2">
        <v>423.0</v>
      </c>
      <c r="B424" s="5" t="s">
        <v>759</v>
      </c>
      <c r="C424" s="6">
        <v>2.0</v>
      </c>
      <c r="D424" s="7" t="s">
        <v>760</v>
      </c>
      <c r="E424" s="8" t="str">
        <f>IFERROR(__xludf.DUMMYFUNCTION("googletranslate(D424,""id"",""en"")"),"Remember yes. The PPKM program is in the Pemerti. Not a provincial government.")</f>
        <v>Remember yes. The PPKM program is in the Pemerti. Not a provincial government.</v>
      </c>
    </row>
    <row r="425" ht="15.75" customHeight="1">
      <c r="A425" s="2">
        <v>424.0</v>
      </c>
      <c r="B425" s="5" t="s">
        <v>761</v>
      </c>
      <c r="C425" s="6">
        <v>1.0</v>
      </c>
      <c r="D425" s="7" t="s">
        <v>762</v>
      </c>
      <c r="E425" s="8" t="str">
        <f>IFERROR(__xludf.DUMMYFUNCTION("googletranslate(D425,""id"",""en"")"),"No more PPKM")</f>
        <v>No more PPKM</v>
      </c>
    </row>
    <row r="426" ht="15.75" customHeight="1">
      <c r="A426" s="2">
        <v>425.0</v>
      </c>
      <c r="B426" s="5" t="s">
        <v>763</v>
      </c>
      <c r="C426" s="6">
        <v>2.0</v>
      </c>
      <c r="D426" s="7" t="s">
        <v>764</v>
      </c>
      <c r="E426" s="8" t="str">
        <f>IFERROR(__xludf.DUMMYFUNCTION("googletranslate(D426,""id"",""en"")"),"I like PPKM without M")</f>
        <v>I like PPKM without M</v>
      </c>
    </row>
    <row r="427" ht="15.75" customHeight="1">
      <c r="A427" s="2">
        <v>426.0</v>
      </c>
      <c r="B427" s="5" t="s">
        <v>765</v>
      </c>
      <c r="C427" s="6">
        <v>2.0</v>
      </c>
      <c r="D427" s="7" t="s">
        <v>766</v>
      </c>
      <c r="E427" s="8" t="str">
        <f>IFERROR(__xludf.DUMMYFUNCTION("googletranslate(D427,""id"",""en"")"),"Emergency PPKM, Ministry of Religion Rembang Limit the Hajj List Service")</f>
        <v>Emergency PPKM, Ministry of Religion Rembang Limit the Hajj List Service</v>
      </c>
    </row>
    <row r="428" ht="15.75" customHeight="1">
      <c r="A428" s="2">
        <v>427.0</v>
      </c>
      <c r="B428" s="5" t="s">
        <v>767</v>
      </c>
      <c r="C428" s="6">
        <v>1.0</v>
      </c>
      <c r="D428" s="7" t="s">
        <v>768</v>
      </c>
      <c r="E428" s="8" t="str">
        <f>IFERROR(__xludf.DUMMYFUNCTION("googletranslate(D428,""id"",""en"")"),"TKA China flights from Wuhan to Soetta Airport, in the Emergency of Java PPKM Bali. Definitely the act of the Minister of Affairs.")</f>
        <v>TKA China flights from Wuhan to Soetta Airport, in the Emergency of Java PPKM Bali. Definitely the act of the Minister of Affairs.</v>
      </c>
    </row>
    <row r="429" ht="15.75" customHeight="1">
      <c r="A429" s="2">
        <v>428.0</v>
      </c>
      <c r="B429" s="5" t="s">
        <v>769</v>
      </c>
      <c r="C429" s="6">
        <v>3.0</v>
      </c>
      <c r="D429" s="7" t="s">
        <v>770</v>
      </c>
      <c r="E429" s="8" t="str">
        <f>IFERROR(__xludf.DUMMYFUNCTION("googletranslate(D429,""id"",""en"")"),"I like PPKmpagii mootskurawrrr * just read the capital letters")</f>
        <v>I like PPKmpagii mootskurawrrr * just read the capital letters</v>
      </c>
    </row>
    <row r="430" ht="15.75" customHeight="1">
      <c r="A430" s="2">
        <v>429.0</v>
      </c>
      <c r="B430" s="5" t="s">
        <v>771</v>
      </c>
      <c r="C430" s="6">
        <v>2.0</v>
      </c>
      <c r="D430" s="7" t="s">
        <v>772</v>
      </c>
      <c r="E430" s="8" t="str">
        <f>IFERROR(__xludf.DUMMYFUNCTION("googletranslate(D430,""id"",""en"")"),"Others; I like PPKM without PP. I; I like PPKM Without Kmkemudian Hit Billkin.")</f>
        <v>Others; I like PPKM without PP. I; I like PPKM Without Kmkemudian Hit Billkin.</v>
      </c>
    </row>
    <row r="431" ht="15.75" customHeight="1">
      <c r="A431" s="2">
        <v>430.0</v>
      </c>
      <c r="B431" s="5" t="s">
        <v>773</v>
      </c>
      <c r="C431" s="6">
        <v>3.0</v>
      </c>
      <c r="D431" s="7" t="s">
        <v>774</v>
      </c>
      <c r="E431" s="8" t="str">
        <f>IFERROR(__xludf.DUMMYFUNCTION("googletranslate(D431,""id"",""en"")"),"PPKM multiply goes to the mosque, with prokes of course")</f>
        <v>PPKM multiply goes to the mosque, with prokes of course</v>
      </c>
    </row>
    <row r="432" ht="15.75" customHeight="1">
      <c r="A432" s="2">
        <v>431.0</v>
      </c>
      <c r="B432" s="5" t="s">
        <v>775</v>
      </c>
      <c r="C432" s="6">
        <v>1.0</v>
      </c>
      <c r="D432" s="7" t="s">
        <v>776</v>
      </c>
      <c r="E432" s="8" t="str">
        <f>IFERROR(__xludf.DUMMYFUNCTION("googletranslate(D432,""id"",""en"")"),"Congestion that occurred at the KMRN PPKM because of the many non-essential offices that still asked employees to enter work ... the unusual stand")</f>
        <v>Congestion that occurred at the KMRN PPKM because of the many non-essential offices that still asked employees to enter work ... the unusual stand</v>
      </c>
    </row>
    <row r="433" ht="15.75" customHeight="1">
      <c r="A433" s="2">
        <v>432.0</v>
      </c>
      <c r="B433" s="5" t="s">
        <v>777</v>
      </c>
      <c r="C433" s="6">
        <v>1.0</v>
      </c>
      <c r="D433" s="7" t="s">
        <v>778</v>
      </c>
      <c r="E433" s="8" t="str">
        <f>IFERROR(__xludf.DUMMYFUNCTION("googletranslate(D433,""id"",""en"")"),"Strange Indonesia ... No government, it's not the people ... weird all. The government set PPKM, but half a half people run PPKM, but a quarter of a quarter just try Misskom, trust each other, at the sort of use mask, hand washing, keep cleaning, keep you"&amp;"r health")</f>
        <v>Strange Indonesia ... No government, it's not the people ... weird all. The government set PPKM, but half a half people run PPKM, but a quarter of a quarter just try Misskom, trust each other, at the sort of use mask, hand washing, keep cleaning, keep your health</v>
      </c>
    </row>
    <row r="434" ht="15.75" customHeight="1">
      <c r="A434" s="2">
        <v>433.0</v>
      </c>
      <c r="B434" s="5" t="s">
        <v>779</v>
      </c>
      <c r="C434" s="6">
        <v>3.0</v>
      </c>
      <c r="D434" s="9" t="s">
        <v>780</v>
      </c>
      <c r="E434" s="8" t="str">
        <f>IFERROR(__xludf.DUMMYFUNCTION("googletranslate(D434,""id"",""en"")"),"Fast movement of the government is extraordinary, it should be supported by the people, by compliance with micro PPKM, carrying out prokes.")</f>
        <v>Fast movement of the government is extraordinary, it should be supported by the people, by compliance with micro PPKM, carrying out prokes.</v>
      </c>
    </row>
    <row r="435" ht="15.75" customHeight="1">
      <c r="A435" s="2">
        <v>434.0</v>
      </c>
      <c r="B435" s="5" t="s">
        <v>781</v>
      </c>
      <c r="C435" s="6">
        <v>2.0</v>
      </c>
      <c r="D435" s="9" t="s">
        <v>782</v>
      </c>
      <c r="E435" s="8" t="str">
        <f>IFERROR(__xludf.DUMMYFUNCTION("googletranslate(D435,""id"",""en"")"),"Morning morning already stopped traffic police, moge cc, it's not pak under it cc cylinder, check SIM STNK, this exhaust acrapovic ori .. again this ppkm mas said, I just walked a minute manasin motor. Ooke, please go home immediately .. well really the p"&amp;"olice officer")</f>
        <v>Morning morning already stopped traffic police, moge cc, it's not pak under it cc cylinder, check SIM STNK, this exhaust acrapovic ori .. again this ppkm mas said, I just walked a minute manasin motor. Ooke, please go home immediately .. well really the police officer</v>
      </c>
    </row>
    <row r="436" ht="15.75" customHeight="1">
      <c r="A436" s="2">
        <v>435.0</v>
      </c>
      <c r="B436" s="5" t="s">
        <v>783</v>
      </c>
      <c r="C436" s="6">
        <v>1.0</v>
      </c>
      <c r="D436" s="9" t="s">
        <v>783</v>
      </c>
      <c r="E436" s="8" t="str">
        <f>IFERROR(__xludf.DUMMYFUNCTION("googletranslate(D436,""id"",""en"")"),"PPKM -Pengetaru Poll Less Input -")</f>
        <v>PPKM -Pengetaru Poll Less Input -</v>
      </c>
    </row>
    <row r="437" ht="15.75" customHeight="1">
      <c r="A437" s="2">
        <v>436.0</v>
      </c>
      <c r="B437" s="5" t="s">
        <v>784</v>
      </c>
      <c r="C437" s="6">
        <v>1.0</v>
      </c>
      <c r="D437" s="9" t="s">
        <v>784</v>
      </c>
      <c r="E437" s="8" t="str">
        <f>IFERROR(__xludf.DUMMYFUNCTION("googletranslate(D437,""id"",""en"")"),"If we are guaranteed by the government for the PPKM, I also follow it, this is guaranteed to be like a Logistics Logistics Richa guaranteed (not hoping for the wkwkw)")</f>
        <v>If we are guaranteed by the government for the PPKM, I also follow it, this is guaranteed to be like a Logistics Logistics Richa guaranteed (not hoping for the wkwkw)</v>
      </c>
    </row>
    <row r="438" ht="15.75" customHeight="1">
      <c r="A438" s="2">
        <v>437.0</v>
      </c>
      <c r="B438" s="5" t="s">
        <v>785</v>
      </c>
      <c r="C438" s="6">
        <v>2.0</v>
      </c>
      <c r="D438" s="7" t="s">
        <v>786</v>
      </c>
      <c r="E438" s="8" t="str">
        <f>IFERROR(__xludf.DUMMYFUNCTION("googletranslate(D438,""id"",""en"")"),"I like PPKM but without PP")</f>
        <v>I like PPKM but without PP</v>
      </c>
    </row>
    <row r="439" ht="15.75" customHeight="1">
      <c r="A439" s="2">
        <v>438.0</v>
      </c>
      <c r="B439" s="5" t="s">
        <v>787</v>
      </c>
      <c r="C439" s="6">
        <v>3.0</v>
      </c>
      <c r="D439" s="7" t="s">
        <v>788</v>
      </c>
      <c r="E439" s="8" t="str">
        <f>IFERROR(__xludf.DUMMYFUNCTION("googletranslate(D439,""id"",""en"")"),"Stay temporarily at home, this is for all our goodness. For our lives that will be better later. PAK Kapolda, unfortunately some provocators who reject the PPKM are friends or supporters of Governor Anies Baswedan.")</f>
        <v>Stay temporarily at home, this is for all our goodness. For our lives that will be better later. PAK Kapolda, unfortunately some provocators who reject the PPKM are friends or supporters of Governor Anies Baswedan.</v>
      </c>
    </row>
    <row r="440" ht="15.75" customHeight="1">
      <c r="A440" s="2">
        <v>439.0</v>
      </c>
      <c r="B440" s="5" t="s">
        <v>789</v>
      </c>
      <c r="C440" s="6">
        <v>1.0</v>
      </c>
      <c r="D440" s="9" t="s">
        <v>789</v>
      </c>
      <c r="E440" s="8" t="str">
        <f>IFERROR(__xludf.DUMMYFUNCTION("googletranslate(D440,""id"",""en"")"),"Ngancem the people who don't obey the PPKM while foreigners enter Indonesia as if the PPKM does not exist. Not logic from all corners of the eye.")</f>
        <v>Ngancem the people who don't obey the PPKM while foreigners enter Indonesia as if the PPKM does not exist. Not logic from all corners of the eye.</v>
      </c>
    </row>
    <row r="441" ht="15.75" customHeight="1">
      <c r="A441" s="2">
        <v>440.0</v>
      </c>
      <c r="B441" s="5" t="s">
        <v>790</v>
      </c>
      <c r="C441" s="6">
        <v>1.0</v>
      </c>
      <c r="D441" s="9" t="s">
        <v>791</v>
      </c>
      <c r="E441" s="8" t="str">
        <f>IFERROR(__xludf.DUMMYFUNCTION("googletranslate(D441,""id"",""en"")"),"Cunning groups who want to satisfy political orgasm already can't wait waiting in the middle of the soaring covid-19 there is no sense of humanity, instead of helping the government who is busy spreading the noise with frying ppkm.Dmn soul wisdom you are "&amp;"a political loser")</f>
        <v>Cunning groups who want to satisfy political orgasm already can't wait waiting in the middle of the soaring covid-19 there is no sense of humanity, instead of helping the government who is busy spreading the noise with frying ppkm.Dmn soul wisdom you are a political loser</v>
      </c>
    </row>
    <row r="442" ht="15.75" customHeight="1">
      <c r="A442" s="2">
        <v>441.0</v>
      </c>
      <c r="B442" s="5" t="s">
        <v>792</v>
      </c>
      <c r="C442" s="6">
        <v>3.0</v>
      </c>
      <c r="D442" s="9" t="s">
        <v>793</v>
      </c>
      <c r="E442" s="8" t="str">
        <f>IFERROR(__xludf.DUMMYFUNCTION("googletranslate(D442,""id"",""en"")"),"Tumben is very morning to get a seat I Luv PPKM")</f>
        <v>Tumben is very morning to get a seat I Luv PPKM</v>
      </c>
    </row>
    <row r="443" ht="15.75" customHeight="1">
      <c r="A443" s="2">
        <v>442.0</v>
      </c>
      <c r="B443" s="5" t="s">
        <v>794</v>
      </c>
      <c r="C443" s="6">
        <v>1.0</v>
      </c>
      <c r="D443" s="7" t="s">
        <v>795</v>
      </c>
      <c r="E443" s="8" t="str">
        <f>IFERROR(__xludf.DUMMYFUNCTION("googletranslate(D443,""id"",""en"")"),"____ UHUY _, ""three-triple money"" with the Ministry of Manpower ....... Viral TKA entered Indonesia when Emergency PPKM, this was an explanation of the Ministry of Transportation")</f>
        <v>____ UHUY _, "three-triple money" with the Ministry of Manpower ....... Viral TKA entered Indonesia when Emergency PPKM, this was an explanation of the Ministry of Transportation</v>
      </c>
    </row>
    <row r="444" ht="15.75" customHeight="1">
      <c r="A444" s="2">
        <v>443.0</v>
      </c>
      <c r="B444" s="5" t="s">
        <v>796</v>
      </c>
      <c r="C444" s="6">
        <v>1.0</v>
      </c>
      <c r="D444" s="7" t="s">
        <v>797</v>
      </c>
      <c r="E444" s="8" t="str">
        <f>IFERROR(__xludf.DUMMYFUNCTION("googletranslate(D444,""id"",""en"")"),"How do you want to prevent Covid's spreading (?). PPKM HRS is focused on ""supervision of the environment of the community n users Jln, checked the proof of proof of vaccine, KTP, the application of the prokes"". Not a defeat to fulfill the SRT STRP.")</f>
        <v>How do you want to prevent Covid's spreading (?). PPKM HRS is focused on "supervision of the environment of the community n users Jln, checked the proof of proof of vaccine, KTP, the application of the prokes". Not a defeat to fulfill the SRT STRP.</v>
      </c>
    </row>
    <row r="445" ht="15.75" customHeight="1">
      <c r="A445" s="2">
        <v>444.0</v>
      </c>
      <c r="B445" s="5" t="s">
        <v>798</v>
      </c>
      <c r="C445" s="6">
        <v>1.0</v>
      </c>
      <c r="D445" s="9" t="s">
        <v>799</v>
      </c>
      <c r="E445" s="8" t="str">
        <f>IFERROR(__xludf.DUMMYFUNCTION("googletranslate(D445,""id"",""en"")"),"Want to transfer the issue, but too vulgar, be paid in ... PPKM Plunga Plongo when backwards")</f>
        <v>Want to transfer the issue, but too vulgar, be paid in ... PPKM Plunga Plongo when backwards</v>
      </c>
    </row>
    <row r="446" ht="15.75" customHeight="1">
      <c r="A446" s="2">
        <v>445.0</v>
      </c>
      <c r="B446" s="5" t="s">
        <v>800</v>
      </c>
      <c r="C446" s="6">
        <v>1.0</v>
      </c>
      <c r="D446" s="9" t="s">
        <v>801</v>
      </c>
      <c r="E446" s="8" t="str">
        <f>IFERROR(__xludf.DUMMYFUNCTION("googletranslate(D446,""id"",""en"")"),"Taaaah iyeu pisaaannnnn ... even though if the operational money of the police officers are treated for a guarantee of daily living needs of the PPKM affected society until they can live normally without the need to come out, make a living ... yeah, it is"&amp;" definitely on bro and staying at RMH .. .")</f>
        <v>Taaaah iyeu pisaaannnnn ... even though if the operational money of the police officers are treated for a guarantee of daily living needs of the PPKM affected society until they can live normally without the need to come out, make a living ... yeah, it is definitely on bro and staying at RMH .. .</v>
      </c>
    </row>
    <row r="447" ht="15.75" customHeight="1">
      <c r="A447" s="2">
        <v>446.0</v>
      </c>
      <c r="B447" s="5" t="s">
        <v>802</v>
      </c>
      <c r="C447" s="6">
        <v>1.0</v>
      </c>
      <c r="D447" s="7" t="s">
        <v>803</v>
      </c>
      <c r="E447" s="8" t="str">
        <f>IFERROR(__xludf.DUMMYFUNCTION("googletranslate(D447,""id"",""en"")"),"I followed all Sis ... Hopefully the PPKM Jawa Bigk has been desperately in search of sustenance on the sidewalk, the day of the day feels quiet there is no customer who stops by a stall")</f>
        <v>I followed all Sis ... Hopefully the PPKM Jawa Bigk has been desperately in search of sustenance on the sidewalk, the day of the day feels quiet there is no customer who stops by a stall</v>
      </c>
    </row>
    <row r="448" ht="15.75" customHeight="1">
      <c r="A448" s="2">
        <v>447.0</v>
      </c>
      <c r="B448" s="5" t="s">
        <v>804</v>
      </c>
      <c r="C448" s="6">
        <v>3.0</v>
      </c>
      <c r="D448" s="9" t="s">
        <v>805</v>
      </c>
      <c r="E448" s="8" t="str">
        <f>IFERROR(__xludf.DUMMYFUNCTION("googletranslate(D448,""id"",""en"")"),"Happy morning kawan2 !!! Have a nice day !! Jan Forgot to obey the ppkm yes!")</f>
        <v>Happy morning kawan2 !!! Have a nice day !! Jan Forgot to obey the ppkm yes!</v>
      </c>
    </row>
    <row r="449" ht="15.75" customHeight="1">
      <c r="A449" s="2">
        <v>448.0</v>
      </c>
      <c r="B449" s="5" t="s">
        <v>806</v>
      </c>
      <c r="C449" s="6">
        <v>1.0</v>
      </c>
      <c r="D449" s="9" t="s">
        <v>807</v>
      </c>
      <c r="E449" s="8" t="str">
        <f>IFERROR(__xludf.DUMMYFUNCTION("googletranslate(D449,""id"",""en"")"),"What policy without a solution? Bansos are corrupted. Livelihoods are castrated. Are you told to be home, what do you want to eat? People &amp; amp; Nakes who are banged. Mau PPKM two weeks, three weeks. If without a solution, what does it mean? Will come bac"&amp;"k again after the PPKM ends.")</f>
        <v>What policy without a solution? Bansos are corrupted. Livelihoods are castrated. Are you told to be home, what do you want to eat? People &amp; amp; Nakes who are banged. Mau PPKM two weeks, three weeks. If without a solution, what does it mean? Will come back again after the PPKM ends.</v>
      </c>
    </row>
    <row r="450" ht="15.75" customHeight="1">
      <c r="A450" s="2">
        <v>449.0</v>
      </c>
      <c r="B450" s="5" t="s">
        <v>808</v>
      </c>
      <c r="C450" s="6">
        <v>2.0</v>
      </c>
      <c r="D450" s="7" t="s">
        <v>808</v>
      </c>
      <c r="E450" s="8" t="str">
        <f>IFERROR(__xludf.DUMMYFUNCTION("googletranslate(D450,""id"",""en"")"),"Ppkm = once PDKT then disappeared")</f>
        <v>Ppkm = once PDKT then disappeared</v>
      </c>
    </row>
    <row r="451" ht="15.75" customHeight="1">
      <c r="A451" s="2">
        <v>450.0</v>
      </c>
      <c r="B451" s="5" t="s">
        <v>809</v>
      </c>
      <c r="C451" s="6">
        <v>1.0</v>
      </c>
      <c r="D451" s="7" t="s">
        <v>810</v>
      </c>
      <c r="E451" s="8" t="str">
        <f>IFERROR(__xludf.DUMMYFUNCTION("googletranslate(D451,""id"",""en"")"),"BKN problem according to the procedure or not. Amid conditions like skrg, where the sense of crisis! The feeling of justice is DMN! Emergency PPKM!")</f>
        <v>BKN problem according to the procedure or not. Amid conditions like skrg, where the sense of crisis! The feeling of justice is DMN! Emergency PPKM!</v>
      </c>
    </row>
    <row r="452" ht="15.75" customHeight="1">
      <c r="A452" s="2">
        <v>451.0</v>
      </c>
      <c r="B452" s="5" t="s">
        <v>811</v>
      </c>
      <c r="C452" s="6">
        <v>1.0</v>
      </c>
      <c r="D452" s="7" t="s">
        <v>812</v>
      </c>
      <c r="E452" s="8" t="str">
        <f>IFERROR(__xludf.DUMMYFUNCTION("googletranslate(D452,""id"",""en"")"),"Exactly! PPKM: When does the President back?")</f>
        <v>Exactly! PPKM: When does the President back?</v>
      </c>
    </row>
    <row r="453" ht="15.75" customHeight="1">
      <c r="A453" s="2">
        <v>452.0</v>
      </c>
      <c r="B453" s="5" t="s">
        <v>813</v>
      </c>
      <c r="C453" s="6">
        <v>1.0</v>
      </c>
      <c r="D453" s="7" t="s">
        <v>814</v>
      </c>
      <c r="E453" s="8" t="str">
        <f>IFERROR(__xludf.DUMMYFUNCTION("googletranslate(D453,""id"",""en"")"),"how can you have a lot of money if the ppkm waaah the government is still wanting to joke like it seems, a year ago it wasn't bored it was lagging")</f>
        <v>how can you have a lot of money if the ppkm waaah the government is still wanting to joke like it seems, a year ago it wasn't bored it was lagging</v>
      </c>
    </row>
    <row r="454" ht="15.75" customHeight="1">
      <c r="A454" s="2">
        <v>453.0</v>
      </c>
      <c r="B454" s="5" t="s">
        <v>815</v>
      </c>
      <c r="C454" s="6">
        <v>2.0</v>
      </c>
      <c r="D454" s="7" t="s">
        <v>816</v>
      </c>
      <c r="E454" s="8" t="str">
        <f>IFERROR(__xludf.DUMMYFUNCTION("googletranslate(D454,""id"",""en"")"),"What about what organizes MTQ when PPKM?")</f>
        <v>What about what organizes MTQ when PPKM?</v>
      </c>
    </row>
    <row r="455" ht="15.75" customHeight="1">
      <c r="A455" s="2">
        <v>454.0</v>
      </c>
      <c r="B455" s="5" t="s">
        <v>817</v>
      </c>
      <c r="C455" s="6">
        <v>1.0</v>
      </c>
      <c r="D455" s="9" t="s">
        <v>817</v>
      </c>
      <c r="E455" s="8" t="str">
        <f>IFERROR(__xludf.DUMMYFUNCTION("googletranslate(D455,""id"",""en"")"),"The main thing is? PPKM is not a solution. parse the crowd. But its application, haha ​​really endak. Policy is the result of a wise thought.")</f>
        <v>The main thing is? PPKM is not a solution. parse the crowd. But its application, haha ​​really endak. Policy is the result of a wise thought.</v>
      </c>
    </row>
    <row r="456" ht="15.75" customHeight="1">
      <c r="A456" s="2">
        <v>455.0</v>
      </c>
      <c r="B456" s="5" t="s">
        <v>818</v>
      </c>
      <c r="C456" s="6">
        <v>2.0</v>
      </c>
      <c r="D456" s="7" t="s">
        <v>818</v>
      </c>
      <c r="E456" s="8" t="str">
        <f>IFERROR(__xludf.DUMMYFUNCTION("googletranslate(D456,""id"",""en"")"),"Even though the atmosphere of the Emergency PPKM, the National Mosque of Al Akbar Surabaya also initiated Bathin's efforts")</f>
        <v>Even though the atmosphere of the Emergency PPKM, the National Mosque of Al Akbar Surabaya also initiated Bathin's efforts</v>
      </c>
    </row>
    <row r="457" ht="15.75" customHeight="1">
      <c r="A457" s="2">
        <v>456.0</v>
      </c>
      <c r="B457" s="5" t="s">
        <v>819</v>
      </c>
      <c r="C457" s="6">
        <v>1.0</v>
      </c>
      <c r="D457" s="9" t="s">
        <v>819</v>
      </c>
      <c r="E457" s="8" t="str">
        <f>IFERROR(__xludf.DUMMYFUNCTION("googletranslate(D457,""id"",""en"")"),"There is news of TKA in Indonesia when the PPKM policy is again. Once it was forbidden to go back and forth, also TKA entered Indonesia. What is this...")</f>
        <v>There is news of TKA in Indonesia when the PPKM policy is again. Once it was forbidden to go back and forth, also TKA entered Indonesia. What is this...</v>
      </c>
    </row>
    <row r="458" ht="15.75" customHeight="1">
      <c r="A458" s="2">
        <v>457.0</v>
      </c>
      <c r="B458" s="5" t="s">
        <v>820</v>
      </c>
      <c r="C458" s="6">
        <v>1.0</v>
      </c>
      <c r="D458" s="7" t="s">
        <v>821</v>
      </c>
      <c r="E458" s="8" t="str">
        <f>IFERROR(__xludf.DUMMYFUNCTION("googletranslate(D458,""id"",""en"")"),"Anyways ppkm, cover the road there are still clauses ""except certain sectors"" ... yes the office told the employee to come in, try to close the total ... there is no reason, uh except the nakes + support rs ... it's clear. But still, Dong ...")</f>
        <v>Anyways ppkm, cover the road there are still clauses "except certain sectors" ... yes the office told the employee to come in, try to close the total ... there is no reason, uh except the nakes + support rs ... it's clear. But still, Dong ...</v>
      </c>
    </row>
    <row r="459" ht="15.75" customHeight="1">
      <c r="A459" s="2">
        <v>458.0</v>
      </c>
      <c r="B459" s="5" t="s">
        <v>822</v>
      </c>
      <c r="C459" s="6">
        <v>2.0</v>
      </c>
      <c r="D459" s="9" t="s">
        <v>822</v>
      </c>
      <c r="E459" s="8" t="str">
        <f>IFERROR(__xludf.DUMMYFUNCTION("googletranslate(D459,""id"",""en"")"),"This BTW before PPKM or Lockdown. For months")</f>
        <v>This BTW before PPKM or Lockdown. For months</v>
      </c>
    </row>
    <row r="460" ht="15.75" customHeight="1">
      <c r="A460" s="2">
        <v>459.0</v>
      </c>
      <c r="B460" s="5" t="s">
        <v>823</v>
      </c>
      <c r="C460" s="6">
        <v>1.0</v>
      </c>
      <c r="D460" s="7" t="s">
        <v>824</v>
      </c>
      <c r="E460" s="8" t="str">
        <f>IFERROR(__xludf.DUMMYFUNCTION("googletranslate(D460,""id"",""en"")"),"PPKMPEMER leaders of the behavior of thieves")</f>
        <v>PPKMPEMER leaders of the behavior of thieves</v>
      </c>
    </row>
    <row r="461" ht="15.75" customHeight="1">
      <c r="A461" s="2">
        <v>460.0</v>
      </c>
      <c r="B461" s="5" t="s">
        <v>825</v>
      </c>
      <c r="C461" s="6">
        <v>2.0</v>
      </c>
      <c r="D461" s="9" t="s">
        <v>826</v>
      </c>
      <c r="E461" s="8" t="str">
        <f>IFERROR(__xludf.DUMMYFUNCTION("googletranslate(D461,""id"",""en"")"),"Good morning Sis, permission asked, during this PPKM, did the Singasari train not operate? Thank you in advance")</f>
        <v>Good morning Sis, permission asked, during this PPKM, did the Singasari train not operate? Thank you in advance</v>
      </c>
    </row>
    <row r="462" ht="15.75" customHeight="1">
      <c r="A462" s="2">
        <v>461.0</v>
      </c>
      <c r="B462" s="5" t="s">
        <v>827</v>
      </c>
      <c r="C462" s="6">
        <v>1.0</v>
      </c>
      <c r="D462" s="7" t="s">
        <v>827</v>
      </c>
      <c r="E462" s="8" t="str">
        <f>IFERROR(__xludf.DUMMYFUNCTION("googletranslate(D462,""id"",""en"")"),"This morning's story, Live Instagram with friends. The topic of talks becomes covid and the government because of PPKM. Just talking about Covid and the government suddenly disconnect from Live. Sensitive is very Instagram.")</f>
        <v>This morning's story, Live Instagram with friends. The topic of talks becomes covid and the government because of PPKM. Just talking about Covid and the government suddenly disconnect from Live. Sensitive is very Instagram.</v>
      </c>
    </row>
    <row r="463" ht="15.75" customHeight="1">
      <c r="A463" s="2">
        <v>462.0</v>
      </c>
      <c r="B463" s="5" t="s">
        <v>828</v>
      </c>
      <c r="C463" s="6">
        <v>2.0</v>
      </c>
      <c r="D463" s="7" t="s">
        <v>829</v>
      </c>
      <c r="E463" s="8" t="str">
        <f>IFERROR(__xludf.DUMMYFUNCTION("googletranslate(D463,""id"",""en"")"),"PPKM: Morning Morning Keinget Former")</f>
        <v>PPKM: Morning Morning Keinget Former</v>
      </c>
    </row>
    <row r="464" ht="15.75" customHeight="1">
      <c r="A464" s="2">
        <v>463.0</v>
      </c>
      <c r="B464" s="5" t="s">
        <v>830</v>
      </c>
      <c r="C464" s="6">
        <v>2.0</v>
      </c>
      <c r="D464" s="7" t="s">
        <v>830</v>
      </c>
      <c r="E464" s="8" t="str">
        <f>IFERROR(__xludf.DUMMYFUNCTION("googletranslate(D464,""id"",""en"")"),"The gameless prayer for the public is temporarily eliminated during the emergency PPKM, but for the call to the call to the adhan is still echoed")</f>
        <v>The gameless prayer for the public is temporarily eliminated during the emergency PPKM, but for the call to the call to the adhan is still echoed</v>
      </c>
    </row>
    <row r="465" ht="15.75" customHeight="1">
      <c r="A465" s="2">
        <v>464.0</v>
      </c>
      <c r="B465" s="5" t="s">
        <v>831</v>
      </c>
      <c r="C465" s="6">
        <v>2.0</v>
      </c>
      <c r="D465" s="9" t="s">
        <v>832</v>
      </c>
      <c r="E465" s="8" t="str">
        <f>IFERROR(__xludf.DUMMYFUNCTION("googletranslate(D465,""id"",""en"")"),"Done follow all kaka on behalf of ig .fuad_amzar ya really want to skincare, for my face care during PPKM huhu")</f>
        <v>Done follow all kaka on behalf of ig .fuad_amzar ya really want to skincare, for my face care during PPKM huhu</v>
      </c>
    </row>
    <row r="466" ht="15.75" customHeight="1">
      <c r="A466" s="2">
        <v>465.0</v>
      </c>
      <c r="B466" s="5" t="s">
        <v>833</v>
      </c>
      <c r="C466" s="6">
        <v>1.0</v>
      </c>
      <c r="D466" s="9" t="s">
        <v>834</v>
      </c>
      <c r="E466" s="8" t="str">
        <f>IFERROR(__xludf.DUMMYFUNCTION("googletranslate(D466,""id"",""en"")"),"Mr. President ... We want it at home, but our stomach demands out of home looking for the President's nafdahkan does not want to apply the quarantine of the TP region using Emergency PPKM. That means, the people are asked to lock themselves in RMH, but th"&amp;"ere is no tjwb")</f>
        <v>Mr. President ... We want it at home, but our stomach demands out of home looking for the President's nafdahkan does not want to apply the quarantine of the TP region using Emergency PPKM. That means, the people are asked to lock themselves in RMH, but there is no tjwb</v>
      </c>
    </row>
    <row r="467" ht="15.75" customHeight="1">
      <c r="A467" s="2">
        <v>466.0</v>
      </c>
      <c r="B467" s="5" t="s">
        <v>835</v>
      </c>
      <c r="C467" s="6">
        <v>1.0</v>
      </c>
      <c r="D467" s="9" t="s">
        <v>836</v>
      </c>
      <c r="E467" s="8" t="str">
        <f>IFERROR(__xludf.DUMMYFUNCTION("googletranslate(D467,""id"",""en"")"),"In the midst of a surge in Covid-19 cases in this country the government finally imposed restrictions on community activities or emergency PPKM, (TKA) from China arrived at Sultan Hasanuddin Airport, South Sulawesi, Saturday (3/7).")</f>
        <v>In the midst of a surge in Covid-19 cases in this country the government finally imposed restrictions on community activities or emergency PPKM, (TKA) from China arrived at Sultan Hasanuddin Airport, South Sulawesi, Saturday (3/7).</v>
      </c>
    </row>
    <row r="468" ht="15.75" customHeight="1">
      <c r="A468" s="2">
        <v>467.0</v>
      </c>
      <c r="B468" s="5" t="s">
        <v>837</v>
      </c>
      <c r="C468" s="6">
        <v>1.0</v>
      </c>
      <c r="D468" s="7" t="s">
        <v>837</v>
      </c>
      <c r="E468" s="8" t="str">
        <f>IFERROR(__xludf.DUMMYFUNCTION("googletranslate(D468,""id"",""en"")"),"Ppkm = slow slowly we are poor")</f>
        <v>Ppkm = slow slowly we are poor</v>
      </c>
    </row>
    <row r="469" ht="15.75" customHeight="1">
      <c r="A469" s="2">
        <v>468.0</v>
      </c>
      <c r="B469" s="5" t="s">
        <v>838</v>
      </c>
      <c r="C469" s="6">
        <v>2.0</v>
      </c>
      <c r="D469" s="7" t="s">
        <v>839</v>
      </c>
      <c r="E469" s="8" t="str">
        <f>IFERROR(__xludf.DUMMYFUNCTION("googletranslate(D469,""id"",""en"")"),"Min I was in South Jakarta want to go to Bogor to ride Gocar. Maybe during this PPKM? Please answer ... thanks")</f>
        <v>Min I was in South Jakarta want to go to Bogor to ride Gocar. Maybe during this PPKM? Please answer ... thanks</v>
      </c>
    </row>
    <row r="470" ht="15.75" customHeight="1">
      <c r="A470" s="2">
        <v>469.0</v>
      </c>
      <c r="B470" s="5" t="s">
        <v>840</v>
      </c>
      <c r="C470" s="6">
        <v>1.0</v>
      </c>
      <c r="D470" s="7" t="s">
        <v>841</v>
      </c>
      <c r="E470" s="8" t="str">
        <f>IFERROR(__xludf.DUMMYFUNCTION("googletranslate(D470,""id"",""en"")"),"PPKM in the Home Environment BE LIKE: - Already many who die covid- Already many positive - don't want test- tahlilan together the road congregation congregation still in the mosque (including dawn) - eating buffaskumemnuniiiiidddddddddd: ')))))")</f>
        <v>PPKM in the Home Environment BE LIKE: - Already many who die covid- Already many positive - don't want test- tahlilan together the road congregation congregation still in the mosque (including dawn) - eating buffaskumemnuniiiiidddddddddd: ')))))</v>
      </c>
    </row>
    <row r="471" ht="15.75" customHeight="1">
      <c r="A471" s="2">
        <v>470.0</v>
      </c>
      <c r="B471" s="5" t="s">
        <v>842</v>
      </c>
      <c r="C471" s="6">
        <v>1.0</v>
      </c>
      <c r="D471" s="7" t="s">
        <v>843</v>
      </c>
      <c r="E471" s="8" t="str">
        <f>IFERROR(__xludf.DUMMYFUNCTION("googletranslate(D471,""id"",""en"")"),"What is sure to spread the unstoppable Covid troublesome everyone. Not emergency ppkm.")</f>
        <v>What is sure to spread the unstoppable Covid troublesome everyone. Not emergency ppkm.</v>
      </c>
    </row>
    <row r="472" ht="15.75" customHeight="1">
      <c r="A472" s="2">
        <v>471.0</v>
      </c>
      <c r="B472" s="5" t="s">
        <v>844</v>
      </c>
      <c r="C472" s="6">
        <v>1.0</v>
      </c>
      <c r="D472" s="9" t="s">
        <v>845</v>
      </c>
      <c r="E472" s="8" t="str">
        <f>IFERROR(__xludf.DUMMYFUNCTION("googletranslate(D472,""id"",""en"")"),"Even though it is clear, when PSBB / PPKM, supply basic food, food, medicine + nakes: still have to operate (open / serve) ... road access should be made easier! Yes, Allah ... why sudden Tulalit all ???")</f>
        <v>Even though it is clear, when PSBB / PPKM, supply basic food, food, medicine + nakes: still have to operate (open / serve) ... road access should be made easier! Yes, Allah ... why sudden Tulalit all ???</v>
      </c>
    </row>
    <row r="473" ht="15.75" customHeight="1">
      <c r="A473" s="2">
        <v>472.0</v>
      </c>
      <c r="B473" s="5" t="s">
        <v>846</v>
      </c>
      <c r="C473" s="6">
        <v>3.0</v>
      </c>
      <c r="D473" s="9" t="s">
        <v>847</v>
      </c>
      <c r="E473" s="8" t="str">
        <f>IFERROR(__xludf.DUMMYFUNCTION("googletranslate(D473,""id"",""en"")"),"NIH The government has to strive for the availability of oxygen, its hopes are crowded, let's safe, secure Sodara, family and neighbors, by obeying prokes, and micro PPKM.")</f>
        <v>NIH The government has to strive for the availability of oxygen, its hopes are crowded, let's safe, secure Sodara, family and neighbors, by obeying prokes, and micro PPKM.</v>
      </c>
    </row>
    <row r="474" ht="15.75" customHeight="1">
      <c r="A474" s="2">
        <v>473.0</v>
      </c>
      <c r="B474" s="5" t="s">
        <v>848</v>
      </c>
      <c r="C474" s="6">
        <v>1.0</v>
      </c>
      <c r="D474" s="7" t="s">
        <v>849</v>
      </c>
      <c r="E474" s="8" t="str">
        <f>IFERROR(__xludf.DUMMYFUNCTION("googletranslate(D474,""id"",""en"")"),"PPKM becomes a traffic jam and a crowd at several points skated")</f>
        <v>PPKM becomes a traffic jam and a crowd at several points skated</v>
      </c>
    </row>
    <row r="475" ht="15.75" customHeight="1">
      <c r="A475" s="2">
        <v>474.0</v>
      </c>
      <c r="B475" s="5" t="s">
        <v>850</v>
      </c>
      <c r="C475" s="6">
        <v>1.0</v>
      </c>
      <c r="D475" s="7" t="s">
        <v>851</v>
      </c>
      <c r="E475" s="8" t="str">
        <f>IFERROR(__xludf.DUMMYFUNCTION("googletranslate(D475,""id"",""en"")"),"Yes the si ... but I'm still confused, how come you can enter here without swab, right, ppkm")</f>
        <v>Yes the si ... but I'm still confused, how come you can enter here without swab, right, ppkm</v>
      </c>
    </row>
    <row r="476" ht="15.75" customHeight="1">
      <c r="A476" s="2">
        <v>475.0</v>
      </c>
      <c r="B476" s="5" t="s">
        <v>852</v>
      </c>
      <c r="C476" s="6">
        <v>2.0</v>
      </c>
      <c r="D476" s="7" t="s">
        <v>853</v>
      </c>
      <c r="E476" s="8" t="str">
        <f>IFERROR(__xludf.DUMMYFUNCTION("googletranslate(D476,""id"",""en"")"),"itu tf remaining payment or ppkm kakk xixixi day")</f>
        <v>itu tf remaining payment or ppkm kakk xixixi day</v>
      </c>
    </row>
    <row r="477" ht="15.75" customHeight="1">
      <c r="A477" s="2">
        <v>476.0</v>
      </c>
      <c r="B477" s="5" t="s">
        <v>854</v>
      </c>
      <c r="C477" s="6">
        <v>2.0</v>
      </c>
      <c r="D477" s="7" t="s">
        <v>855</v>
      </c>
      <c r="E477" s="8" t="str">
        <f>IFERROR(__xludf.DUMMYFUNCTION("googletranslate(D477,""id"",""en"")"),"The vaccine waiter for now is still open, bro? Because of the PPKM.")</f>
        <v>The vaccine waiter for now is still open, bro? Because of the PPKM.</v>
      </c>
    </row>
    <row r="478" ht="15.75" customHeight="1">
      <c r="A478" s="2">
        <v>477.0</v>
      </c>
      <c r="B478" s="5" t="s">
        <v>856</v>
      </c>
      <c r="C478" s="6">
        <v>1.0</v>
      </c>
      <c r="D478" s="7" t="s">
        <v>857</v>
      </c>
      <c r="E478" s="8" t="str">
        <f>IFERROR(__xludf.DUMMYFUNCTION("googletranslate(D478,""id"",""en"")"),"Walah why can it be like this ... the Kabareskrim statement can make an emergency PPKM Ambox")</f>
        <v>Walah why can it be like this ... the Kabareskrim statement can make an emergency PPKM Ambox</v>
      </c>
    </row>
    <row r="479" ht="15.75" customHeight="1">
      <c r="A479" s="2">
        <v>478.0</v>
      </c>
      <c r="B479" s="5" t="s">
        <v>858</v>
      </c>
      <c r="C479" s="6">
        <v>1.0</v>
      </c>
      <c r="D479" s="7" t="s">
        <v>859</v>
      </c>
      <c r="E479" s="8" t="str">
        <f>IFERROR(__xludf.DUMMYFUNCTION("googletranslate(D479,""id"",""en"")"),"Is this news of clarification or ngeles? He obviously they came when PPKM.")</f>
        <v>Is this news of clarification or ngeles? He obviously they came when PPKM.</v>
      </c>
    </row>
    <row r="480" ht="15.75" customHeight="1">
      <c r="A480" s="2">
        <v>479.0</v>
      </c>
      <c r="B480" s="5" t="s">
        <v>860</v>
      </c>
      <c r="C480" s="6">
        <v>2.0</v>
      </c>
      <c r="D480" s="7" t="s">
        <v>861</v>
      </c>
      <c r="E480" s="8" t="str">
        <f>IFERROR(__xludf.DUMMYFUNCTION("googletranslate(D480,""id"",""en"")"),"Min I was in South Jakarta want to go to Bogor to take a grab car. Maybe during this PPKM? Please answer ... thanks")</f>
        <v>Min I was in South Jakarta want to go to Bogor to take a grab car. Maybe during this PPKM? Please answer ... thanks</v>
      </c>
    </row>
    <row r="481" ht="15.75" customHeight="1">
      <c r="A481" s="2">
        <v>480.0</v>
      </c>
      <c r="B481" s="5" t="s">
        <v>862</v>
      </c>
      <c r="C481" s="6">
        <v>1.0</v>
      </c>
      <c r="D481" s="9" t="s">
        <v>863</v>
      </c>
      <c r="E481" s="8" t="str">
        <f>IFERROR(__xludf.DUMMYFUNCTION("googletranslate(D481,""id"",""en"")"),"Yes times it can be too but I'm surprised how can you enter here without a swab first, right PPKM")</f>
        <v>Yes times it can be too but I'm surprised how can you enter here without a swab first, right PPKM</v>
      </c>
    </row>
    <row r="482" ht="15.75" customHeight="1">
      <c r="A482" s="2">
        <v>481.0</v>
      </c>
      <c r="B482" s="5" t="s">
        <v>864</v>
      </c>
      <c r="C482" s="6">
        <v>3.0</v>
      </c>
      <c r="D482" s="7" t="s">
        <v>865</v>
      </c>
      <c r="E482" s="8" t="str">
        <f>IFERROR(__xludf.DUMMYFUNCTION("googletranslate(D482,""id"",""en"")"),"The government during the $ NUCTER $ July will provide benefits in the form; . BLT SME2. PKH3. BLT village4. Sembako5 card. Precise card. Cash Bansos7. Discounted electricity tariffs, this assistance can help the community during emergency PPKM.")</f>
        <v>The government during the $ NUCTER $ July will provide benefits in the form; . BLT SME2. PKH3. BLT village4. Sembako5 card. Precise card. Cash Bansos7. Discounted electricity tariffs, this assistance can help the community during emergency PPKM.</v>
      </c>
    </row>
    <row r="483" ht="15.75" customHeight="1">
      <c r="A483" s="2">
        <v>482.0</v>
      </c>
      <c r="B483" s="5" t="s">
        <v>866</v>
      </c>
      <c r="C483" s="6">
        <v>1.0</v>
      </c>
      <c r="D483" s="9" t="s">
        <v>867</v>
      </c>
      <c r="E483" s="8" t="str">
        <f>IFERROR(__xludf.DUMMYFUNCTION("googletranslate(D483,""id"",""en"")"),"All of his fears if he even bph of the virus. LGI ""We don't know because I can't, but it can be a DSNA high school VC.")</f>
        <v>All of his fears if he even bph of the virus. LGI "We don't know because I can't, but it can be a DSNA high school VC.</v>
      </c>
    </row>
    <row r="484" ht="15.75" customHeight="1">
      <c r="A484" s="2">
        <v>483.0</v>
      </c>
      <c r="B484" s="5" t="s">
        <v>868</v>
      </c>
      <c r="C484" s="6">
        <v>1.0</v>
      </c>
      <c r="D484" s="7" t="s">
        <v>869</v>
      </c>
      <c r="E484" s="8" t="str">
        <f>IFERROR(__xludf.DUMMYFUNCTION("googletranslate(D484,""id"",""en"")"),"seriously there is a procedure that can enter yes foreigners feel futile nakes, civilians &amp; amp; Officer at PPKM.")</f>
        <v>seriously there is a procedure that can enter yes foreigners feel futile nakes, civilians &amp; amp; Officer at PPKM.</v>
      </c>
    </row>
    <row r="485" ht="15.75" customHeight="1">
      <c r="A485" s="2">
        <v>484.0</v>
      </c>
      <c r="B485" s="5" t="s">
        <v>870</v>
      </c>
      <c r="C485" s="6">
        <v>3.0</v>
      </c>
      <c r="D485" s="9" t="s">
        <v>870</v>
      </c>
      <c r="E485" s="8" t="str">
        <f>IFERROR(__xludf.DUMMYFUNCTION("googletranslate(D485,""id"",""en"")"),"And so that the distribution is on target, the government has fixed social assistance recipient data for emergency PPKM. This proves that the Ministry of Social Affairs does not remain silent against the double data of the recipient of the Bansos.")</f>
        <v>And so that the distribution is on target, the government has fixed social assistance recipient data for emergency PPKM. This proves that the Ministry of Social Affairs does not remain silent against the double data of the recipient of the Bansos.</v>
      </c>
    </row>
    <row r="486" ht="15.75" customHeight="1">
      <c r="A486" s="2">
        <v>485.0</v>
      </c>
      <c r="B486" s="5" t="s">
        <v>871</v>
      </c>
      <c r="C486" s="6">
        <v>1.0</v>
      </c>
      <c r="D486" s="9" t="s">
        <v>872</v>
      </c>
      <c r="E486" s="8" t="str">
        <f>IFERROR(__xludf.DUMMYFUNCTION("googletranslate(D486,""id"",""en"")"),"PPKM was raised but still nerimah tourists in and out of Indo")</f>
        <v>PPKM was raised but still nerimah tourists in and out of Indo</v>
      </c>
    </row>
    <row r="487" ht="15.75" customHeight="1">
      <c r="A487" s="2">
        <v>486.0</v>
      </c>
      <c r="B487" s="5" t="s">
        <v>873</v>
      </c>
      <c r="C487" s="6">
        <v>3.0</v>
      </c>
      <c r="D487" s="7" t="s">
        <v>874</v>
      </c>
      <c r="E487" s="8" t="str">
        <f>IFERROR(__xludf.DUMMYFUNCTION("googletranslate(D487,""id"",""en"")"),"The government will provide social assistance to the community during Emergency PPKM. The assistance is targeted; - BTS (10 million recipients of aid) - BPNT (18.8 million) - PKH (10 million)")</f>
        <v>The government will provide social assistance to the community during Emergency PPKM. The assistance is targeted; - BTS (10 million recipients of aid) - BPNT (18.8 million) - PKH (10 million)</v>
      </c>
    </row>
    <row r="488" ht="15.75" customHeight="1">
      <c r="A488" s="2">
        <v>487.0</v>
      </c>
      <c r="B488" s="5" t="s">
        <v>875</v>
      </c>
      <c r="C488" s="6">
        <v>3.0</v>
      </c>
      <c r="D488" s="7" t="s">
        <v>875</v>
      </c>
      <c r="E488" s="8" t="str">
        <f>IFERROR(__xludf.DUMMYFUNCTION("googletranslate(D488,""id"",""en"")"),"The extension of the Bansos by the government during the Emergency PPKM aims to help the poor survive in the middle of the Covid19 pandemic.")</f>
        <v>The extension of the Bansos by the government during the Emergency PPKM aims to help the poor survive in the middle of the Covid19 pandemic.</v>
      </c>
    </row>
    <row r="489" ht="15.75" customHeight="1">
      <c r="A489" s="2">
        <v>488.0</v>
      </c>
      <c r="B489" s="5" t="s">
        <v>876</v>
      </c>
      <c r="C489" s="6">
        <v>1.0</v>
      </c>
      <c r="D489" s="9" t="s">
        <v>876</v>
      </c>
      <c r="E489" s="8" t="str">
        <f>IFERROR(__xludf.DUMMYFUNCTION("googletranslate(D489,""id"",""en"")"),"When PPKM gini, always on omelin because the work of the cellphone continues, what should I do? Get out, sports outside the gtu? the strong strong power protocol is now")</f>
        <v>When PPKM gini, always on omelin because the work of the cellphone continues, what should I do? Get out, sports outside the gtu? the strong strong power protocol is now</v>
      </c>
    </row>
    <row r="490" ht="15.75" customHeight="1">
      <c r="A490" s="2">
        <v>489.0</v>
      </c>
      <c r="B490" s="5" t="s">
        <v>877</v>
      </c>
      <c r="C490" s="6">
        <v>3.0</v>
      </c>
      <c r="D490" s="7" t="s">
        <v>878</v>
      </c>
      <c r="E490" s="8" t="str">
        <f>IFERROR(__xludf.DUMMYFUNCTION("googletranslate(D490,""id"",""en"")"),"Good morning ... there is good news here. During the emergency PPKM, the government will provide social assistance up to trillion. Check out the thread to finish ...")</f>
        <v>Good morning ... there is good news here. During the emergency PPKM, the government will provide social assistance up to trillion. Check out the thread to finish ...</v>
      </c>
    </row>
    <row r="491" ht="15.75" customHeight="1">
      <c r="A491" s="2">
        <v>490.0</v>
      </c>
      <c r="B491" s="5" t="s">
        <v>879</v>
      </c>
      <c r="C491" s="6">
        <v>1.0</v>
      </c>
      <c r="D491" s="7" t="s">
        <v>880</v>
      </c>
      <c r="E491" s="8" t="str">
        <f>IFERROR(__xludf.DUMMYFUNCTION("googletranslate(D491,""id"",""en"")"),"PPKM (Mr. President when to retreat)")</f>
        <v>PPKM (Mr. President when to retreat)</v>
      </c>
    </row>
    <row r="492" ht="15.75" customHeight="1">
      <c r="A492" s="2">
        <v>491.0</v>
      </c>
      <c r="B492" s="5" t="s">
        <v>881</v>
      </c>
      <c r="C492" s="6">
        <v>2.0</v>
      </c>
      <c r="D492" s="9" t="s">
        <v>882</v>
      </c>
      <c r="E492" s="8" t="str">
        <f>IFERROR(__xludf.DUMMYFUNCTION("googletranslate(D492,""id"",""en"")"),"Lredit is embarrassed? Wkwk. It's imaging that the commander says ""what is this PPKM emergency, people must have been at home hours, what do we need to felt? So pocong on the road?"" Then the members are ""good idea and"" wkwkwkwk")</f>
        <v>Lredit is embarrassed? Wkwk. It's imaging that the commander says "what is this PPKM emergency, people must have been at home hours, what do we need to felt? So pocong on the road?" Then the members are "good idea and" wkwkwkwk</v>
      </c>
    </row>
    <row r="493" ht="15.75" customHeight="1">
      <c r="A493" s="2">
        <v>492.0</v>
      </c>
      <c r="B493" s="5" t="s">
        <v>883</v>
      </c>
      <c r="C493" s="6">
        <v>2.0</v>
      </c>
      <c r="D493" s="7" t="s">
        <v>883</v>
      </c>
      <c r="E493" s="8" t="str">
        <f>IFERROR(__xludf.DUMMYFUNCTION("googletranslate(D493,""id"",""en"")"),"Gini ppkm, breakfast in Malioboro can still not?")</f>
        <v>Gini ppkm, breakfast in Malioboro can still not?</v>
      </c>
    </row>
    <row r="494" ht="15.75" customHeight="1">
      <c r="A494" s="2">
        <v>493.0</v>
      </c>
      <c r="B494" s="5" t="s">
        <v>884</v>
      </c>
      <c r="C494" s="6">
        <v>3.0</v>
      </c>
      <c r="D494" s="7" t="s">
        <v>885</v>
      </c>
      <c r="E494" s="8" t="str">
        <f>IFERROR(__xludf.DUMMYFUNCTION("googletranslate(D494,""id"",""en"")"),"Iptu M. Arif Rachman with Ipda Wawan, SE., Conduct Emergency PPKM socialization.")</f>
        <v>Iptu M. Arif Rachman with Ipda Wawan, SE., Conduct Emergency PPKM socialization.</v>
      </c>
    </row>
    <row r="495" ht="15.75" customHeight="1">
      <c r="A495" s="2">
        <v>494.0</v>
      </c>
      <c r="B495" s="5" t="s">
        <v>886</v>
      </c>
      <c r="C495" s="6">
        <v>2.0</v>
      </c>
      <c r="D495" s="7" t="s">
        <v>887</v>
      </c>
      <c r="E495" s="8" t="str">
        <f>IFERROR(__xludf.DUMMYFUNCTION("googletranslate(D495,""id"",""en"")"),"Lah, in West Java with Banten Gak PPKM?")</f>
        <v>Lah, in West Java with Banten Gak PPKM?</v>
      </c>
    </row>
    <row r="496" ht="15.75" customHeight="1">
      <c r="A496" s="2">
        <v>495.0</v>
      </c>
      <c r="B496" s="5" t="s">
        <v>888</v>
      </c>
      <c r="C496" s="6">
        <v>2.0</v>
      </c>
      <c r="D496" s="7" t="s">
        <v>888</v>
      </c>
      <c r="E496" s="8" t="str">
        <f>IFERROR(__xludf.DUMMYFUNCTION("googletranslate(D496,""id"",""en"")"),"This PPKM is really very ...")</f>
        <v>This PPKM is really very ...</v>
      </c>
    </row>
    <row r="497" ht="15.75" customHeight="1">
      <c r="A497" s="2">
        <v>496.0</v>
      </c>
      <c r="B497" s="5" t="s">
        <v>889</v>
      </c>
      <c r="C497" s="6">
        <v>1.0</v>
      </c>
      <c r="D497" s="9" t="s">
        <v>890</v>
      </c>
      <c r="E497" s="8" t="str">
        <f>IFERROR(__xludf.DUMMYFUNCTION("googletranslate(D497,""id"",""en"")"),"This ambiguous rule ... and supporting almost all the industries are related there, LLU MRK submitted permission to the Ministry of Industry, it must be permitted to operate. Whatever you want to do for this emergency PPKM. Finally the usual activity of t"&amp;"he Announcement, the mobility is like before. Want to save humans or money?")</f>
        <v>This ambiguous rule ... and supporting almost all the industries are related there, LLU MRK submitted permission to the Ministry of Industry, it must be permitted to operate. Whatever you want to do for this emergency PPKM. Finally the usual activity of the Announcement, the mobility is like before. Want to save humans or money?</v>
      </c>
    </row>
    <row r="498" ht="15.75" customHeight="1">
      <c r="A498" s="2">
        <v>497.0</v>
      </c>
      <c r="B498" s="5" t="s">
        <v>891</v>
      </c>
      <c r="C498" s="6">
        <v>1.0</v>
      </c>
      <c r="D498" s="9" t="s">
        <v>892</v>
      </c>
      <c r="E498" s="8" t="str">
        <f>IFERROR(__xludf.DUMMYFUNCTION("googletranslate(D498,""id"",""en"")"),"Yes bib ga hbs think this is the government, ... PPKM was carried out, ... Rakyt wants to do what cb ... what do they do it ?? ... this is already outrageous ...")</f>
        <v>Yes bib ga hbs think this is the government, ... PPKM was carried out, ... Rakyt wants to do what cb ... what do they do it ?? ... this is already outrageous ...</v>
      </c>
    </row>
    <row r="499" ht="15.75" customHeight="1">
      <c r="A499" s="2">
        <v>498.0</v>
      </c>
      <c r="B499" s="5" t="s">
        <v>893</v>
      </c>
      <c r="C499" s="6">
        <v>3.0</v>
      </c>
      <c r="D499" s="7" t="s">
        <v>894</v>
      </c>
      <c r="E499" s="8" t="str">
        <f>IFERROR(__xludf.DUMMYFUNCTION("googletranslate(D499,""id"",""en"")"),"Let's discipline the proces and obey Emergency PPKM")</f>
        <v>Let's discipline the proces and obey Emergency PPKM</v>
      </c>
    </row>
    <row r="500" ht="15.75" customHeight="1">
      <c r="A500" s="2">
        <v>499.0</v>
      </c>
      <c r="B500" s="5" t="s">
        <v>895</v>
      </c>
      <c r="C500" s="6">
        <v>3.0</v>
      </c>
      <c r="D500" s="9" t="s">
        <v>896</v>
      </c>
      <c r="E500" s="8" t="str">
        <f>IFERROR(__xludf.DUMMYFUNCTION("googletranslate(D500,""id"",""en"")"),"Ppkm this time it's different. Now it's no longer fighting but survives always sane &amp; amp; Happy so that the body's immune is maintained. The more believes God's promise, returns all to Him. God will provide help, will not leave His servant.")</f>
        <v>Ppkm this time it's different. Now it's no longer fighting but survives always sane &amp; amp; Happy so that the body's immune is maintained. The more believes God's promise, returns all to Him. God will provide help, will not leave His servant.</v>
      </c>
    </row>
    <row r="501" ht="15.75" customHeight="1">
      <c r="A501" s="2">
        <v>500.0</v>
      </c>
      <c r="B501" s="5" t="s">
        <v>897</v>
      </c>
      <c r="C501" s="6">
        <v>3.0</v>
      </c>
      <c r="D501" s="7" t="s">
        <v>897</v>
      </c>
      <c r="E501" s="8" t="str">
        <f>IFERROR(__xludf.DUMMYFUNCTION("googletranslate(D501,""id"",""en"")"),"But as long as the PPKM is filled with virtually joint prayers later huh")</f>
        <v>But as long as the PPKM is filled with virtually joint prayers later huh</v>
      </c>
    </row>
    <row r="502" ht="15.75" customHeight="1">
      <c r="A502" s="2">
        <v>501.0</v>
      </c>
      <c r="B502" s="5" t="s">
        <v>898</v>
      </c>
      <c r="C502" s="6">
        <v>2.0</v>
      </c>
      <c r="D502" s="9" t="s">
        <v>899</v>
      </c>
      <c r="E502" s="8" t="str">
        <f>IFERROR(__xludf.DUMMYFUNCTION("googletranslate(D502,""id"",""en"")"),"This morning it really fits for Cuddle, holds it, still still PPKM")</f>
        <v>This morning it really fits for Cuddle, holds it, still still PPKM</v>
      </c>
    </row>
    <row r="503" ht="15.75" customHeight="1">
      <c r="A503" s="2">
        <v>502.0</v>
      </c>
      <c r="B503" s="5" t="s">
        <v>900</v>
      </c>
      <c r="C503" s="6">
        <v>2.0</v>
      </c>
      <c r="D503" s="7" t="s">
        <v>900</v>
      </c>
      <c r="E503" s="8" t="str">
        <f>IFERROR(__xludf.DUMMYFUNCTION("googletranslate(D503,""id"",""en"")"),"jog alfam4rt open the piro yo ppkm clock gini?")</f>
        <v>jog alfam4rt open the piro yo ppkm clock gini?</v>
      </c>
    </row>
    <row r="504" ht="15.75" customHeight="1">
      <c r="A504" s="2">
        <v>503.0</v>
      </c>
      <c r="B504" s="5" t="s">
        <v>901</v>
      </c>
      <c r="C504" s="6">
        <v>1.0</v>
      </c>
      <c r="D504" s="9" t="s">
        <v>902</v>
      </c>
      <c r="E504" s="8" t="str">
        <f>IFERROR(__xludf.DUMMYFUNCTION("googletranslate(D504,""id"",""en"")"),"I can't see the people wandering but there is a ppkm, stupid to the dut")</f>
        <v>I can't see the people wandering but there is a ppkm, stupid to the dut</v>
      </c>
    </row>
    <row r="505" ht="15.75" customHeight="1">
      <c r="A505" s="2">
        <v>504.0</v>
      </c>
      <c r="B505" s="5" t="s">
        <v>903</v>
      </c>
      <c r="C505" s="6">
        <v>3.0</v>
      </c>
      <c r="D505" s="9" t="s">
        <v>904</v>
      </c>
      <c r="E505" s="8" t="str">
        <f>IFERROR(__xludf.DUMMYFUNCTION("googletranslate(D505,""id"",""en"")"),"Which basically ordered the Head of Kajati and Kajari to take the necessary steps in accordance with their duties, functions, authority to provide support for the implementation of emergency PPKM policies.")</f>
        <v>Which basically ordered the Head of Kajati and Kajari to take the necessary steps in accordance with their duties, functions, authority to provide support for the implementation of emergency PPKM policies.</v>
      </c>
    </row>
    <row r="506" ht="15.75" customHeight="1">
      <c r="A506" s="2">
        <v>505.0</v>
      </c>
      <c r="B506" s="5" t="s">
        <v>905</v>
      </c>
      <c r="C506" s="6">
        <v>1.0</v>
      </c>
      <c r="D506" s="7" t="s">
        <v>906</v>
      </c>
      <c r="E506" s="8" t="str">
        <f>IFERROR(__xludf.DUMMYFUNCTION("googletranslate(D506,""id"",""en"")"),"DH Semat DH assesses who lift agreed to apply many emergency PPKMs are not aware of the ability effect")</f>
        <v>DH Semat DH assesses who lift agreed to apply many emergency PPKMs are not aware of the ability effect</v>
      </c>
    </row>
    <row r="507" ht="15.75" customHeight="1">
      <c r="A507" s="2">
        <v>506.0</v>
      </c>
      <c r="B507" s="5" t="s">
        <v>907</v>
      </c>
      <c r="C507" s="6">
        <v>1.0</v>
      </c>
      <c r="D507" s="7" t="s">
        <v>908</v>
      </c>
      <c r="E507" s="8" t="str">
        <f>IFERROR(__xludf.DUMMYFUNCTION("googletranslate(D507,""id"",""en"")"),"This is Nant's sequel, PPKM. In the first part, the second part died.")</f>
        <v>This is Nant's sequel, PPKM. In the first part, the second part died.</v>
      </c>
    </row>
    <row r="508" ht="15.75" customHeight="1">
      <c r="A508" s="2">
        <v>507.0</v>
      </c>
      <c r="B508" s="5" t="s">
        <v>909</v>
      </c>
      <c r="C508" s="6">
        <v>1.0</v>
      </c>
      <c r="D508" s="7" t="s">
        <v>909</v>
      </c>
      <c r="E508" s="8" t="str">
        <f>IFERROR(__xludf.DUMMYFUNCTION("googletranslate(D508,""id"",""en"")"),"The transport of merchandise, crushed the reasons for the PPKM raid do not have a sense of humanity ...")</f>
        <v>The transport of merchandise, crushed the reasons for the PPKM raid do not have a sense of humanity ...</v>
      </c>
    </row>
    <row r="509" ht="15.75" customHeight="1">
      <c r="A509" s="2">
        <v>508.0</v>
      </c>
      <c r="B509" s="5" t="s">
        <v>910</v>
      </c>
      <c r="C509" s="6">
        <v>2.0</v>
      </c>
      <c r="D509" s="7" t="s">
        <v>911</v>
      </c>
      <c r="E509" s="8" t="str">
        <f>IFERROR(__xludf.DUMMYFUNCTION("googletranslate(D509,""id"",""en"")"),"Ppkm this vaccine service is still open or still min?")</f>
        <v>Ppkm this vaccine service is still open or still min?</v>
      </c>
    </row>
    <row r="510" ht="15.75" customHeight="1">
      <c r="A510" s="2">
        <v>509.0</v>
      </c>
      <c r="B510" s="5" t="s">
        <v>912</v>
      </c>
      <c r="C510" s="6">
        <v>3.0</v>
      </c>
      <c r="D510" s="7" t="s">
        <v>913</v>
      </c>
      <c r="E510" s="8" t="str">
        <f>IFERROR(__xludf.DUMMYFUNCTION("googletranslate(D510,""id"",""en"")"),"Don't waste hard work all legal apparatus n Emergency PPKM Task Force.")</f>
        <v>Don't waste hard work all legal apparatus n Emergency PPKM Task Force.</v>
      </c>
    </row>
    <row r="511" ht="15.75" customHeight="1">
      <c r="A511" s="2">
        <v>510.0</v>
      </c>
      <c r="B511" s="5" t="s">
        <v>914</v>
      </c>
      <c r="C511" s="6">
        <v>2.0</v>
      </c>
      <c r="D511" s="7" t="s">
        <v>914</v>
      </c>
      <c r="E511" s="8" t="str">
        <f>IFERROR(__xludf.DUMMYFUNCTION("googletranslate(D511,""id"",""en"")"),"Ppkm but can pass jagakarsa muehehe")</f>
        <v>Ppkm but can pass jagakarsa muehehe</v>
      </c>
    </row>
    <row r="512" ht="15.75" customHeight="1">
      <c r="A512" s="2">
        <v>511.0</v>
      </c>
      <c r="B512" s="5" t="s">
        <v>915</v>
      </c>
      <c r="C512" s="6">
        <v>2.0</v>
      </c>
      <c r="D512" s="9" t="s">
        <v>916</v>
      </c>
      <c r="E512" s="8" t="str">
        <f>IFERROR(__xludf.DUMMYFUNCTION("googletranslate(D512,""id"",""en"")"),"Ppkm = morning morning kangen melyyha")</f>
        <v>Ppkm = morning morning kangen melyyha</v>
      </c>
    </row>
    <row r="513" ht="15.75" customHeight="1">
      <c r="A513" s="2">
        <v>512.0</v>
      </c>
      <c r="B513" s="5" t="s">
        <v>917</v>
      </c>
      <c r="C513" s="6">
        <v>3.0</v>
      </c>
      <c r="D513" s="9" t="s">
        <v>918</v>
      </c>
      <c r="E513" s="8" t="str">
        <f>IFERROR(__xludf.DUMMYFUNCTION("googletranslate(D513,""id"",""en"")"),"Solokanjeruk police personnel carry out emergency PPKM socialization.")</f>
        <v>Solokanjeruk police personnel carry out emergency PPKM socialization.</v>
      </c>
    </row>
    <row r="514" ht="15.75" customHeight="1">
      <c r="A514" s="2">
        <v>513.0</v>
      </c>
      <c r="B514" s="5" t="s">
        <v>919</v>
      </c>
      <c r="C514" s="6">
        <v>3.0</v>
      </c>
      <c r="D514" s="9" t="s">
        <v>920</v>
      </c>
      <c r="E514" s="8" t="str">
        <f>IFERROR(__xludf.DUMMYFUNCTION("googletranslate(D514,""id"",""en"")"),"Bogor Mayor Bima Arya will allocate emergency PPKM logistics assistance")</f>
        <v>Bogor Mayor Bima Arya will allocate emergency PPKM logistics assistance</v>
      </c>
    </row>
    <row r="515" ht="15.75" customHeight="1">
      <c r="A515" s="2">
        <v>514.0</v>
      </c>
      <c r="B515" s="5" t="s">
        <v>921</v>
      </c>
      <c r="C515" s="6">
        <v>1.0</v>
      </c>
      <c r="D515" s="9" t="s">
        <v>922</v>
      </c>
      <c r="E515" s="8" t="str">
        <f>IFERROR(__xludf.DUMMYFUNCTION("googletranslate(D515,""id"",""en"")"),"In fact PPKM mask imposes a vaccine to the people because the requirements of the mobility of residents become the requirement to qualify for the PPKM raid .. Is the regime that the vaccine has been able to be immune to covid and remove the mask? Efforts "&amp;"of Vaccine Sales Regime Use Regime Policy ...")</f>
        <v>In fact PPKM mask imposes a vaccine to the people because the requirements of the mobility of residents become the requirement to qualify for the PPKM raid .. Is the regime that the vaccine has been able to be immune to covid and remove the mask? Efforts of Vaccine Sales Regime Use Regime Policy ...</v>
      </c>
    </row>
    <row r="516" ht="15.75" customHeight="1">
      <c r="A516" s="2">
        <v>515.0</v>
      </c>
      <c r="B516" s="5" t="s">
        <v>923</v>
      </c>
      <c r="C516" s="6">
        <v>1.0</v>
      </c>
      <c r="D516" s="9" t="s">
        <v>924</v>
      </c>
      <c r="E516" s="8" t="str">
        <f>IFERROR(__xludf.DUMMYFUNCTION("googletranslate(D516,""id"",""en"")"),"The doctor can't get to the hospital because the police are too 'firm' with PPKM rules. Who treated Covid patients if medical personnel were blocked by access? PPKM will be in vary too.")</f>
        <v>The doctor can't get to the hospital because the police are too 'firm' with PPKM rules. Who treated Covid patients if medical personnel were blocked by access? PPKM will be in vary too.</v>
      </c>
    </row>
    <row r="517" ht="15.75" customHeight="1">
      <c r="A517" s="2">
        <v>516.0</v>
      </c>
      <c r="B517" s="5" t="s">
        <v>925</v>
      </c>
      <c r="C517" s="6">
        <v>1.0</v>
      </c>
      <c r="D517" s="7" t="s">
        <v>926</v>
      </c>
      <c r="E517" s="8" t="str">
        <f>IFERROR(__xludf.DUMMYFUNCTION("googletranslate(D517,""id"",""en"")"),"Mr. Sir when backwards (PPKM)")</f>
        <v>Mr. Sir when backwards (PPKM)</v>
      </c>
    </row>
    <row r="518" ht="15.75" customHeight="1">
      <c r="A518" s="2">
        <v>517.0</v>
      </c>
      <c r="B518" s="5" t="s">
        <v>927</v>
      </c>
      <c r="C518" s="6">
        <v>2.0</v>
      </c>
      <c r="D518" s="7" t="s">
        <v>928</v>
      </c>
      <c r="E518" s="8" t="str">
        <f>IFERROR(__xludf.DUMMYFUNCTION("googletranslate(D518,""id"",""en"")"),"Ppkmpagi morning sweet coffee")</f>
        <v>Ppkmpagi morning sweet coffee</v>
      </c>
    </row>
    <row r="519" ht="15.75" customHeight="1">
      <c r="A519" s="2">
        <v>518.0</v>
      </c>
      <c r="B519" s="5" t="s">
        <v>929</v>
      </c>
      <c r="C519" s="6">
        <v>2.0</v>
      </c>
      <c r="D519" s="7" t="s">
        <v>930</v>
      </c>
      <c r="E519" s="8" t="str">
        <f>IFERROR(__xludf.DUMMYFUNCTION("googletranslate(D519,""id"",""en"")"),"PPKPertama believes then regret")</f>
        <v>PPKPertama believes then regret</v>
      </c>
    </row>
    <row r="520" ht="15.75" customHeight="1">
      <c r="A520" s="2">
        <v>519.0</v>
      </c>
      <c r="B520" s="5" t="s">
        <v>931</v>
      </c>
      <c r="C520" s="6">
        <v>3.0</v>
      </c>
      <c r="D520" s="7" t="s">
        <v>932</v>
      </c>
      <c r="E520" s="8" t="str">
        <f>IFERROR(__xludf.DUMMYFUNCTION("googletranslate(D520,""id"",""en"")"),"You can definitely dooongr..yok follow the Gaes Emergency PPKM Rules")</f>
        <v>You can definitely dooongr..yok follow the Gaes Emergency PPKM Rules</v>
      </c>
    </row>
    <row r="521" ht="15.75" customHeight="1">
      <c r="A521" s="2">
        <v>520.0</v>
      </c>
      <c r="B521" s="5" t="s">
        <v>933</v>
      </c>
      <c r="C521" s="6">
        <v>3.0</v>
      </c>
      <c r="D521" s="9" t="s">
        <v>934</v>
      </c>
      <c r="E521" s="8" t="str">
        <f>IFERROR(__xludf.DUMMYFUNCTION("googletranslate(D521,""id"",""en"")"),"Yooook Sllu Datay PPKM ...")</f>
        <v>Yooook Sllu Datay PPKM ...</v>
      </c>
    </row>
    <row r="522" ht="15.75" customHeight="1">
      <c r="A522" s="2">
        <v>521.0</v>
      </c>
      <c r="B522" s="5" t="s">
        <v>935</v>
      </c>
      <c r="C522" s="6">
        <v>2.0</v>
      </c>
      <c r="D522" s="7" t="s">
        <v>936</v>
      </c>
      <c r="E522" s="8" t="str">
        <f>IFERROR(__xludf.DUMMYFUNCTION("googletranslate(D522,""id"",""en"")"),"Yes ... it's really good. Lockdown, don't emergency PPKM.")</f>
        <v>Yes ... it's really good. Lockdown, don't emergency PPKM.</v>
      </c>
    </row>
    <row r="523" ht="15.75" customHeight="1">
      <c r="A523" s="2">
        <v>522.0</v>
      </c>
      <c r="B523" s="5" t="s">
        <v>937</v>
      </c>
      <c r="C523" s="6">
        <v>1.0</v>
      </c>
      <c r="D523" s="9" t="s">
        <v>937</v>
      </c>
      <c r="E523" s="8" t="str">
        <f>IFERROR(__xludf.DUMMYFUNCTION("googletranslate(D523,""id"",""en"")"),"Still don't agree to sm lockdown / ppkm / psbb that is now. Not everyone can survive in Lockdown. One option for those who want to work / activities have been vaccinated,")</f>
        <v>Still don't agree to sm lockdown / ppkm / psbb that is now. Not everyone can survive in Lockdown. One option for those who want to work / activities have been vaccinated,</v>
      </c>
    </row>
    <row r="524" ht="15.75" customHeight="1">
      <c r="A524" s="2">
        <v>523.0</v>
      </c>
      <c r="B524" s="5" t="s">
        <v>938</v>
      </c>
      <c r="C524" s="6">
        <v>1.0</v>
      </c>
      <c r="D524" s="7" t="s">
        <v>939</v>
      </c>
      <c r="E524" s="8" t="str">
        <f>IFERROR(__xludf.DUMMYFUNCTION("googletranslate(D524,""id"",""en"")"),"Gasuka PPKM, Look TT Km")</f>
        <v>Gasuka PPKM, Look TT Km</v>
      </c>
    </row>
    <row r="525" ht="15.75" customHeight="1">
      <c r="A525" s="2">
        <v>524.0</v>
      </c>
      <c r="B525" s="5" t="s">
        <v>940</v>
      </c>
      <c r="C525" s="6">
        <v>1.0</v>
      </c>
      <c r="D525" s="7" t="s">
        <v>941</v>
      </c>
      <c r="E525" s="8" t="str">
        <f>IFERROR(__xludf.DUMMYFUNCTION("googletranslate(D525,""id"",""en"")"),"Hadehh in the second class of his news like this. Ppkm jawa bali, this is in Sulawesi BOSS")</f>
        <v>Hadehh in the second class of his news like this. Ppkm jawa bali, this is in Sulawesi BOSS</v>
      </c>
    </row>
    <row r="526" ht="15.75" customHeight="1">
      <c r="A526" s="2">
        <v>525.0</v>
      </c>
      <c r="B526" s="5" t="s">
        <v>942</v>
      </c>
      <c r="C526" s="6">
        <v>2.0</v>
      </c>
      <c r="D526" s="9" t="s">
        <v>943</v>
      </c>
      <c r="E526" s="8" t="str">
        <f>IFERROR(__xludf.DUMMYFUNCTION("googletranslate(D526,""id"",""en"")"),"Are you emergency ppkm like to send out of the city of Giaman? The courier was told to go back?")</f>
        <v>Are you emergency ppkm like to send out of the city of Giaman? The courier was told to go back?</v>
      </c>
    </row>
    <row r="527" ht="15.75" customHeight="1">
      <c r="A527" s="2">
        <v>526.0</v>
      </c>
      <c r="B527" s="5" t="s">
        <v>944</v>
      </c>
      <c r="C527" s="6">
        <v>3.0</v>
      </c>
      <c r="D527" s="7" t="s">
        <v>945</v>
      </c>
      <c r="E527" s="8" t="str">
        <f>IFERROR(__xludf.DUMMYFUNCTION("googletranslate(D527,""id"",""en"")"),"Support the Emergency PPKM Island of Java Bali")</f>
        <v>Support the Emergency PPKM Island of Java Bali</v>
      </c>
    </row>
    <row r="528" ht="15.75" customHeight="1">
      <c r="A528" s="2">
        <v>527.0</v>
      </c>
      <c r="B528" s="5" t="s">
        <v>946</v>
      </c>
      <c r="C528" s="6">
        <v>1.0</v>
      </c>
      <c r="D528" s="9" t="s">
        <v>946</v>
      </c>
      <c r="E528" s="8" t="str">
        <f>IFERROR(__xludf.DUMMYFUNCTION("googletranslate(D528,""id"",""en"")"),"PPKM (the rulers run out of capital)")</f>
        <v>PPKM (the rulers run out of capital)</v>
      </c>
    </row>
    <row r="529" ht="15.75" customHeight="1">
      <c r="A529" s="2">
        <v>528.0</v>
      </c>
      <c r="B529" s="5" t="s">
        <v>947</v>
      </c>
      <c r="C529" s="6">
        <v>2.0</v>
      </c>
      <c r="D529" s="9" t="s">
        <v>947</v>
      </c>
      <c r="E529" s="8" t="str">
        <f>IFERROR(__xludf.DUMMYFUNCTION("googletranslate(D529,""id"",""en"")"),"The government officially applies the enactment of restrictions on emergency community activities (PPKM)!")</f>
        <v>The government officially applies the enactment of restrictions on emergency community activities (PPKM)!</v>
      </c>
    </row>
    <row r="530" ht="15.75" customHeight="1">
      <c r="A530" s="2">
        <v>529.0</v>
      </c>
      <c r="B530" s="5" t="s">
        <v>948</v>
      </c>
      <c r="C530" s="6">
        <v>2.0</v>
      </c>
      <c r="D530" s="7" t="s">
        <v>948</v>
      </c>
      <c r="E530" s="8" t="str">
        <f>IFERROR(__xludf.DUMMYFUNCTION("googletranslate(D530,""id"",""en"")"),"The road to RSIA JG BYK is closed. The RSIA is indeed exactly the front of the Slamet Park, so it should be on the entrance, but this emergency PPKM can only pass certain roads. So it's not crowded.")</f>
        <v>The road to RSIA JG BYK is closed. The RSIA is indeed exactly the front of the Slamet Park, so it should be on the entrance, but this emergency PPKM can only pass certain roads. So it's not crowded.</v>
      </c>
    </row>
    <row r="531" ht="15.75" customHeight="1">
      <c r="A531" s="2">
        <v>530.0</v>
      </c>
      <c r="B531" s="5" t="s">
        <v>949</v>
      </c>
      <c r="C531" s="6">
        <v>2.0</v>
      </c>
      <c r="D531" s="9" t="s">
        <v>950</v>
      </c>
      <c r="E531" s="8" t="str">
        <f>IFERROR(__xludf.DUMMYFUNCTION("googletranslate(D531,""id"",""en"")"),"ppkm, want to hold your cock,")</f>
        <v>ppkm, want to hold your cock,</v>
      </c>
    </row>
    <row r="532" ht="15.75" customHeight="1">
      <c r="A532" s="2">
        <v>531.0</v>
      </c>
      <c r="B532" s="5" t="s">
        <v>951</v>
      </c>
      <c r="C532" s="6">
        <v>1.0</v>
      </c>
      <c r="D532" s="7" t="s">
        <v>952</v>
      </c>
      <c r="E532" s="8" t="str">
        <f>IFERROR(__xludf.DUMMYFUNCTION("googletranslate(D532,""id"",""en"")"),"TKA China came when the PPKM was dealt with friends and friends?")</f>
        <v>TKA China came when the PPKM was dealt with friends and friends?</v>
      </c>
    </row>
    <row r="533" ht="15.75" customHeight="1">
      <c r="A533" s="2">
        <v>532.0</v>
      </c>
      <c r="B533" s="5" t="s">
        <v>953</v>
      </c>
      <c r="C533" s="6">
        <v>1.0</v>
      </c>
      <c r="D533" s="7" t="s">
        <v>954</v>
      </c>
      <c r="E533" s="8" t="str">
        <f>IFERROR(__xludf.DUMMYFUNCTION("googletranslate(D533,""id"",""en"")"),"The public Juge is the one who is wrong this comedy times. Thought La Kenape Masy ttp there was a street. Look for money sir. The quarantine area uses changing the name JD PPKM so it doesn't have the need for the needs of citizens and livestock. Well! Old"&amp;" nausea")</f>
        <v>The public Juge is the one who is wrong this comedy times. Thought La Kenape Masy ttp there was a street. Look for money sir. The quarantine area uses changing the name JD PPKM so it doesn't have the need for the needs of citizens and livestock. Well! Old nausea</v>
      </c>
    </row>
    <row r="534" ht="15.75" customHeight="1">
      <c r="A534" s="2">
        <v>533.0</v>
      </c>
      <c r="B534" s="5" t="s">
        <v>955</v>
      </c>
      <c r="C534" s="6">
        <v>3.0</v>
      </c>
      <c r="D534" s="7" t="s">
        <v>956</v>
      </c>
      <c r="E534" s="8" t="str">
        <f>IFERROR(__xludf.DUMMYFUNCTION("googletranslate(D534,""id"",""en"")"),"Please for those who want to read. PPKM if your antibodies are weak. You are strong if nutrition, nutrition, your vitamins are fulfilled")</f>
        <v>Please for those who want to read. PPKM if your antibodies are weak. You are strong if nutrition, nutrition, your vitamins are fulfilled</v>
      </c>
    </row>
    <row r="535" ht="15.75" customHeight="1">
      <c r="A535" s="2">
        <v>534.0</v>
      </c>
      <c r="B535" s="5" t="s">
        <v>957</v>
      </c>
      <c r="C535" s="6">
        <v>2.0</v>
      </c>
      <c r="D535" s="10" t="s">
        <v>958</v>
      </c>
      <c r="E535" s="8" t="str">
        <f>IFERROR(__xludf.DUMMYFUNCTION("googletranslate(D535,""id"",""en"")"),"Again PPKM.")</f>
        <v>Again PPKM.</v>
      </c>
    </row>
    <row r="536" ht="15.75" customHeight="1">
      <c r="A536" s="2">
        <v>535.0</v>
      </c>
      <c r="B536" s="5" t="s">
        <v>959</v>
      </c>
      <c r="C536" s="6">
        <v>3.0</v>
      </c>
      <c r="D536" s="7" t="s">
        <v>960</v>
      </c>
      <c r="E536" s="8" t="str">
        <f>IFERROR(__xludf.DUMMYFUNCTION("googletranslate(D536,""id"",""en"")"),"Minister of Home Affairs asked the regional heads not hesitate to apply emergency PPKM.")</f>
        <v>Minister of Home Affairs asked the regional heads not hesitate to apply emergency PPKM.</v>
      </c>
    </row>
    <row r="537" ht="15.75" customHeight="1">
      <c r="A537" s="2">
        <v>536.0</v>
      </c>
      <c r="B537" s="5" t="s">
        <v>961</v>
      </c>
      <c r="C537" s="6">
        <v>3.0</v>
      </c>
      <c r="D537" s="7" t="s">
        <v>962</v>
      </c>
      <c r="E537" s="8" t="str">
        <f>IFERROR(__xludf.DUMMYFUNCTION("googletranslate(D537,""id"",""en"")"),"Firmly acts for emergency PPKM violators")</f>
        <v>Firmly acts for emergency PPKM violators</v>
      </c>
    </row>
    <row r="538" ht="15.75" customHeight="1">
      <c r="A538" s="2">
        <v>537.0</v>
      </c>
      <c r="B538" s="5" t="s">
        <v>963</v>
      </c>
      <c r="C538" s="6">
        <v>3.0</v>
      </c>
      <c r="D538" s="7" t="s">
        <v>963</v>
      </c>
      <c r="E538" s="8" t="str">
        <f>IFERROR(__xludf.DUMMYFUNCTION("googletranslate(D538,""id"",""en"")"),"Governor Khofifah appreciated the Al Akbar Mosque and Aysi, who will hold a virtual joint prayer during Emergency PPKM")</f>
        <v>Governor Khofifah appreciated the Al Akbar Mosque and Aysi, who will hold a virtual joint prayer during Emergency PPKM</v>
      </c>
    </row>
    <row r="539" ht="15.75" customHeight="1">
      <c r="A539" s="2">
        <v>538.0</v>
      </c>
      <c r="B539" s="5" t="s">
        <v>964</v>
      </c>
      <c r="C539" s="6">
        <v>2.0</v>
      </c>
      <c r="D539" s="7" t="s">
        <v>965</v>
      </c>
      <c r="E539" s="8" t="str">
        <f>IFERROR(__xludf.DUMMYFUNCTION("googletranslate(D539,""id"",""en"")"),"Ppkm, slowly you think about it ..")</f>
        <v>Ppkm, slowly you think about it ..</v>
      </c>
    </row>
    <row r="540" ht="15.75" customHeight="1">
      <c r="A540" s="2">
        <v>539.0</v>
      </c>
      <c r="B540" s="5" t="s">
        <v>966</v>
      </c>
      <c r="C540" s="6">
        <v>3.0</v>
      </c>
      <c r="D540" s="7" t="s">
        <v>967</v>
      </c>
      <c r="E540" s="8" t="str">
        <f>IFERROR(__xludf.DUMMYFUNCTION("googletranslate(D540,""id"",""en"")"),"For all our goodness, support Emergency PPKM")</f>
        <v>For all our goodness, support Emergency PPKM</v>
      </c>
    </row>
    <row r="541" ht="15.75" customHeight="1">
      <c r="A541" s="2">
        <v>540.0</v>
      </c>
      <c r="B541" s="5" t="s">
        <v>968</v>
      </c>
      <c r="C541" s="6">
        <v>2.0</v>
      </c>
      <c r="D541" s="7" t="s">
        <v>969</v>
      </c>
      <c r="E541" s="8" t="str">
        <f>IFERROR(__xludf.DUMMYFUNCTION("googletranslate(D541,""id"",""en"")"),"Again Emergency PPKM Sempet smile smile")</f>
        <v>Again Emergency PPKM Sempet smile smile</v>
      </c>
    </row>
    <row r="542" ht="15.75" customHeight="1">
      <c r="A542" s="2">
        <v>541.0</v>
      </c>
      <c r="B542" s="5" t="s">
        <v>970</v>
      </c>
      <c r="C542" s="6">
        <v>3.0</v>
      </c>
      <c r="D542" s="7" t="s">
        <v>971</v>
      </c>
      <c r="E542" s="8" t="str">
        <f>IFERROR(__xludf.DUMMYFUNCTION("googletranslate(D542,""id"",""en"")"),"Digital Center to deliver various government info on the community during emergency PPKM applies so that the public will not be victims of misinformation and hoax.")</f>
        <v>Digital Center to deliver various government info on the community during emergency PPKM applies so that the public will not be victims of misinformation and hoax.</v>
      </c>
    </row>
    <row r="543" ht="15.75" customHeight="1">
      <c r="A543" s="2">
        <v>542.0</v>
      </c>
      <c r="B543" s="5" t="s">
        <v>972</v>
      </c>
      <c r="C543" s="6">
        <v>1.0</v>
      </c>
      <c r="D543" s="9" t="s">
        <v>973</v>
      </c>
      <c r="E543" s="8" t="str">
        <f>IFERROR(__xludf.DUMMYFUNCTION("googletranslate(D543,""id"",""en"")"),"At home only. PPKM = Lockdown Low Bajet with local wisdom.")</f>
        <v>At home only. PPKM = Lockdown Low Bajet with local wisdom.</v>
      </c>
    </row>
    <row r="544" ht="15.75" customHeight="1">
      <c r="A544" s="2">
        <v>543.0</v>
      </c>
      <c r="B544" s="5" t="s">
        <v>974</v>
      </c>
      <c r="C544" s="6">
        <v>1.0</v>
      </c>
      <c r="D544" s="9" t="s">
        <v>975</v>
      </c>
      <c r="E544" s="8" t="str">
        <f>IFERROR(__xludf.DUMMYFUNCTION("googletranslate(D544,""id"",""en"")"),"The street is closed, the traffic activities are hampered ... those who follow the PPKM rules are only monthly paid office workers, while for those besides, every day they are fighting to support the family in the midst of uncertain economic conditions, u"&amp;"nless they will be dueled by the country")</f>
        <v>The street is closed, the traffic activities are hampered ... those who follow the PPKM rules are only monthly paid office workers, while for those besides, every day they are fighting to support the family in the midst of uncertain economic conditions, unless they will be dueled by the country</v>
      </c>
    </row>
    <row r="545" ht="15.75" customHeight="1">
      <c r="A545" s="2">
        <v>544.0</v>
      </c>
      <c r="B545" s="5" t="s">
        <v>976</v>
      </c>
      <c r="C545" s="6">
        <v>3.0</v>
      </c>
      <c r="D545" s="9" t="s">
        <v>977</v>
      </c>
      <c r="E545" s="8" t="str">
        <f>IFERROR(__xludf.DUMMYFUNCTION("googletranslate(D545,""id"",""en"")"),"Bulog Perum ensures the supply of rice safely during the emergency PPKM, while asking all levels to be aware of the surge. The community does not need to worry about the need for rice. Pandemic")</f>
        <v>Bulog Perum ensures the supply of rice safely during the emergency PPKM, while asking all levels to be aware of the surge. The community does not need to worry about the need for rice. Pandemic</v>
      </c>
    </row>
    <row r="546" ht="15.75" customHeight="1">
      <c r="A546" s="2">
        <v>545.0</v>
      </c>
      <c r="B546" s="5" t="s">
        <v>978</v>
      </c>
      <c r="C546" s="6">
        <v>2.0</v>
      </c>
      <c r="D546" s="7" t="s">
        <v>979</v>
      </c>
      <c r="E546" s="8" t="str">
        <f>IFERROR(__xludf.DUMMYFUNCTION("googletranslate(D546,""id"",""en"")"),"Ppkmpernah believe then betray")</f>
        <v>Ppkmpernah believe then betray</v>
      </c>
    </row>
    <row r="547" ht="15.75" customHeight="1">
      <c r="A547" s="2">
        <v>546.0</v>
      </c>
      <c r="B547" s="5" t="s">
        <v>980</v>
      </c>
      <c r="C547" s="6">
        <v>3.0</v>
      </c>
      <c r="D547" s="7" t="s">
        <v>971</v>
      </c>
      <c r="E547" s="8" t="str">
        <f>IFERROR(__xludf.DUMMYFUNCTION("googletranslate(D547,""id"",""en"")"),"Digital Center to deliver various government info on the community during emergency PPKM applies so that the public will not be victims of misinformation and hoax.")</f>
        <v>Digital Center to deliver various government info on the community during emergency PPKM applies so that the public will not be victims of misinformation and hoax.</v>
      </c>
    </row>
    <row r="548" ht="15.75" customHeight="1">
      <c r="A548" s="2">
        <v>547.0</v>
      </c>
      <c r="B548" s="5" t="s">
        <v>981</v>
      </c>
      <c r="C548" s="6">
        <v>2.0</v>
      </c>
      <c r="D548" s="9" t="s">
        <v>982</v>
      </c>
      <c r="E548" s="8" t="str">
        <f>IFERROR(__xludf.DUMMYFUNCTION("googletranslate(D548,""id"",""en"")"),"PPKPLelan-softly we stay away - masdalu-")</f>
        <v>PPKPLelan-softly we stay away - masdalu-</v>
      </c>
    </row>
    <row r="549" ht="15.75" customHeight="1">
      <c r="A549" s="2">
        <v>548.0</v>
      </c>
      <c r="B549" s="5" t="s">
        <v>983</v>
      </c>
      <c r="C549" s="6">
        <v>3.0</v>
      </c>
      <c r="D549" s="7" t="s">
        <v>984</v>
      </c>
      <c r="E549" s="8" t="str">
        <f>IFERROR(__xludf.DUMMYFUNCTION("googletranslate(D549,""id"",""en"")"),"Well. Already lazy-malesan obediently then extended. Mending aja emergency ppkm discipline.")</f>
        <v>Well. Already lazy-malesan obediently then extended. Mending aja emergency ppkm discipline.</v>
      </c>
    </row>
    <row r="550" ht="15.75" customHeight="1">
      <c r="A550" s="2">
        <v>549.0</v>
      </c>
      <c r="B550" s="5" t="s">
        <v>985</v>
      </c>
      <c r="C550" s="6">
        <v>1.0</v>
      </c>
      <c r="D550" s="9" t="s">
        <v>986</v>
      </c>
      <c r="E550" s="8" t="str">
        <f>IFERROR(__xludf.DUMMYFUNCTION("googletranslate(D550,""id"",""en"")"),"More PPKM There are dozens of Chinese TKA into Indonesia, FH Mingkem's mouth never blamed the President, in his wrong eyes just anies ... the same hatred anies acute")</f>
        <v>More PPKM There are dozens of Chinese TKA into Indonesia, FH Mingkem's mouth never blamed the President, in his wrong eyes just anies ... the same hatred anies acute</v>
      </c>
    </row>
    <row r="551" ht="15.75" customHeight="1">
      <c r="A551" s="2">
        <v>550.0</v>
      </c>
      <c r="B551" s="5" t="s">
        <v>987</v>
      </c>
      <c r="C551" s="6">
        <v>3.0</v>
      </c>
      <c r="D551" s="7" t="s">
        <v>988</v>
      </c>
      <c r="E551" s="8" t="str">
        <f>IFERROR(__xludf.DUMMYFUNCTION("googletranslate(D551,""id"",""en"")"),"Obey the Rules of PPKMPATIKM Emergency PPKM Rules")</f>
        <v>Obey the Rules of PPKMPATIKM Emergency PPKM Rules</v>
      </c>
    </row>
    <row r="552" ht="15.75" customHeight="1">
      <c r="A552" s="2">
        <v>551.0</v>
      </c>
      <c r="B552" s="5" t="s">
        <v>989</v>
      </c>
      <c r="C552" s="6">
        <v>1.0</v>
      </c>
      <c r="D552" s="7" t="s">
        <v>989</v>
      </c>
      <c r="E552" s="8" t="str">
        <f>IFERROR(__xludf.DUMMYFUNCTION("googletranslate(D552,""id"",""en"")"),"PPKM: Slowly slowly get mentally.")</f>
        <v>PPKM: Slowly slowly get mentally.</v>
      </c>
    </row>
    <row r="553" ht="15.75" customHeight="1">
      <c r="A553" s="2">
        <v>552.0</v>
      </c>
      <c r="B553" s="5" t="s">
        <v>990</v>
      </c>
      <c r="C553" s="6">
        <v>3.0</v>
      </c>
      <c r="D553" s="7" t="s">
        <v>991</v>
      </c>
      <c r="E553" s="8" t="str">
        <f>IFERROR(__xludf.DUMMYFUNCTION("googletranslate(D553,""id"",""en"")"),"There are electricity discounts from the government during Emergency PPKM for million customers VA and subsidized VA.")</f>
        <v>There are electricity discounts from the government during Emergency PPKM for million customers VA and subsidized VA.</v>
      </c>
    </row>
    <row r="554" ht="15.75" customHeight="1">
      <c r="A554" s="2">
        <v>553.0</v>
      </c>
      <c r="B554" s="5" t="s">
        <v>992</v>
      </c>
      <c r="C554" s="6">
        <v>3.0</v>
      </c>
      <c r="D554" s="7" t="s">
        <v>992</v>
      </c>
      <c r="E554" s="8" t="str">
        <f>IFERROR(__xludf.DUMMYFUNCTION("googletranslate(D554,""id"",""en"")"),"Bansos from the government during Emergency PPKM prioritize the bottom layer community to the light of the burden.")</f>
        <v>Bansos from the government during Emergency PPKM prioritize the bottom layer community to the light of the burden.</v>
      </c>
    </row>
    <row r="555" ht="15.75" customHeight="1">
      <c r="A555" s="2">
        <v>554.0</v>
      </c>
      <c r="B555" s="5" t="s">
        <v>993</v>
      </c>
      <c r="C555" s="6">
        <v>3.0</v>
      </c>
      <c r="D555" s="9" t="s">
        <v>994</v>
      </c>
      <c r="E555" s="8" t="str">
        <f>IFERROR(__xludf.DUMMYFUNCTION("googletranslate(D555,""id"",""en"")"),"The distribution of bansos from the government was carried out via the post office and the State Bank Association, it was hoped that the trustment reached the community during the emergency PPKM.")</f>
        <v>The distribution of bansos from the government was carried out via the post office and the State Bank Association, it was hoped that the trustment reached the community during the emergency PPKM.</v>
      </c>
    </row>
    <row r="556" ht="15.75" customHeight="1">
      <c r="A556" s="2">
        <v>555.0</v>
      </c>
      <c r="B556" s="5" t="s">
        <v>995</v>
      </c>
      <c r="C556" s="6">
        <v>3.0</v>
      </c>
      <c r="D556" s="9" t="s">
        <v>995</v>
      </c>
      <c r="E556" s="8" t="str">
        <f>IFERROR(__xludf.DUMMYFUNCTION("googletranslate(D556,""id"",""en"")"),"The local government is requested to accelerate the distribution of emergency PPKM bansos.")</f>
        <v>The local government is requested to accelerate the distribution of emergency PPKM bansos.</v>
      </c>
    </row>
    <row r="557" ht="15.75" customHeight="1">
      <c r="A557" s="2">
        <v>556.0</v>
      </c>
      <c r="B557" s="5" t="s">
        <v>996</v>
      </c>
      <c r="C557" s="6">
        <v>3.0</v>
      </c>
      <c r="D557" s="7" t="s">
        <v>997</v>
      </c>
      <c r="E557" s="8" t="str">
        <f>IFERROR(__xludf.DUMMYFUNCTION("googletranslate(D557,""id"",""en"")"),"Firm sanctions for violators of prokespatuhan PPKM rules")</f>
        <v>Firm sanctions for violators of prokespatuhan PPKM rules</v>
      </c>
    </row>
    <row r="558" ht="15.75" customHeight="1">
      <c r="A558" s="2">
        <v>557.0</v>
      </c>
      <c r="B558" s="5" t="s">
        <v>998</v>
      </c>
      <c r="C558" s="6">
        <v>3.0</v>
      </c>
      <c r="D558" s="7" t="s">
        <v>999</v>
      </c>
      <c r="E558" s="8" t="str">
        <f>IFERROR(__xludf.DUMMYFUNCTION("googletranslate(D558,""id"",""en"")"),"The Government Synchronizing Data Bansos Recipients During Emergency PPKM is done with the E-PKH Digital Application")</f>
        <v>The Government Synchronizing Data Bansos Recipients During Emergency PPKM is done with the E-PKH Digital Application</v>
      </c>
    </row>
    <row r="559" ht="15.75" customHeight="1">
      <c r="A559" s="2">
        <v>558.0</v>
      </c>
      <c r="B559" s="5" t="s">
        <v>1000</v>
      </c>
      <c r="C559" s="6">
        <v>3.0</v>
      </c>
      <c r="D559" s="9" t="s">
        <v>1001</v>
      </c>
      <c r="E559" s="8" t="str">
        <f>IFERROR(__xludf.DUMMYFUNCTION("googletranslate(D559,""id"",""en"")"),"Bansos during Emergency PPKM $ number $ July: 1. BLT SME2. Family Program Hope (PKH) 3. BLT village4. Sembako5 card. Precious card6. Cash Bansos7. Discount electricity tariff")</f>
        <v>Bansos during Emergency PPKM $ number $ July: 1. BLT SME2. Family Program Hope (PKH) 3. BLT village4. Sembako5 card. Precious card6. Cash Bansos7. Discount electricity tariff</v>
      </c>
    </row>
    <row r="560" ht="15.75" customHeight="1">
      <c r="A560" s="2">
        <v>559.0</v>
      </c>
      <c r="B560" s="5" t="s">
        <v>1002</v>
      </c>
      <c r="C560" s="6">
        <v>3.0</v>
      </c>
      <c r="D560" s="9" t="s">
        <v>1003</v>
      </c>
      <c r="E560" s="8" t="str">
        <f>IFERROR(__xludf.DUMMYFUNCTION("googletranslate(D560,""id"",""en"")"),"Cash Bansos are worth Rp. Thousand per month, and are channeled at the beginning of the month. The government also gives a card for a million people during the Java-Bali emergency PPKM.")</f>
        <v>Cash Bansos are worth Rp. Thousand per month, and are channeled at the beginning of the month. The government also gives a card for a million people during the Java-Bali emergency PPKM.</v>
      </c>
    </row>
    <row r="561" ht="15.75" customHeight="1">
      <c r="A561" s="2">
        <v>560.0</v>
      </c>
      <c r="B561" s="5" t="s">
        <v>1004</v>
      </c>
      <c r="C561" s="6">
        <v>3.0</v>
      </c>
      <c r="D561" s="9" t="s">
        <v>1005</v>
      </c>
      <c r="E561" s="8" t="str">
        <f>IFERROR(__xludf.DUMMYFUNCTION("googletranslate(D561,""id"",""en"")"),"Although emergency PPKM only applies to Java and Bali Province but the government continues to channel cash leads to provinces for underprivileged citizens.")</f>
        <v>Although emergency PPKM only applies to Java and Bali Province but the government continues to channel cash leads to provinces for underprivileged citizens.</v>
      </c>
    </row>
    <row r="562" ht="15.75" customHeight="1">
      <c r="A562" s="2">
        <v>561.0</v>
      </c>
      <c r="B562" s="5" t="s">
        <v>1006</v>
      </c>
      <c r="C562" s="6">
        <v>3.0</v>
      </c>
      <c r="D562" s="7" t="s">
        <v>1007</v>
      </c>
      <c r="E562" s="8" t="str">
        <f>IFERROR(__xludf.DUMMYFUNCTION("googletranslate(D562,""id"",""en"")"),"The government extended the Bansos during the Emergency PPKM aimed at helping the poor to stay in the middle of the Covid-19 pandemic.")</f>
        <v>The government extended the Bansos during the Emergency PPKM aimed at helping the poor to stay in the middle of the Covid-19 pandemic.</v>
      </c>
    </row>
    <row r="563" ht="15.75" customHeight="1">
      <c r="A563" s="2">
        <v>562.0</v>
      </c>
      <c r="B563" s="5" t="s">
        <v>1008</v>
      </c>
      <c r="C563" s="6">
        <v>3.0</v>
      </c>
      <c r="D563" s="7" t="s">
        <v>1009</v>
      </c>
      <c r="E563" s="8" t="str">
        <f>IFERROR(__xludf.DUMMYFUNCTION("googletranslate(D563,""id"",""en"")"),"Obey the emergency PPKM violator PPKM rule must be rewarded with severe sanctions")</f>
        <v>Obey the emergency PPKM violator PPKM rule must be rewarded with severe sanctions</v>
      </c>
    </row>
    <row r="564" ht="15.75" customHeight="1">
      <c r="A564" s="2">
        <v>563.0</v>
      </c>
      <c r="B564" s="5" t="s">
        <v>1010</v>
      </c>
      <c r="C564" s="6">
        <v>2.0</v>
      </c>
      <c r="D564" s="7" t="s">
        <v>1010</v>
      </c>
      <c r="E564" s="8" t="str">
        <f>IFERROR(__xludf.DUMMYFUNCTION("googletranslate(D564,""id"",""en"")"),"Seriously Tanya: What is the tightening of the micro PPKM?")</f>
        <v>Seriously Tanya: What is the tightening of the micro PPKM?</v>
      </c>
    </row>
    <row r="565" ht="15.75" customHeight="1">
      <c r="A565" s="2">
        <v>564.0</v>
      </c>
      <c r="B565" s="5" t="s">
        <v>1011</v>
      </c>
      <c r="C565" s="6">
        <v>3.0</v>
      </c>
      <c r="D565" s="7" t="s">
        <v>1012</v>
      </c>
      <c r="E565" s="8" t="str">
        <f>IFERROR(__xludf.DUMMYFUNCTION("googletranslate(D565,""id"",""en"")"),"Obey PPKM rules")</f>
        <v>Obey PPKM rules</v>
      </c>
    </row>
    <row r="566" ht="15.75" customHeight="1">
      <c r="A566" s="2">
        <v>565.0</v>
      </c>
      <c r="B566" s="5" t="s">
        <v>1013</v>
      </c>
      <c r="C566" s="6">
        <v>1.0</v>
      </c>
      <c r="D566" s="9" t="s">
        <v>1014</v>
      </c>
      <c r="E566" s="8" t="str">
        <f>IFERROR(__xludf.DUMMYFUNCTION("googletranslate(D566,""id"",""en"")"),"Now it's the Union, which is a coarse laborer, a freelance daily, when you want to survey to the location to PPKM pity")</f>
        <v>Now it's the Union, which is a coarse laborer, a freelance daily, when you want to survey to the location to PPKM pity</v>
      </c>
    </row>
    <row r="567" ht="15.75" customHeight="1">
      <c r="A567" s="2">
        <v>566.0</v>
      </c>
      <c r="B567" s="5" t="s">
        <v>1015</v>
      </c>
      <c r="C567" s="6">
        <v>2.0</v>
      </c>
      <c r="D567" s="7" t="s">
        <v>1016</v>
      </c>
      <c r="E567" s="8" t="str">
        <f>IFERROR(__xludf.DUMMYFUNCTION("googletranslate(D567,""id"",""en"")"),"ETDAH Feelings There Are Menfess Who Clear Rather than asking back and forth you can type in the search ""KediriFESS"" TRS Enter what you want to find, all there is for example Kedirifess PPKM. NTR appeared instead of asking back and forth Woi was surpris"&amp;"ed")</f>
        <v>ETDAH Feelings There Are Menfess Who Clear Rather than asking back and forth you can type in the search "KediriFESS" TRS Enter what you want to find, all there is for example Kedirifess PPKM. NTR appeared instead of asking back and forth Woi was surprised</v>
      </c>
    </row>
    <row r="568" ht="15.75" customHeight="1">
      <c r="A568" s="2">
        <v>567.0</v>
      </c>
      <c r="B568" s="5" t="s">
        <v>1017</v>
      </c>
      <c r="C568" s="6">
        <v>1.0</v>
      </c>
      <c r="D568" s="9" t="s">
        <v>1018</v>
      </c>
      <c r="E568" s="8" t="str">
        <f>IFERROR(__xludf.DUMMYFUNCTION("googletranslate(D568,""id"",""en"")"),"Mas Wir, please read the description of him, even though PPKM, strangers, TKA China may enter. So policy. If I meet with him, I will suggest, as long as the PPKM closes the international airport first. If he agrees. Thinking of this covid, not just him. H"&amp;"ow bad is it bad?")</f>
        <v>Mas Wir, please read the description of him, even though PPKM, strangers, TKA China may enter. So policy. If I meet with him, I will suggest, as long as the PPKM closes the international airport first. If he agrees. Thinking of this covid, not just him. How bad is it bad?</v>
      </c>
    </row>
    <row r="569" ht="15.75" customHeight="1">
      <c r="A569" s="2">
        <v>568.0</v>
      </c>
      <c r="B569" s="5" t="s">
        <v>1019</v>
      </c>
      <c r="C569" s="6">
        <v>2.0</v>
      </c>
      <c r="D569" s="9" t="s">
        <v>1020</v>
      </c>
      <c r="E569" s="8" t="str">
        <f>IFERROR(__xludf.DUMMYFUNCTION("googletranslate(D569,""id"",""en"")"),"Which before PPKM ... ???")</f>
        <v>Which before PPKM ... ???</v>
      </c>
    </row>
    <row r="570" ht="15.75" customHeight="1">
      <c r="A570" s="2">
        <v>569.0</v>
      </c>
      <c r="B570" s="5" t="s">
        <v>1021</v>
      </c>
      <c r="C570" s="6">
        <v>1.0</v>
      </c>
      <c r="D570" s="7" t="s">
        <v>1022</v>
      </c>
      <c r="E570" s="8" t="str">
        <f>IFERROR(__xludf.DUMMYFUNCTION("googletranslate(D570,""id"",""en"")"),"Situ Waras Pung? What is the use of PPKM but the airport is wide open for TKA? So the PPKM is only valid for small people, especially Muslims?")</f>
        <v>Situ Waras Pung? What is the use of PPKM but the airport is wide open for TKA? So the PPKM is only valid for small people, especially Muslims?</v>
      </c>
    </row>
    <row r="571" ht="15.75" customHeight="1">
      <c r="A571" s="2">
        <v>570.0</v>
      </c>
      <c r="B571" s="5" t="s">
        <v>1023</v>
      </c>
      <c r="C571" s="6">
        <v>2.0</v>
      </c>
      <c r="D571" s="7" t="s">
        <v>1024</v>
      </c>
      <c r="E571" s="8" t="str">
        <f>IFERROR(__xludf.DUMMYFUNCTION("googletranslate(D571,""id"",""en"")"),"PPKMPAgi morning must take a shower in the song.")</f>
        <v>PPKMPAgi morning must take a shower in the song.</v>
      </c>
    </row>
    <row r="572" ht="15.75" customHeight="1">
      <c r="A572" s="2">
        <v>571.0</v>
      </c>
      <c r="B572" s="5" t="s">
        <v>1025</v>
      </c>
      <c r="C572" s="6">
        <v>1.0</v>
      </c>
      <c r="D572" s="7" t="s">
        <v>1026</v>
      </c>
      <c r="E572" s="8" t="str">
        <f>IFERROR(__xludf.DUMMYFUNCTION("googletranslate(D572,""id"",""en"")"),"This is the PPKM Jakarta ... this is still at the walnut plaza ... on Jalan Matraman Raya Jakarta Pusat ... a lot ... very many crowds in Jakarta ... not just Sudirman Thamrin doang who is noisy ... eh instead it's wrong anymore ... right dodol")</f>
        <v>This is the PPKM Jakarta ... this is still at the walnut plaza ... on Jalan Matraman Raya Jakarta Pusat ... a lot ... very many crowds in Jakarta ... not just Sudirman Thamrin doang who is noisy ... eh instead it's wrong anymore ... right dodol</v>
      </c>
    </row>
    <row r="573" ht="15.75" customHeight="1">
      <c r="A573" s="2">
        <v>572.0</v>
      </c>
      <c r="B573" s="5" t="s">
        <v>1027</v>
      </c>
      <c r="C573" s="6">
        <v>2.0</v>
      </c>
      <c r="D573" s="7" t="s">
        <v>1028</v>
      </c>
      <c r="E573" s="8" t="str">
        <f>IFERROR(__xludf.DUMMYFUNCTION("googletranslate(D573,""id"",""en"")"),"Rather than likes ppkm without pp")</f>
        <v>Rather than likes ppkm without pp</v>
      </c>
    </row>
    <row r="574" ht="15.75" customHeight="1">
      <c r="A574" s="2">
        <v>573.0</v>
      </c>
      <c r="B574" s="5" t="s">
        <v>1029</v>
      </c>
      <c r="C574" s="6">
        <v>2.0</v>
      </c>
      <c r="D574" s="7" t="s">
        <v>1030</v>
      </c>
      <c r="E574" s="8" t="str">
        <f>IFERROR(__xludf.DUMMYFUNCTION("googletranslate(D574,""id"",""en"")"),"Yesterday PSBB Now PPKM Only Tomorrow Tomorrow PPKN, IPA, IPS, Mathematics, Akidah Akhlak, Qur'an Hadith, Interpretation Science")</f>
        <v>Yesterday PSBB Now PPKM Only Tomorrow Tomorrow PPKN, IPA, IPS, Mathematics, Akidah Akhlak, Qur'an Hadith, Interpretation Science</v>
      </c>
    </row>
    <row r="575" ht="15.75" customHeight="1">
      <c r="A575" s="2">
        <v>574.0</v>
      </c>
      <c r="B575" s="5" t="s">
        <v>1031</v>
      </c>
      <c r="C575" s="6">
        <v>1.0</v>
      </c>
      <c r="D575" s="7" t="s">
        <v>1031</v>
      </c>
      <c r="E575" s="8" t="str">
        <f>IFERROR(__xludf.DUMMYFUNCTION("googletranslate(D575,""id"",""en"")"),"This PPKM makes Bubrah's plan. Covid's hand over, it's good for gmn. Disappearance, Minimum Endemic")</f>
        <v>This PPKM makes Bubrah's plan. Covid's hand over, it's good for gmn. Disappearance, Minimum Endemic</v>
      </c>
    </row>
    <row r="576" ht="15.75" customHeight="1">
      <c r="A576" s="2">
        <v>575.0</v>
      </c>
      <c r="B576" s="5" t="s">
        <v>1032</v>
      </c>
      <c r="C576" s="6">
        <v>1.0</v>
      </c>
      <c r="D576" s="9" t="s">
        <v>1033</v>
      </c>
      <c r="E576" s="8" t="str">
        <f>IFERROR(__xludf.DUMMYFUNCTION("googletranslate(D576,""id"",""en"")"),"Different, sir, in the USA its citizens obedient to the government's prokes in the country + 62? His citizens instead rejected the Emergency PPKM and broke into all concrete, not to mention religious leaders provoked and worsened the situation by discredi"&amp;"ting the central government.")</f>
        <v>Different, sir, in the USA its citizens obedient to the government's prokes in the country + 62? His citizens instead rejected the Emergency PPKM and broke into all concrete, not to mention religious leaders provoked and worsened the situation by discrediting the central government.</v>
      </c>
    </row>
    <row r="577" ht="15.75" customHeight="1">
      <c r="A577" s="2">
        <v>576.0</v>
      </c>
      <c r="B577" s="5" t="s">
        <v>1034</v>
      </c>
      <c r="C577" s="6">
        <v>2.0</v>
      </c>
      <c r="D577" s="9" t="s">
        <v>1035</v>
      </c>
      <c r="E577" s="8" t="str">
        <f>IFERROR(__xludf.DUMMYFUNCTION("googletranslate(D577,""id"",""en"")"),"Hello if we take the train in the Gini PPKM era, should you give the test swab or vaccine? Thank you")</f>
        <v>Hello if we take the train in the Gini PPKM era, should you give the test swab or vaccine? Thank you</v>
      </c>
    </row>
    <row r="578" ht="15.75" customHeight="1">
      <c r="A578" s="2">
        <v>577.0</v>
      </c>
      <c r="B578" s="5" t="s">
        <v>1036</v>
      </c>
      <c r="C578" s="6">
        <v>2.0</v>
      </c>
      <c r="D578" s="9" t="s">
        <v>1036</v>
      </c>
      <c r="E578" s="8" t="str">
        <f>IFERROR(__xludf.DUMMYFUNCTION("googletranslate(D578,""id"",""en"")"),"Ppkm (want to hug you mas)")</f>
        <v>Ppkm (want to hug you mas)</v>
      </c>
    </row>
    <row r="579" ht="15.75" customHeight="1">
      <c r="A579" s="2">
        <v>578.0</v>
      </c>
      <c r="B579" s="5" t="s">
        <v>1037</v>
      </c>
      <c r="C579" s="6">
        <v>2.0</v>
      </c>
      <c r="D579" s="7" t="s">
        <v>1038</v>
      </c>
      <c r="E579" s="8" t="str">
        <f>IFERROR(__xludf.DUMMYFUNCTION("googletranslate(D579,""id"",""en"")"),"ppkm menu day to")</f>
        <v>ppkm menu day to</v>
      </c>
    </row>
    <row r="580" ht="15.75" customHeight="1">
      <c r="A580" s="2">
        <v>579.0</v>
      </c>
      <c r="B580" s="5" t="s">
        <v>1039</v>
      </c>
      <c r="C580" s="6">
        <v>2.0</v>
      </c>
      <c r="D580" s="7" t="s">
        <v>1040</v>
      </c>
      <c r="E580" s="8" t="str">
        <f>IFERROR(__xludf.DUMMYFUNCTION("googletranslate(D580,""id"",""en"")"),"During the PPKM where is the SIM extension that is still operating normally? CC:")</f>
        <v>During the PPKM where is the SIM extension that is still operating normally? CC:</v>
      </c>
    </row>
    <row r="581" ht="15.75" customHeight="1">
      <c r="A581" s="2">
        <v>580.0</v>
      </c>
      <c r="B581" s="5" t="s">
        <v>1041</v>
      </c>
      <c r="C581" s="6">
        <v>2.0</v>
      </c>
      <c r="D581" s="7" t="s">
        <v>1042</v>
      </c>
      <c r="E581" s="8" t="str">
        <f>IFERROR(__xludf.DUMMYFUNCTION("googletranslate(D581,""id"",""en"")"),"Ppkmpengen peyuk you")</f>
        <v>Ppkmpengen peyuk you</v>
      </c>
    </row>
    <row r="582" ht="15.75" customHeight="1">
      <c r="A582" s="2">
        <v>581.0</v>
      </c>
      <c r="B582" s="5" t="s">
        <v>1043</v>
      </c>
      <c r="C582" s="6">
        <v>1.0</v>
      </c>
      <c r="D582" s="9" t="s">
        <v>1044</v>
      </c>
      <c r="E582" s="8" t="str">
        <f>IFERROR(__xludf.DUMMYFUNCTION("googletranslate(D582,""id"",""en"")"),"OPUNG This Minister of Rasa President, playing the command of all the people of this country to Manut, Mbok Yes, Mbok, reflected in all the landscapes, there are PPKM, the people are hard to make a living, this is as good as the forehead of entering Indon"&amp;"esia without restrictions, is truly extraordinary state policy")</f>
        <v>OPUNG This Minister of Rasa President, playing the command of all the people of this country to Manut, Mbok Yes, Mbok, reflected in all the landscapes, there are PPKM, the people are hard to make a living, this is as good as the forehead of entering Indonesia without restrictions, is truly extraordinary state policy</v>
      </c>
    </row>
    <row r="583" ht="15.75" customHeight="1">
      <c r="A583" s="2">
        <v>582.0</v>
      </c>
      <c r="B583" s="5" t="s">
        <v>1045</v>
      </c>
      <c r="C583" s="6">
        <v>1.0</v>
      </c>
      <c r="D583" s="7" t="s">
        <v>1045</v>
      </c>
      <c r="E583" s="8" t="str">
        <f>IFERROR(__xludf.DUMMYFUNCTION("googletranslate(D583,""id"",""en"")"),"PPKM = Pak Plecident Kapam retreat?")</f>
        <v>PPKM = Pak Plecident Kapam retreat?</v>
      </c>
    </row>
    <row r="584" ht="15.75" customHeight="1">
      <c r="A584" s="2">
        <v>583.0</v>
      </c>
      <c r="B584" s="5" t="s">
        <v>1046</v>
      </c>
      <c r="C584" s="6">
        <v>1.0</v>
      </c>
      <c r="D584" s="9" t="s">
        <v>1047</v>
      </c>
      <c r="E584" s="8" t="str">
        <f>IFERROR(__xludf.DUMMYFUNCTION("googletranslate(D584,""id"",""en"")"),"Anger may but cel in fact ... it turns out the DKI Provincial Government is the WFO permit to many companies. Cook Mr. Anies Don't taank fruit that does not comply with emergency PPKM rules should be acted firmly. Not so sir aiestapi the governor's sigh p"&amp;"eriod doesn't know")</f>
        <v>Anger may but cel in fact ... it turns out the DKI Provincial Government is the WFO permit to many companies. Cook Mr. Anies Don't taank fruit that does not comply with emergency PPKM rules should be acted firmly. Not so sir aiestapi the governor's sigh period doesn't know</v>
      </c>
    </row>
    <row r="585" ht="15.75" customHeight="1">
      <c r="A585" s="2">
        <v>584.0</v>
      </c>
      <c r="B585" s="5" t="s">
        <v>1048</v>
      </c>
      <c r="C585" s="6">
        <v>1.0</v>
      </c>
      <c r="D585" s="7" t="s">
        <v>1049</v>
      </c>
      <c r="E585" s="8" t="str">
        <f>IFERROR(__xludf.DUMMYFUNCTION("googletranslate(D585,""id"",""en"")"),"PPKM, Communist Preparation Program in Collapse")</f>
        <v>PPKM, Communist Preparation Program in Collapse</v>
      </c>
    </row>
    <row r="586" ht="15.75" customHeight="1">
      <c r="A586" s="2">
        <v>585.0</v>
      </c>
      <c r="B586" s="5" t="s">
        <v>1050</v>
      </c>
      <c r="C586" s="6">
        <v>2.0</v>
      </c>
      <c r="D586" s="7" t="s">
        <v>1050</v>
      </c>
      <c r="E586" s="8" t="str">
        <f>IFERROR(__xludf.DUMMYFUNCTION("googletranslate(D586,""id"",""en"")"),"Hero advice for Pushreg during PPKM for ML with Dota?")</f>
        <v>Hero advice for Pushreg during PPKM for ML with Dota?</v>
      </c>
    </row>
    <row r="587" ht="15.75" customHeight="1">
      <c r="A587" s="2">
        <v>586.0</v>
      </c>
      <c r="B587" s="5" t="s">
        <v>1051</v>
      </c>
      <c r="C587" s="6">
        <v>1.0</v>
      </c>
      <c r="D587" s="7" t="s">
        <v>1052</v>
      </c>
      <c r="E587" s="8" t="str">
        <f>IFERROR(__xludf.DUMMYFUNCTION("googletranslate(D587,""id"",""en"")"),"Does the President do not think about their fate if the effort is forbidden because of the reason for PPKM?")</f>
        <v>Does the President do not think about their fate if the effort is forbidden because of the reason for PPKM?</v>
      </c>
    </row>
    <row r="588" ht="15.75" customHeight="1">
      <c r="A588" s="2">
        <v>587.0</v>
      </c>
      <c r="B588" s="5" t="s">
        <v>1053</v>
      </c>
      <c r="C588" s="6">
        <v>1.0</v>
      </c>
      <c r="D588" s="9" t="s">
        <v>1053</v>
      </c>
      <c r="E588" s="8" t="str">
        <f>IFERROR(__xludf.DUMMYFUNCTION("googletranslate(D588,""id"",""en"")"),"the battle of the bat is with the top of the father, why is it out of the city, the government continues to make a ppkm for what ...")</f>
        <v>the battle of the bat is with the top of the father, why is it out of the city, the government continues to make a ppkm for what ...</v>
      </c>
    </row>
    <row r="589" ht="15.75" customHeight="1">
      <c r="A589" s="2">
        <v>588.0</v>
      </c>
      <c r="B589" s="5" t="s">
        <v>1054</v>
      </c>
      <c r="C589" s="6">
        <v>2.0</v>
      </c>
      <c r="D589" s="7" t="s">
        <v>1054</v>
      </c>
      <c r="E589" s="8" t="str">
        <f>IFERROR(__xludf.DUMMYFUNCTION("googletranslate(D589,""id"",""en"")"),"PPKM. Morning morning meal.")</f>
        <v>PPKM. Morning morning meal.</v>
      </c>
    </row>
    <row r="590" ht="15.75" customHeight="1">
      <c r="A590" s="2">
        <v>589.0</v>
      </c>
      <c r="B590" s="5" t="s">
        <v>1055</v>
      </c>
      <c r="C590" s="6">
        <v>1.0</v>
      </c>
      <c r="D590" s="7" t="s">
        <v>1056</v>
      </c>
      <c r="E590" s="8" t="str">
        <f>IFERROR(__xludf.DUMMYFUNCTION("googletranslate(D590,""id"",""en"")"),"There is a governor who acting angry to private companies because it remains operating when PPKMTAPI doesn't know the company doesn't have to operate during the Governor's PPKM, how come you like to sing anyway? The intention of wanting to be seen working"&amp;" ehh even crazy his own shallow brain")</f>
        <v>There is a governor who acting angry to private companies because it remains operating when PPKMTAPI doesn't know the company doesn't have to operate during the Governor's PPKM, how come you like to sing anyway? The intention of wanting to be seen working ehh even crazy his own shallow brain</v>
      </c>
    </row>
    <row r="591" ht="15.75" customHeight="1">
      <c r="A591" s="2">
        <v>590.0</v>
      </c>
      <c r="B591" s="5" t="s">
        <v>1057</v>
      </c>
      <c r="C591" s="6">
        <v>1.0</v>
      </c>
      <c r="D591" s="7" t="s">
        <v>1058</v>
      </c>
      <c r="E591" s="8" t="str">
        <f>IFERROR(__xludf.DUMMYFUNCTION("googletranslate(D591,""id"",""en"")"),"Starting today, you should find more about the company who will note, Spy is angry that it doesn't mubadzir ... PT Equity Life Indonesia's response is not anies when Emergency PPKM")</f>
        <v>Starting today, you should find more about the company who will note, Spy is angry that it doesn't mubadzir ... PT Equity Life Indonesia's response is not anies when Emergency PPKM</v>
      </c>
    </row>
    <row r="592" ht="15.75" customHeight="1">
      <c r="A592" s="2">
        <v>591.0</v>
      </c>
      <c r="B592" s="5" t="s">
        <v>1059</v>
      </c>
      <c r="C592" s="6">
        <v>2.0</v>
      </c>
      <c r="D592" s="9" t="s">
        <v>1060</v>
      </c>
      <c r="E592" s="8" t="str">
        <f>IFERROR(__xludf.DUMMYFUNCTION("googletranslate(D592,""id"",""en"")"),"Do you want to ask, which from Bandung can go to Jakarta, it's not a ppkm like this? I have a vaccine schedule in Jakarta because Monday next week. It should be this week, but suddenly postponed. The list is also a long way. If Cancel and wait for vaccine"&amp;"s in Bandung are unclear when--")</f>
        <v>Do you want to ask, which from Bandung can go to Jakarta, it's not a ppkm like this? I have a vaccine schedule in Jakarta because Monday next week. It should be this week, but suddenly postponed. The list is also a long way. If Cancel and wait for vaccines in Bandung are unclear when--</v>
      </c>
    </row>
    <row r="593" ht="15.75" customHeight="1">
      <c r="A593" s="2">
        <v>592.0</v>
      </c>
      <c r="B593" s="5" t="s">
        <v>1061</v>
      </c>
      <c r="C593" s="6">
        <v>2.0</v>
      </c>
      <c r="D593" s="7" t="s">
        <v>1061</v>
      </c>
      <c r="E593" s="8" t="str">
        <f>IFERROR(__xludf.DUMMYFUNCTION("googletranslate(D593,""id"",""en"")"),"And this was done since the enactment of Emergency PPKM")</f>
        <v>And this was done since the enactment of Emergency PPKM</v>
      </c>
    </row>
    <row r="594" ht="15.75" customHeight="1">
      <c r="A594" s="2">
        <v>593.0</v>
      </c>
      <c r="B594" s="5" t="s">
        <v>1062</v>
      </c>
      <c r="C594" s="6">
        <v>1.0</v>
      </c>
      <c r="D594" s="7" t="s">
        <v>1063</v>
      </c>
      <c r="E594" s="8" t="str">
        <f>IFERROR(__xludf.DUMMYFUNCTION("googletranslate(D594,""id"",""en"")"),"Because ppkm pesen morning in jdid is usually malem or afternoon arrived, it seems like it will be hampered")</f>
        <v>Because ppkm pesen morning in jdid is usually malem or afternoon arrived, it seems like it will be hampered</v>
      </c>
    </row>
    <row r="595" ht="15.75" customHeight="1">
      <c r="A595" s="2">
        <v>594.0</v>
      </c>
      <c r="B595" s="5" t="s">
        <v>1064</v>
      </c>
      <c r="C595" s="6">
        <v>1.0</v>
      </c>
      <c r="D595" s="9" t="s">
        <v>1065</v>
      </c>
      <c r="E595" s="8" t="str">
        <f>IFERROR(__xludf.DUMMYFUNCTION("googletranslate(D595,""id"",""en"")"),"PPKM is an abbreviation issued by Mr. President when to retreat? Asking our President to resign from unfinished position, let alone support for the period, now it hasn't finished most people asking for a good backward. Dispose of the Hasrat Period !!!!")</f>
        <v>PPKM is an abbreviation issued by Mr. President when to retreat? Asking our President to resign from unfinished position, let alone support for the period, now it hasn't finished most people asking for a good backward. Dispose of the Hasrat Period !!!!</v>
      </c>
    </row>
    <row r="596" ht="15.75" customHeight="1">
      <c r="A596" s="2">
        <v>595.0</v>
      </c>
      <c r="B596" s="5" t="s">
        <v>1066</v>
      </c>
      <c r="C596" s="6">
        <v>3.0</v>
      </c>
      <c r="D596" s="7" t="s">
        <v>1067</v>
      </c>
      <c r="E596" s="8" t="str">
        <f>IFERROR(__xludf.DUMMYFUNCTION("googletranslate(D596,""id"",""en"")"),"When the Emergency PPKM is adjusted to the following service. It's official from the MUI to be a guide for Muslims. . Remember. Covid-19 is real and we must avoid it. Make sure to be in accordance with the medical advice while bringing closer to God and c"&amp;"harity shaleh")</f>
        <v>When the Emergency PPKM is adjusted to the following service. It's official from the MUI to be a guide for Muslims. . Remember. Covid-19 is real and we must avoid it. Make sure to be in accordance with the medical advice while bringing closer to God and charity shaleh</v>
      </c>
    </row>
    <row r="597" ht="15.75" customHeight="1">
      <c r="A597" s="2">
        <v>596.0</v>
      </c>
      <c r="B597" s="5" t="s">
        <v>1068</v>
      </c>
      <c r="C597" s="6">
        <v>1.0</v>
      </c>
      <c r="D597" s="7" t="s">
        <v>1069</v>
      </c>
      <c r="E597" s="8" t="str">
        <f>IFERROR(__xludf.DUMMYFUNCTION("googletranslate(D597,""id"",""en"")"),"PPKM for Tedeng Aling2 in the People's History, savage")</f>
        <v>PPKM for Tedeng Aling2 in the People's History, savage</v>
      </c>
    </row>
    <row r="598" ht="15.75" customHeight="1">
      <c r="A598" s="2">
        <v>597.0</v>
      </c>
      <c r="B598" s="5" t="s">
        <v>1070</v>
      </c>
      <c r="C598" s="6">
        <v>2.0</v>
      </c>
      <c r="D598" s="7" t="s">
        <v>1070</v>
      </c>
      <c r="E598" s="8" t="str">
        <f>IFERROR(__xludf.DUMMYFUNCTION("googletranslate(D598,""id"",""en"")"),"PPKM: Slowly we slowly muve on")</f>
        <v>PPKM: Slowly we slowly muve on</v>
      </c>
    </row>
    <row r="599" ht="15.75" customHeight="1">
      <c r="A599" s="2">
        <v>598.0</v>
      </c>
      <c r="B599" s="5" t="s">
        <v>1071</v>
      </c>
      <c r="C599" s="6">
        <v>1.0</v>
      </c>
      <c r="D599" s="7" t="s">
        <v>1072</v>
      </c>
      <c r="E599" s="8" t="str">
        <f>IFERROR(__xludf.DUMMYFUNCTION("googletranslate(D599,""id"",""en"")"),"And that's the incident that was experienced by my father until he died, and I could not join Makaman. Makaman Gegara PPKM which was not clear, please pray for Mr. Ane")</f>
        <v>And that's the incident that was experienced by my father until he died, and I could not join Makaman. Makaman Gegara PPKM which was not clear, please pray for Mr. Ane</v>
      </c>
    </row>
    <row r="600" ht="15.75" customHeight="1">
      <c r="A600" s="2">
        <v>599.0</v>
      </c>
      <c r="B600" s="5" t="s">
        <v>1073</v>
      </c>
      <c r="C600" s="6">
        <v>1.0</v>
      </c>
      <c r="D600" s="9" t="s">
        <v>1074</v>
      </c>
      <c r="E600" s="8" t="str">
        <f>IFERROR(__xludf.DUMMYFUNCTION("googletranslate(D600,""id"",""en"")"),"Yeah you keep ngeyel not obey the emergency ppkm rule, do you have to die silly first just you can realize that you guys are stupid?")</f>
        <v>Yeah you keep ngeyel not obey the emergency ppkm rule, do you have to die silly first just you can realize that you guys are stupid?</v>
      </c>
    </row>
    <row r="601" ht="15.75" customHeight="1">
      <c r="A601" s="2">
        <v>600.0</v>
      </c>
      <c r="B601" s="5" t="s">
        <v>1075</v>
      </c>
      <c r="C601" s="6">
        <v>1.0</v>
      </c>
      <c r="D601" s="9" t="s">
        <v>1076</v>
      </c>
      <c r="E601" s="8" t="str">
        <f>IFERROR(__xludf.DUMMYFUNCTION("googletranslate(D601,""id"",""en"")"),"If you can't trade using the lockdown rules provisions clearly if the country gives all the needs of the people ... it's not clear many names of PPKM PSBB ... the people are also pressed ... severe")</f>
        <v>If you can't trade using the lockdown rules provisions clearly if the country gives all the needs of the people ... it's not clear many names of PPKM PSBB ... the people are also pressed ... severe</v>
      </c>
    </row>
    <row r="602" ht="15.75" customHeight="1">
      <c r="A602" s="2">
        <v>601.0</v>
      </c>
      <c r="B602" s="5" t="s">
        <v>1077</v>
      </c>
      <c r="C602" s="6">
        <v>1.0</v>
      </c>
      <c r="D602" s="7" t="s">
        <v>1078</v>
      </c>
      <c r="E602" s="8" t="str">
        <f>IFERROR(__xludf.DUMMYFUNCTION("googletranslate(D602,""id"",""en"")"),"Anies was finally angry, unfortunately the office was wrong. Because what was visited was an insurance office. Where this company is an essential company that can remain open even though PPKM. This is in accordance with the Minister of Home Affairs Instru"&amp;"ctions No. year .")</f>
        <v>Anies was finally angry, unfortunately the office was wrong. Because what was visited was an insurance office. Where this company is an essential company that can remain open even though PPKM. This is in accordance with the Minister of Home Affairs Instructions No. year .</v>
      </c>
    </row>
    <row r="603" ht="15.75" customHeight="1">
      <c r="A603" s="2">
        <v>602.0</v>
      </c>
      <c r="B603" s="5" t="s">
        <v>1079</v>
      </c>
      <c r="C603" s="6">
        <v>1.0</v>
      </c>
      <c r="D603" s="7" t="s">
        <v>1079</v>
      </c>
      <c r="E603" s="8" t="str">
        <f>IFERROR(__xludf.DUMMYFUNCTION("googletranslate(D603,""id"",""en"")"),"in fact ppkm ah never mind")</f>
        <v>in fact ppkm ah never mind</v>
      </c>
    </row>
    <row r="604" ht="15.75" customHeight="1">
      <c r="A604" s="2">
        <v>603.0</v>
      </c>
      <c r="B604" s="5" t="s">
        <v>1080</v>
      </c>
      <c r="C604" s="6">
        <v>2.0</v>
      </c>
      <c r="D604" s="7" t="s">
        <v>1080</v>
      </c>
      <c r="E604" s="8" t="str">
        <f>IFERROR(__xludf.DUMMYFUNCTION("googletranslate(D604,""id"",""en"")"),"From starting PSBB until now the new PPKM first felt queuing in the station ._.")</f>
        <v>From starting PSBB until now the new PPKM first felt queuing in the station ._.</v>
      </c>
    </row>
    <row r="605" ht="15.75" customHeight="1">
      <c r="A605" s="2">
        <v>604.0</v>
      </c>
      <c r="B605" s="5" t="s">
        <v>1081</v>
      </c>
      <c r="C605" s="6">
        <v>3.0</v>
      </c>
      <c r="D605" s="7" t="s">
        <v>1082</v>
      </c>
      <c r="E605" s="8" t="str">
        <f>IFERROR(__xludf.DUMMYFUNCTION("googletranslate(D605,""id"",""en"")"),"The village again enables the guard post and isolation room to support Emergency PPKM.")</f>
        <v>The village again enables the guard post and isolation room to support Emergency PPKM.</v>
      </c>
    </row>
    <row r="606" ht="15.75" customHeight="1">
      <c r="A606" s="2">
        <v>605.0</v>
      </c>
      <c r="B606" s="5" t="s">
        <v>1083</v>
      </c>
      <c r="C606" s="6">
        <v>2.0</v>
      </c>
      <c r="D606" s="7" t="s">
        <v>1084</v>
      </c>
      <c r="E606" s="8" t="str">
        <f>IFERROR(__xludf.DUMMYFUNCTION("googletranslate(D606,""id"",""en"")"),"Yes what else is it? It's not just you who feel TERPKM, but everything is ckckckc")</f>
        <v>Yes what else is it? It's not just you who feel TERPKM, but everything is ckckckc</v>
      </c>
    </row>
    <row r="607" ht="15.75" customHeight="1">
      <c r="A607" s="2">
        <v>606.0</v>
      </c>
      <c r="B607" s="5" t="s">
        <v>1085</v>
      </c>
      <c r="C607" s="6">
        <v>3.0</v>
      </c>
      <c r="D607" s="9" t="s">
        <v>1086</v>
      </c>
      <c r="E607" s="8" t="str">
        <f>IFERROR(__xludf.DUMMYFUNCTION("googletranslate(D607,""id"",""en"")"),"Hamdalah Refund Travloka% Karna PPKM")</f>
        <v>Hamdalah Refund Travloka% Karna PPKM</v>
      </c>
    </row>
    <row r="608" ht="15.75" customHeight="1">
      <c r="A608" s="2">
        <v>607.0</v>
      </c>
      <c r="B608" s="5" t="s">
        <v>1087</v>
      </c>
      <c r="C608" s="6">
        <v>2.0</v>
      </c>
      <c r="D608" s="7" t="s">
        <v>1088</v>
      </c>
      <c r="E608" s="8" t="str">
        <f>IFERROR(__xludf.DUMMYFUNCTION("googletranslate(D608,""id"",""en"")"),"And this is the atmosphere of the emergency PPKM at Wembley, London! Wkkww.")</f>
        <v>And this is the atmosphere of the emergency PPKM at Wembley, London! Wkkww.</v>
      </c>
    </row>
    <row r="609" ht="15.75" customHeight="1">
      <c r="A609" s="2">
        <v>608.0</v>
      </c>
      <c r="B609" s="5" t="s">
        <v>1089</v>
      </c>
      <c r="C609" s="6">
        <v>3.0</v>
      </c>
      <c r="D609" s="7" t="s">
        <v>1090</v>
      </c>
      <c r="E609" s="8" t="str">
        <f>IFERROR(__xludf.DUMMYFUNCTION("googletranslate(D609,""id"",""en"")"),"Come support PPKM to reduce Covid transmission rate")</f>
        <v>Come support PPKM to reduce Covid transmission rate</v>
      </c>
    </row>
    <row r="610" ht="15.75" customHeight="1">
      <c r="A610" s="2">
        <v>609.0</v>
      </c>
      <c r="B610" s="5" t="s">
        <v>1091</v>
      </c>
      <c r="C610" s="6">
        <v>1.0</v>
      </c>
      <c r="D610" s="7" t="s">
        <v>1092</v>
      </c>
      <c r="E610" s="8" t="str">
        <f>IFERROR(__xludf.DUMMYFUNCTION("googletranslate(D610,""id"",""en"")"),"Ppkm can also make a celebration ...")</f>
        <v>Ppkm can also make a celebration ...</v>
      </c>
    </row>
    <row r="611" ht="15.75" customHeight="1">
      <c r="A611" s="2">
        <v>610.0</v>
      </c>
      <c r="B611" s="5" t="s">
        <v>1093</v>
      </c>
      <c r="C611" s="6">
        <v>2.0</v>
      </c>
      <c r="D611" s="7" t="s">
        <v>1094</v>
      </c>
      <c r="E611" s="8" t="str">
        <f>IFERROR(__xludf.DUMMYFUNCTION("googletranslate(D611,""id"",""en"")"),"Yesterdaypsbbsekarangppkmkharungkahpkpknpkn ipa ips mtk")</f>
        <v>Yesterdaypsbbsekarangppkmkharungkahpkpknpkn ipa ips mtk</v>
      </c>
    </row>
    <row r="612" ht="15.75" customHeight="1">
      <c r="A612" s="2">
        <v>611.0</v>
      </c>
      <c r="B612" s="5" t="s">
        <v>1095</v>
      </c>
      <c r="C612" s="6">
        <v>2.0</v>
      </c>
      <c r="D612" s="7" t="s">
        <v>1096</v>
      </c>
      <c r="E612" s="8" t="str">
        <f>IFERROR(__xludf.DUMMYFUNCTION("googletranslate(D612,""id"",""en"")"),"not mas, right ppkm")</f>
        <v>not mas, right ppkm</v>
      </c>
    </row>
    <row r="613" ht="15.75" customHeight="1">
      <c r="A613" s="2">
        <v>612.0</v>
      </c>
      <c r="B613" s="5" t="s">
        <v>1097</v>
      </c>
      <c r="C613" s="6">
        <v>1.0</v>
      </c>
      <c r="D613" s="9" t="s">
        <v>1098</v>
      </c>
      <c r="E613" s="8" t="str">
        <f>IFERROR(__xludf.DUMMYFUNCTION("googletranslate(D613,""id"",""en"")"),"With PPKM &amp; amp; The appendage was a decision of all the authority of the Covid-19 Task Force and the recovery of the national economy. It's not like when the PSBB can be decided itself. Because the TSB Task Force is more concerned with the economy like t"&amp;"his. Don't forget the Minister of Health's proposal and Pak Anies at the end of May, rejected")</f>
        <v>With PPKM &amp; amp; The appendage was a decision of all the authority of the Covid-19 Task Force and the recovery of the national economy. It's not like when the PSBB can be decided itself. Because the TSB Task Force is more concerned with the economy like this. Don't forget the Minister of Health's proposal and Pak Anies at the end of May, rejected</v>
      </c>
    </row>
    <row r="614" ht="15.75" customHeight="1">
      <c r="A614" s="2">
        <v>613.0</v>
      </c>
      <c r="B614" s="5" t="s">
        <v>1099</v>
      </c>
      <c r="C614" s="6">
        <v>2.0</v>
      </c>
      <c r="D614" s="7" t="s">
        <v>1100</v>
      </c>
      <c r="E614" s="8" t="str">
        <f>IFERROR(__xludf.DUMMYFUNCTION("googletranslate(D614,""id"",""en"")"),"Ppkmpernah dating then enemies")</f>
        <v>Ppkmpernah dating then enemies</v>
      </c>
    </row>
    <row r="615" ht="15.75" customHeight="1">
      <c r="A615" s="2">
        <v>614.0</v>
      </c>
      <c r="B615" s="5" t="s">
        <v>1101</v>
      </c>
      <c r="C615" s="6">
        <v>1.0</v>
      </c>
      <c r="D615" s="9" t="s">
        <v>1101</v>
      </c>
      <c r="E615" s="8" t="str">
        <f>IFERROR(__xludf.DUMMYFUNCTION("googletranslate(D615,""id"",""en"")"),"This PPKM makes you even if it's done when I have a business to War City. Hmmm")</f>
        <v>This PPKM makes you even if it's done when I have a business to War City. Hmmm</v>
      </c>
    </row>
    <row r="616" ht="15.75" customHeight="1">
      <c r="A616" s="2">
        <v>615.0</v>
      </c>
      <c r="B616" s="5" t="s">
        <v>1102</v>
      </c>
      <c r="C616" s="6">
        <v>2.0</v>
      </c>
      <c r="D616" s="10" t="s">
        <v>1103</v>
      </c>
      <c r="E616" s="8" t="str">
        <f>IFERROR(__xludf.DUMMYFUNCTION("googletranslate(D616,""id"",""en"")"),"Oiya, ppkm")</f>
        <v>Oiya, ppkm</v>
      </c>
    </row>
    <row r="617" ht="15.75" customHeight="1">
      <c r="A617" s="2">
        <v>616.0</v>
      </c>
      <c r="B617" s="5" t="s">
        <v>1104</v>
      </c>
      <c r="C617" s="6">
        <v>2.0</v>
      </c>
      <c r="D617" s="7" t="s">
        <v>1105</v>
      </c>
      <c r="E617" s="8" t="str">
        <f>IFERROR(__xludf.DUMMYFUNCTION("googletranslate(D617,""id"",""en"")"),"Ppkmpengen is lified you")</f>
        <v>Ppkmpengen is lified you</v>
      </c>
    </row>
    <row r="618" ht="15.75" customHeight="1">
      <c r="A618" s="2">
        <v>617.0</v>
      </c>
      <c r="B618" s="5" t="s">
        <v>1106</v>
      </c>
      <c r="C618" s="6">
        <v>2.0</v>
      </c>
      <c r="D618" s="7" t="s">
        <v>1107</v>
      </c>
      <c r="E618" s="8" t="str">
        <f>IFERROR(__xludf.DUMMYFUNCTION("googletranslate(D618,""id"",""en"")"),"PPKMPENendang Penalty Kok Moratappkmpaling Most Mentally")</f>
        <v>PPKMPENendang Penalty Kok Moratappkmpaling Most Mentally</v>
      </c>
    </row>
    <row r="619" ht="15.75" customHeight="1">
      <c r="A619" s="2">
        <v>618.0</v>
      </c>
      <c r="B619" s="5" t="s">
        <v>1108</v>
      </c>
      <c r="C619" s="6">
        <v>1.0</v>
      </c>
      <c r="D619" s="9" t="s">
        <v>1109</v>
      </c>
      <c r="E619" s="8" t="str">
        <f>IFERROR(__xludf.DUMMYFUNCTION("googletranslate(D619,""id"",""en"")"),"YTH.BP. The Governor of DIY in Yogyakarta, if the Emergency PPKM does not show benefit per July, besides the deserted road because it is closed, the stall is closed, the people g, fear will be imprisoned and the mosque is closed, then what should we do on"&amp;" July?")</f>
        <v>YTH.BP. The Governor of DIY in Yogyakarta, if the Emergency PPKM does not show benefit per July, besides the deserted road because it is closed, the stall is closed, the people g, fear will be imprisoned and the mosque is closed, then what should we do on July?</v>
      </c>
    </row>
    <row r="620" ht="15.75" customHeight="1">
      <c r="A620" s="2">
        <v>619.0</v>
      </c>
      <c r="B620" s="5" t="s">
        <v>1110</v>
      </c>
      <c r="C620" s="6">
        <v>2.0</v>
      </c>
      <c r="D620" s="7" t="s">
        <v>1111</v>
      </c>
      <c r="E620" s="8" t="str">
        <f>IFERROR(__xludf.DUMMYFUNCTION("googletranslate(D620,""id"",""en"")"),"Jelesin Dong Ttg PPKM Ni, W Mo Returns to Bukitt")</f>
        <v>Jelesin Dong Ttg PPKM Ni, W Mo Returns to Bukitt</v>
      </c>
    </row>
    <row r="621" ht="15.75" customHeight="1">
      <c r="A621" s="2">
        <v>620.0</v>
      </c>
      <c r="B621" s="5" t="s">
        <v>1112</v>
      </c>
      <c r="C621" s="6">
        <v>1.0</v>
      </c>
      <c r="D621" s="9" t="s">
        <v>1113</v>
      </c>
      <c r="E621" s="8" t="str">
        <f>IFERROR(__xludf.DUMMYFUNCTION("googletranslate(D621,""id"",""en"")"),"Gini Pung You Ban the People to leave the house but Chinese TKAs are so free to enter Indonesia and always occur when you and your regime do PSBB and Current PPKM.")</f>
        <v>Gini Pung You Ban the People to leave the house but Chinese TKAs are so free to enter Indonesia and always occur when you and your regime do PSBB and Current PPKM.</v>
      </c>
    </row>
    <row r="622" ht="15.75" customHeight="1">
      <c r="A622" s="2">
        <v>621.0</v>
      </c>
      <c r="B622" s="5" t="s">
        <v>1114</v>
      </c>
      <c r="C622" s="6">
        <v>1.0</v>
      </c>
      <c r="D622" s="9" t="s">
        <v>1115</v>
      </c>
      <c r="E622" s="8" t="str">
        <f>IFERROR(__xludf.DUMMYFUNCTION("googletranslate(D622,""id"",""en"")"),"Laah? If Chinese TKA comes to bring the disease, just as you don't support Emergency PPKM !!")</f>
        <v>Laah? If Chinese TKA comes to bring the disease, just as you don't support Emergency PPKM !!</v>
      </c>
    </row>
    <row r="623" ht="15.75" customHeight="1">
      <c r="A623" s="2">
        <v>622.0</v>
      </c>
      <c r="B623" s="5" t="s">
        <v>1116</v>
      </c>
      <c r="C623" s="6">
        <v>1.0</v>
      </c>
      <c r="D623" s="7" t="s">
        <v>1117</v>
      </c>
      <c r="E623" s="8" t="str">
        <f>IFERROR(__xludf.DUMMYFUNCTION("googletranslate(D623,""id"",""en"")"),"If this is the wrong committee and also a village device that doesn't socialize PPKM.")</f>
        <v>If this is the wrong committee and also a village device that doesn't socialize PPKM.</v>
      </c>
    </row>
    <row r="624" ht="15.75" customHeight="1">
      <c r="A624" s="2">
        <v>623.0</v>
      </c>
      <c r="B624" s="5" t="s">
        <v>1118</v>
      </c>
      <c r="C624" s="6">
        <v>2.0</v>
      </c>
      <c r="D624" s="7" t="s">
        <v>1118</v>
      </c>
      <c r="E624" s="8" t="str">
        <f>IFERROR(__xludf.DUMMYFUNCTION("googletranslate(D624,""id"",""en"")"),"What is PPKM? ha ha ha")</f>
        <v>What is PPKM? ha ha ha</v>
      </c>
    </row>
    <row r="625" ht="15.75" customHeight="1">
      <c r="A625" s="2">
        <v>624.0</v>
      </c>
      <c r="B625" s="5" t="s">
        <v>1119</v>
      </c>
      <c r="C625" s="6">
        <v>1.0</v>
      </c>
      <c r="D625" s="7" t="s">
        <v>1119</v>
      </c>
      <c r="E625" s="8" t="str">
        <f>IFERROR(__xludf.DUMMYFUNCTION("googletranslate(D625,""id"",""en"")"),"Ppkm ppkm bgke.")</f>
        <v>Ppkm ppkm bgke.</v>
      </c>
    </row>
    <row r="626" ht="15.75" customHeight="1">
      <c r="A626" s="2">
        <v>625.0</v>
      </c>
      <c r="B626" s="5" t="s">
        <v>1120</v>
      </c>
      <c r="C626" s="6">
        <v>1.0</v>
      </c>
      <c r="D626" s="9" t="s">
        <v>1121</v>
      </c>
      <c r="E626" s="8" t="str">
        <f>IFERROR(__xludf.DUMMYFUNCTION("googletranslate(D626,""id"",""en"")"),"Instead it's the point of PPKM and PSBB yesterday? Let me be rich in lockdown but don't bother to feed the people? So you know it yourself")</f>
        <v>Instead it's the point of PPKM and PSBB yesterday? Let me be rich in lockdown but don't bother to feed the people? So you know it yourself</v>
      </c>
    </row>
    <row r="627" ht="15.75" customHeight="1">
      <c r="A627" s="2">
        <v>626.0</v>
      </c>
      <c r="B627" s="5" t="s">
        <v>1122</v>
      </c>
      <c r="C627" s="6">
        <v>1.0</v>
      </c>
      <c r="D627" s="9" t="s">
        <v>1123</v>
      </c>
      <c r="E627" s="8" t="str">
        <f>IFERROR(__xludf.DUMMYFUNCTION("googletranslate(D627,""id"",""en"")"),"Real portraits of small people in Emergency PPKM: at the house of hunger without government guarantees according to the Act. Out the house is looking for a fortune to be confronted where it is told to return home. Which has already been selling food sprt "&amp;"porridge, merchandise is still a lot of raids &amp; amp; Fined JT?")</f>
        <v>Real portraits of small people in Emergency PPKM: at the house of hunger without government guarantees according to the Act. Out the house is looking for a fortune to be confronted where it is told to return home. Which has already been selling food sprt porridge, merchandise is still a lot of raids &amp; amp; Fined JT?</v>
      </c>
    </row>
    <row r="628" ht="15.75" customHeight="1">
      <c r="A628" s="2">
        <v>627.0</v>
      </c>
      <c r="B628" s="5" t="s">
        <v>1124</v>
      </c>
      <c r="C628" s="6">
        <v>1.0</v>
      </c>
      <c r="D628" s="7" t="s">
        <v>1125</v>
      </c>
      <c r="E628" s="8" t="str">
        <f>IFERROR(__xludf.DUMMYFUNCTION("googletranslate(D628,""id"",""en"")"),"The people of SDH have been told PPKM still asking for donations ... Alamaakk")</f>
        <v>The people of SDH have been told PPKM still asking for donations ... Alamaakk</v>
      </c>
    </row>
    <row r="629" ht="15.75" customHeight="1">
      <c r="A629" s="2">
        <v>628.0</v>
      </c>
      <c r="B629" s="5" t="s">
        <v>1126</v>
      </c>
      <c r="C629" s="6">
        <v>1.0</v>
      </c>
      <c r="D629" s="7" t="s">
        <v>1126</v>
      </c>
      <c r="E629" s="8" t="str">
        <f>IFERROR(__xludf.DUMMYFUNCTION("googletranslate(D629,""id"",""en"")"),"So yes, I have to be slaughtered, especially the PPKM period like this, the street is closed and has to be looking for another way.")</f>
        <v>So yes, I have to be slaughtered, especially the PPKM period like this, the street is closed and has to be looking for another way.</v>
      </c>
    </row>
    <row r="630" ht="15.75" customHeight="1">
      <c r="A630" s="2">
        <v>629.0</v>
      </c>
      <c r="B630" s="5" t="s">
        <v>1127</v>
      </c>
      <c r="C630" s="6">
        <v>2.0</v>
      </c>
      <c r="D630" s="7" t="s">
        <v>1128</v>
      </c>
      <c r="E630" s="8" t="str">
        <f>IFERROR(__xludf.DUMMYFUNCTION("googletranslate(D630,""id"",""en"")"),"wfh? or the spirit of ppkm holiday wkwk")</f>
        <v>wfh? or the spirit of ppkm holiday wkwk</v>
      </c>
    </row>
    <row r="631" ht="15.75" customHeight="1">
      <c r="A631" s="2">
        <v>630.0</v>
      </c>
      <c r="B631" s="5" t="s">
        <v>1129</v>
      </c>
      <c r="C631" s="6">
        <v>1.0</v>
      </c>
      <c r="D631" s="7" t="s">
        <v>1130</v>
      </c>
      <c r="E631" s="8" t="str">
        <f>IFERROR(__xludf.DUMMYFUNCTION("googletranslate(D631,""id"",""en"")"),"Indo police don't dare to mbubarin the crowd he said Emergency PPKM! Italy vs Spain Penalty $ Number $")</f>
        <v>Indo police don't dare to mbubarin the crowd he said Emergency PPKM! Italy vs Spain Penalty $ Number $</v>
      </c>
    </row>
    <row r="632" ht="15.75" customHeight="1">
      <c r="A632" s="2">
        <v>631.0</v>
      </c>
      <c r="B632" s="5" t="s">
        <v>1131</v>
      </c>
      <c r="C632" s="6">
        <v>1.0</v>
      </c>
      <c r="D632" s="9" t="s">
        <v>1132</v>
      </c>
      <c r="E632" s="8" t="str">
        <f>IFERROR(__xludf.DUMMYFUNCTION("googletranslate(D632,""id"",""en"")"),"when the others are strictly prohibited and dealt with, not brly for the mayor of Oslo who has a special previlage")</f>
        <v>when the others are strictly prohibited and dealt with, not brly for the mayor of Oslo who has a special previlage</v>
      </c>
    </row>
    <row r="633" ht="15.75" customHeight="1">
      <c r="A633" s="2">
        <v>632.0</v>
      </c>
      <c r="B633" s="5" t="s">
        <v>1133</v>
      </c>
      <c r="C633" s="6">
        <v>1.0</v>
      </c>
      <c r="D633" s="9" t="s">
        <v>1134</v>
      </c>
      <c r="E633" s="8" t="str">
        <f>IFERROR(__xludf.DUMMYFUNCTION("googletranslate(D633,""id"",""en"")"),"yes it's really wehhh, if it's blessed by the PPKM Bole Bole just, but it also has a trader, if they have helped the main ingredient, yes, this isn't Samsekk")</f>
        <v>yes it's really wehhh, if it's blessed by the PPKM Bole Bole just, but it also has a trader, if they have helped the main ingredient, yes, this isn't Samsekk</v>
      </c>
    </row>
    <row r="634" ht="15.75" customHeight="1">
      <c r="A634" s="2">
        <v>633.0</v>
      </c>
      <c r="B634" s="5" t="s">
        <v>1135</v>
      </c>
      <c r="C634" s="6">
        <v>1.0</v>
      </c>
      <c r="D634" s="9" t="s">
        <v>1136</v>
      </c>
      <c r="E634" s="8" t="str">
        <f>IFERROR(__xludf.DUMMYFUNCTION("googletranslate(D634,""id"",""en"")"),"How come it's sad, I see the state of themselves from the community in the country feeling how reasal the control of the PPKM. But on the other hand those from abroad casually landed in Indonesia recovering my Indonesian")</f>
        <v>How come it's sad, I see the state of themselves from the community in the country feeling how reasal the control of the PPKM. But on the other hand those from abroad casually landed in Indonesia recovering my Indonesian</v>
      </c>
    </row>
    <row r="635" ht="15.75" customHeight="1">
      <c r="A635" s="2">
        <v>634.0</v>
      </c>
      <c r="B635" s="5" t="s">
        <v>1137</v>
      </c>
      <c r="C635" s="6">
        <v>2.0</v>
      </c>
      <c r="D635" s="7" t="s">
        <v>1137</v>
      </c>
      <c r="E635" s="8" t="str">
        <f>IFERROR(__xludf.DUMMYFUNCTION("googletranslate(D635,""id"",""en"")"),"Ppkm ~ ever dating then ambiguous")</f>
        <v>Ppkm ~ ever dating then ambiguous</v>
      </c>
    </row>
    <row r="636" ht="15.75" customHeight="1">
      <c r="A636" s="2">
        <v>635.0</v>
      </c>
      <c r="B636" s="5" t="s">
        <v>1138</v>
      </c>
      <c r="C636" s="6">
        <v>1.0</v>
      </c>
      <c r="D636" s="9" t="s">
        <v>1138</v>
      </c>
      <c r="E636" s="8" t="str">
        <f>IFERROR(__xludf.DUMMYFUNCTION("googletranslate(D636,""id"",""en"")"),"there are still many who are still stubborn for PPKM but yes mbok in the education of the people how to sell it so that literate technology, not even in Jarah")</f>
        <v>there are still many who are still stubborn for PPKM but yes mbok in the education of the people how to sell it so that literate technology, not even in Jarah</v>
      </c>
    </row>
    <row r="637" ht="15.75" customHeight="1">
      <c r="A637" s="2">
        <v>636.0</v>
      </c>
      <c r="B637" s="5" t="s">
        <v>1139</v>
      </c>
      <c r="C637" s="6">
        <v>2.0</v>
      </c>
      <c r="D637" s="9" t="s">
        <v>1140</v>
      </c>
      <c r="E637" s="8" t="str">
        <f>IFERROR(__xludf.DUMMYFUNCTION("googletranslate(D637,""id"",""en"")"),"Ppkm: want to hug you mas")</f>
        <v>Ppkm: want to hug you mas</v>
      </c>
    </row>
    <row r="638" ht="15.75" customHeight="1">
      <c r="A638" s="2">
        <v>637.0</v>
      </c>
      <c r="B638" s="5" t="s">
        <v>1141</v>
      </c>
      <c r="C638" s="6">
        <v>2.0</v>
      </c>
      <c r="D638" s="10" t="s">
        <v>1142</v>
      </c>
      <c r="E638" s="8" t="str">
        <f>IFERROR(__xludf.DUMMYFUNCTION("googletranslate(D638,""id"",""en"")"),"ppkm kakk.")</f>
        <v>ppkm kakk.</v>
      </c>
    </row>
    <row r="639" ht="15.75" customHeight="1">
      <c r="A639" s="2">
        <v>638.0</v>
      </c>
      <c r="B639" s="5" t="s">
        <v>1143</v>
      </c>
      <c r="C639" s="6">
        <v>1.0</v>
      </c>
      <c r="D639" s="7" t="s">
        <v>1144</v>
      </c>
      <c r="E639" s="8" t="str">
        <f>IFERROR(__xludf.DUMMYFUNCTION("googletranslate(D639,""id"",""en"")"),"Kasian merchant who can't sell, what do you want to get income. The government should negate the cost of living during this emergency PPKM")</f>
        <v>Kasian merchant who can't sell, what do you want to get income. The government should negate the cost of living during this emergency PPKM</v>
      </c>
    </row>
    <row r="640" ht="15.75" customHeight="1">
      <c r="A640" s="2">
        <v>639.0</v>
      </c>
      <c r="B640" s="5" t="s">
        <v>1145</v>
      </c>
      <c r="C640" s="6">
        <v>2.0</v>
      </c>
      <c r="D640" s="9" t="s">
        <v>1146</v>
      </c>
      <c r="E640" s="8" t="str">
        <f>IFERROR(__xludf.DUMMYFUNCTION("googletranslate(D640,""id"",""en"")"),"Ppkm ngapain there is a defeat, I'm gabakal where if you are with you")</f>
        <v>Ppkm ngapain there is a defeat, I'm gabakal where if you are with you</v>
      </c>
    </row>
    <row r="641" ht="15.75" customHeight="1">
      <c r="A641" s="2">
        <v>640.0</v>
      </c>
      <c r="B641" s="5" t="s">
        <v>1147</v>
      </c>
      <c r="C641" s="6">
        <v>1.0</v>
      </c>
      <c r="D641" s="9" t="s">
        <v>1148</v>
      </c>
      <c r="E641" s="8" t="str">
        <f>IFERROR(__xludf.DUMMYFUNCTION("googletranslate(D641,""id"",""en"")"),"I haven't seen the headline in the headline in the title of the title ""many PPKM violators"" as if the wrong people, the prickly from the surge of the people, and who did not discipline the people")</f>
        <v>I haven't seen the headline in the headline in the title of the title "many PPKM violators" as if the wrong people, the prickly from the surge of the people, and who did not discipline the people</v>
      </c>
    </row>
    <row r="642" ht="15.75" customHeight="1">
      <c r="A642" s="2">
        <v>641.0</v>
      </c>
      <c r="B642" s="5" t="s">
        <v>1149</v>
      </c>
      <c r="C642" s="6">
        <v>1.0</v>
      </c>
      <c r="D642" s="7" t="s">
        <v>1150</v>
      </c>
      <c r="E642" s="8" t="str">
        <f>IFERROR(__xludf.DUMMYFUNCTION("googletranslate(D642,""id"",""en"")"),"Steady..msh ngeyel..mau melnggar emergency ppkm?")</f>
        <v>Steady..msh ngeyel..mau melnggar emergency ppkm?</v>
      </c>
    </row>
    <row r="643" ht="15.75" customHeight="1">
      <c r="A643" s="2">
        <v>642.0</v>
      </c>
      <c r="B643" s="5" t="s">
        <v>1151</v>
      </c>
      <c r="C643" s="6">
        <v>2.0</v>
      </c>
      <c r="D643" s="7" t="s">
        <v>1151</v>
      </c>
      <c r="E643" s="8" t="str">
        <f>IFERROR(__xludf.DUMMYFUNCTION("googletranslate(D643,""id"",""en"")"),"A number of districts and cities on the island of Sumatra will tighten micro PPKM rules such as those on Java and Bali which are currently conducting emergency PPKM, some of the new rules include mall malls temporarily closed during micro PPKM")</f>
        <v>A number of districts and cities on the island of Sumatra will tighten micro PPKM rules such as those on Java and Bali which are currently conducting emergency PPKM, some of the new rules include mall malls temporarily closed during micro PPKM</v>
      </c>
    </row>
    <row r="644" ht="15.75" customHeight="1">
      <c r="A644" s="2">
        <v>643.0</v>
      </c>
      <c r="B644" s="5" t="s">
        <v>1152</v>
      </c>
      <c r="C644" s="6">
        <v>2.0</v>
      </c>
      <c r="D644" s="7" t="s">
        <v>1152</v>
      </c>
      <c r="E644" s="8" t="str">
        <f>IFERROR(__xludf.DUMMYFUNCTION("googletranslate(D644,""id"",""en"")"),"Right ppkm if the package from Jakarta or the island of Java still can be sent right?")</f>
        <v>Right ppkm if the package from Jakarta or the island of Java still can be sent right?</v>
      </c>
    </row>
    <row r="645" ht="15.75" customHeight="1">
      <c r="A645" s="2">
        <v>644.0</v>
      </c>
      <c r="B645" s="5" t="s">
        <v>1153</v>
      </c>
      <c r="C645" s="6">
        <v>2.0</v>
      </c>
      <c r="D645" s="7" t="s">
        <v>1154</v>
      </c>
      <c r="E645" s="8" t="str">
        <f>IFERROR(__xludf.DUMMYFUNCTION("googletranslate(D645,""id"",""en"")"),"Your PPKPLelan-softly disappears")</f>
        <v>Your PPKPLelan-softly disappears</v>
      </c>
    </row>
    <row r="646" ht="15.75" customHeight="1">
      <c r="A646" s="2">
        <v>645.0</v>
      </c>
      <c r="B646" s="5" t="s">
        <v>1155</v>
      </c>
      <c r="C646" s="6">
        <v>2.0</v>
      </c>
      <c r="D646" s="7" t="s">
        <v>1156</v>
      </c>
      <c r="E646" s="8" t="str">
        <f>IFERROR(__xludf.DUMMYFUNCTION("googletranslate(D646,""id"",""en"")"),"This PPKM wants to go to Denpasar to point to the letter in the area")</f>
        <v>This PPKM wants to go to Denpasar to point to the letter in the area</v>
      </c>
    </row>
    <row r="647" ht="15.75" customHeight="1">
      <c r="A647" s="2">
        <v>646.0</v>
      </c>
      <c r="B647" s="5" t="s">
        <v>1157</v>
      </c>
      <c r="C647" s="6">
        <v>2.0</v>
      </c>
      <c r="D647" s="7" t="s">
        <v>1157</v>
      </c>
      <c r="E647" s="8" t="str">
        <f>IFERROR(__xludf.DUMMYFUNCTION("googletranslate(D647,""id"",""en"")"),"The owner of the mall mah even though it was also hit by PPKM, but his savings at the bank to open land, building a mall again still enough")</f>
        <v>The owner of the mall mah even though it was also hit by PPKM, but his savings at the bank to open land, building a mall again still enough</v>
      </c>
    </row>
    <row r="648" ht="15.75" customHeight="1">
      <c r="A648" s="2">
        <v>647.0</v>
      </c>
      <c r="B648" s="5" t="s">
        <v>1158</v>
      </c>
      <c r="C648" s="6">
        <v>3.0</v>
      </c>
      <c r="D648" s="9" t="s">
        <v>1159</v>
      </c>
      <c r="E648" s="8" t="str">
        <f>IFERROR(__xludf.DUMMYFUNCTION("googletranslate(D648,""id"",""en"")"),"Ppkm wey, hold it tomorrow if it's conducive to just monggo")</f>
        <v>Ppkm wey, hold it tomorrow if it's conducive to just monggo</v>
      </c>
    </row>
    <row r="649" ht="15.75" customHeight="1">
      <c r="A649" s="2">
        <v>648.0</v>
      </c>
      <c r="B649" s="5" t="s">
        <v>1160</v>
      </c>
      <c r="C649" s="6">
        <v>3.0</v>
      </c>
      <c r="D649" s="7" t="s">
        <v>1160</v>
      </c>
      <c r="E649" s="8" t="str">
        <f>IFERROR(__xludf.DUMMYFUNCTION("googletranslate(D649,""id"",""en"")"),"PPKM It Is Mean Plis Want Coupled Off !!!")</f>
        <v>PPKM It Is Mean Plis Want Coupled Off !!!</v>
      </c>
    </row>
    <row r="650" ht="15.75" customHeight="1">
      <c r="A650" s="2">
        <v>649.0</v>
      </c>
      <c r="B650" s="5" t="s">
        <v>1161</v>
      </c>
      <c r="C650" s="6">
        <v>1.0</v>
      </c>
      <c r="D650" s="7" t="s">
        <v>1162</v>
      </c>
      <c r="E650" s="8" t="str">
        <f>IFERROR(__xludf.DUMMYFUNCTION("googletranslate(D650,""id"",""en"")"),"Just make the emergency ppkm violation movement ... all")</f>
        <v>Just make the emergency ppkm violation movement ... all</v>
      </c>
    </row>
    <row r="651" ht="15.75" customHeight="1">
      <c r="A651" s="2">
        <v>650.0</v>
      </c>
      <c r="B651" s="5" t="s">
        <v>1163</v>
      </c>
      <c r="C651" s="6">
        <v>1.0</v>
      </c>
      <c r="D651" s="7" t="s">
        <v>1164</v>
      </c>
      <c r="E651" s="8" t="str">
        <f>IFERROR(__xludf.DUMMYFUNCTION("googletranslate(D651,""id"",""en"")"),"Behind the vaccine injection there is a hidden 'treasure' for those who play inside. PPKM: President of Pinocchio when retreat.")</f>
        <v>Behind the vaccine injection there is a hidden 'treasure' for those who play inside. PPKM: President of Pinocchio when retreat.</v>
      </c>
    </row>
    <row r="652" ht="15.75" customHeight="1">
      <c r="A652" s="2">
        <v>651.0</v>
      </c>
      <c r="B652" s="5" t="s">
        <v>1165</v>
      </c>
      <c r="C652" s="6">
        <v>2.0</v>
      </c>
      <c r="D652" s="12" t="s">
        <v>1166</v>
      </c>
      <c r="E652" s="8" t="str">
        <f>IFERROR(__xludf.DUMMYFUNCTION("googletranslate(D652,""id"",""en"")"),"PPKM Please")</f>
        <v>PPKM Please</v>
      </c>
    </row>
    <row r="653" ht="15.75" customHeight="1">
      <c r="A653" s="2">
        <v>652.0</v>
      </c>
      <c r="B653" s="5" t="s">
        <v>1167</v>
      </c>
      <c r="C653" s="6">
        <v>1.0</v>
      </c>
      <c r="D653" s="7" t="s">
        <v>1167</v>
      </c>
      <c r="E653" s="8" t="str">
        <f>IFERROR(__xludf.DUMMYFUNCTION("googletranslate(D653,""id"",""en"")"),"Ppkm = excuse me excuse me")</f>
        <v>Ppkm = excuse me excuse me</v>
      </c>
    </row>
    <row r="654" ht="15.75" customHeight="1">
      <c r="A654" s="2">
        <v>653.0</v>
      </c>
      <c r="B654" s="5" t="s">
        <v>1168</v>
      </c>
      <c r="C654" s="6">
        <v>2.0</v>
      </c>
      <c r="D654" s="9" t="s">
        <v>1168</v>
      </c>
      <c r="E654" s="8" t="str">
        <f>IFERROR(__xludf.DUMMYFUNCTION("googletranslate(D654,""id"",""en"")"),"Bandar Lampung was hit by an emergency PPKM, and who wanted to cross into Lampung land and air, brought the antigen swab letter if it was not told to puter back .. My friend's driver who was a truck driver made the info status, even though he used to be t"&amp;"he same time for this rich thing.")</f>
        <v>Bandar Lampung was hit by an emergency PPKM, and who wanted to cross into Lampung land and air, brought the antigen swab letter if it was not told to puter back .. My friend's driver who was a truck driver made the info status, even though he used to be the same time for this rich thing.</v>
      </c>
    </row>
    <row r="655" ht="15.75" customHeight="1">
      <c r="A655" s="2">
        <v>654.0</v>
      </c>
      <c r="B655" s="5" t="s">
        <v>1169</v>
      </c>
      <c r="C655" s="6">
        <v>1.0</v>
      </c>
      <c r="D655" s="7" t="s">
        <v>1170</v>
      </c>
      <c r="E655" s="8" t="str">
        <f>IFERROR(__xludf.DUMMYFUNCTION("googletranslate(D655,""id"",""en"")"),"In the area poncol there is a tea house like that ... but it's closed because of the ppkm")</f>
        <v>In the area poncol there is a tea house like that ... but it's closed because of the ppkm</v>
      </c>
    </row>
    <row r="656" ht="15.75" customHeight="1">
      <c r="A656" s="2">
        <v>655.0</v>
      </c>
      <c r="B656" s="5" t="s">
        <v>1171</v>
      </c>
      <c r="C656" s="6">
        <v>1.0</v>
      </c>
      <c r="D656" s="7" t="s">
        <v>1172</v>
      </c>
      <c r="E656" s="8" t="str">
        <f>IFERROR(__xludf.DUMMYFUNCTION("googletranslate(D656,""id"",""en"")"),"Bogor-Palembang-Jambi-Palembang-Lampung-Palembang-Jambi. The fate of the child who follows hayu this is right when you want to go back instead it gets ppkm")</f>
        <v>Bogor-Palembang-Jambi-Palembang-Lampung-Palembang-Jambi. The fate of the child who follows hayu this is right when you want to go back instead it gets ppkm</v>
      </c>
    </row>
    <row r="657" ht="15.75" customHeight="1">
      <c r="A657" s="2">
        <v>656.0</v>
      </c>
      <c r="B657" s="5" t="s">
        <v>1173</v>
      </c>
      <c r="C657" s="6">
        <v>1.0</v>
      </c>
      <c r="D657" s="7" t="s">
        <v>1174</v>
      </c>
      <c r="E657" s="8" t="str">
        <f>IFERROR(__xludf.DUMMYFUNCTION("googletranslate(D657,""id"",""en"")"),"It's not strange for Luhut and the traitor regime. For the community it is clear that something strange, because the entry of Chinese WNA to Indonesia, when Java-Bali was carried out by PPKM. This regime has been really bastard.")</f>
        <v>It's not strange for Luhut and the traitor regime. For the community it is clear that something strange, because the entry of Chinese WNA to Indonesia, when Java-Bali was carried out by PPKM. This regime has been really bastard.</v>
      </c>
    </row>
    <row r="658" ht="15.75" customHeight="1">
      <c r="A658" s="2">
        <v>657.0</v>
      </c>
      <c r="B658" s="5" t="s">
        <v>1175</v>
      </c>
      <c r="C658" s="6">
        <v>1.0</v>
      </c>
      <c r="D658" s="7" t="s">
        <v>1176</v>
      </c>
      <c r="E658" s="8" t="str">
        <f>IFERROR(__xludf.DUMMYFUNCTION("googletranslate(D658,""id"",""en"")"),"Don't dare to incapore lockdown because it can't cost it, but use a new PPKM term similar to Lockdown.")</f>
        <v>Don't dare to incapore lockdown because it can't cost it, but use a new PPKM term similar to Lockdown.</v>
      </c>
    </row>
    <row r="659" ht="15.75" customHeight="1">
      <c r="A659" s="2">
        <v>658.0</v>
      </c>
      <c r="B659" s="5" t="s">
        <v>1177</v>
      </c>
      <c r="C659" s="6">
        <v>3.0</v>
      </c>
      <c r="D659" s="7" t="s">
        <v>1177</v>
      </c>
      <c r="E659" s="8" t="str">
        <f>IFERROR(__xludf.DUMMYFUNCTION("googletranslate(D659,""id"",""en"")"),"Telkomsel's President Commissioner Wisnutama ensures the wifi network in your home, no longer has a problem or fall when you do work from home or work from home and when your sons are holding learning online or online during the PPKM")</f>
        <v>Telkomsel's President Commissioner Wisnutama ensures the wifi network in your home, no longer has a problem or fall when you do work from home or work from home and when your sons are holding learning online or online during the PPKM</v>
      </c>
    </row>
    <row r="660" ht="15.75" customHeight="1">
      <c r="A660" s="2">
        <v>659.0</v>
      </c>
      <c r="B660" s="5" t="s">
        <v>1178</v>
      </c>
      <c r="C660" s="6">
        <v>1.0</v>
      </c>
      <c r="D660" s="9" t="s">
        <v>1179</v>
      </c>
      <c r="E660" s="8" t="str">
        <f>IFERROR(__xludf.DUMMYFUNCTION("googletranslate(D660,""id"",""en"")"),"The people themselves are limited to their movements. Foreign TKA continues to be brought without limits. The exhaustion: PPKM is valid for Java - Bali alone. Indonesia is only Java - Bali? Who is the interest of TKA, it continues to be brought in? For co"&amp;"untries or private?")</f>
        <v>The people themselves are limited to their movements. Foreign TKA continues to be brought without limits. The exhaustion: PPKM is valid for Java - Bali alone. Indonesia is only Java - Bali? Who is the interest of TKA, it continues to be brought in? For countries or private?</v>
      </c>
    </row>
    <row r="661" ht="15.75" customHeight="1">
      <c r="A661" s="2">
        <v>660.0</v>
      </c>
      <c r="B661" s="5" t="s">
        <v>1180</v>
      </c>
      <c r="C661" s="6">
        <v>2.0</v>
      </c>
      <c r="D661" s="7" t="s">
        <v>1180</v>
      </c>
      <c r="E661" s="8" t="str">
        <f>IFERROR(__xludf.DUMMYFUNCTION("googletranslate(D661,""id"",""en"")"),"Yesterday PSBB is now PPKM soon PPKN, IPA, IPS, MTK, Chemistry, PAI etc.")</f>
        <v>Yesterday PSBB is now PPKM soon PPKN, IPA, IPS, MTK, Chemistry, PAI etc.</v>
      </c>
    </row>
    <row r="662" ht="15.75" customHeight="1">
      <c r="A662" s="2">
        <v>661.0</v>
      </c>
      <c r="B662" s="5" t="s">
        <v>1181</v>
      </c>
      <c r="C662" s="6">
        <v>2.0</v>
      </c>
      <c r="D662" s="7" t="s">
        <v>1182</v>
      </c>
      <c r="E662" s="8" t="str">
        <f>IFERROR(__xludf.DUMMYFUNCTION("googletranslate(D662,""id"",""en"")"),"Just the same bolster. Again PPKM because")</f>
        <v>Just the same bolster. Again PPKM because</v>
      </c>
    </row>
    <row r="663" ht="15.75" customHeight="1">
      <c r="A663" s="2">
        <v>662.0</v>
      </c>
      <c r="B663" s="5" t="s">
        <v>1183</v>
      </c>
      <c r="C663" s="6">
        <v>1.0</v>
      </c>
      <c r="D663" s="7" t="s">
        <v>1184</v>
      </c>
      <c r="E663" s="8" t="str">
        <f>IFERROR(__xludf.DUMMYFUNCTION("googletranslate(D663,""id"",""en"")"),"PPKM (the youth returned by the Metre)")</f>
        <v>PPKM (the youth returned by the Metre)</v>
      </c>
    </row>
    <row r="664" ht="15.75" customHeight="1">
      <c r="A664" s="2">
        <v>663.0</v>
      </c>
      <c r="B664" s="5" t="s">
        <v>1185</v>
      </c>
      <c r="C664" s="6">
        <v>1.0</v>
      </c>
      <c r="D664" s="9" t="s">
        <v>1186</v>
      </c>
      <c r="E664" s="8" t="str">
        <f>IFERROR(__xludf.DUMMYFUNCTION("googletranslate(D664,""id"",""en"")"),"PPKM, slowly communist slowly mastered,")</f>
        <v>PPKM, slowly communist slowly mastered,</v>
      </c>
    </row>
    <row r="665" ht="15.75" customHeight="1">
      <c r="A665" s="2">
        <v>664.0</v>
      </c>
      <c r="B665" s="5" t="s">
        <v>1187</v>
      </c>
      <c r="C665" s="6">
        <v>2.0</v>
      </c>
      <c r="D665" s="7" t="s">
        <v>1188</v>
      </c>
      <c r="E665" s="8" t="str">
        <f>IFERROR(__xludf.DUMMYFUNCTION("googletranslate(D665,""id"",""en"")"),"Ppkm wants pansos less read")</f>
        <v>Ppkm wants pansos less read</v>
      </c>
    </row>
    <row r="666" ht="15.75" customHeight="1">
      <c r="A666" s="2">
        <v>665.0</v>
      </c>
      <c r="B666" s="5" t="s">
        <v>1189</v>
      </c>
      <c r="C666" s="6">
        <v>2.0</v>
      </c>
      <c r="D666" s="7" t="s">
        <v>1189</v>
      </c>
      <c r="E666" s="8" t="str">
        <f>IFERROR(__xludf.DUMMYFUNCTION("googletranslate(D666,""id"",""en"")"),"Ppkm = never fainted because of the ex")</f>
        <v>Ppkm = never fainted because of the ex</v>
      </c>
    </row>
    <row r="667" ht="15.75" customHeight="1">
      <c r="A667" s="2">
        <v>666.0</v>
      </c>
      <c r="B667" s="5" t="s">
        <v>1190</v>
      </c>
      <c r="C667" s="6">
        <v>1.0</v>
      </c>
      <c r="D667" s="7" t="s">
        <v>1191</v>
      </c>
      <c r="E667" s="8" t="str">
        <f>IFERROR(__xludf.DUMMYFUNCTION("googletranslate(D667,""id"",""en"")"),"The PPKM is rich like this? People's merchandise was taken away from the kind of thugs in uniformed?")</f>
        <v>The PPKM is rich like this? People's merchandise was taken away from the kind of thugs in uniformed?</v>
      </c>
    </row>
    <row r="668" ht="15.75" customHeight="1">
      <c r="A668" s="2">
        <v>667.0</v>
      </c>
      <c r="B668" s="5" t="s">
        <v>1192</v>
      </c>
      <c r="C668" s="6">
        <v>2.0</v>
      </c>
      <c r="D668" s="9" t="s">
        <v>1193</v>
      </c>
      <c r="E668" s="8" t="str">
        <f>IFERROR(__xludf.DUMMYFUNCTION("googletranslate(D668,""id"",""en"")"),"Indihome Make sure the internet network throughout Java and Bali during the implementation of the Emergency Emergency Secure and it guarantees that there will be no more fallen terms such as those who complained of their customers as long as they have to "&amp;"do work from home%, especially in DKI Jakarta.")</f>
        <v>Indihome Make sure the internet network throughout Java and Bali during the implementation of the Emergency Emergency Secure and it guarantees that there will be no more fallen terms such as those who complained of their customers as long as they have to do work from home%, especially in DKI Jakarta.</v>
      </c>
    </row>
    <row r="669" ht="15.75" customHeight="1">
      <c r="A669" s="2">
        <v>668.0</v>
      </c>
      <c r="B669" s="5" t="s">
        <v>1194</v>
      </c>
      <c r="C669" s="6">
        <v>2.0</v>
      </c>
      <c r="D669" s="7" t="s">
        <v>1195</v>
      </c>
      <c r="E669" s="8" t="str">
        <f>IFERROR(__xludf.DUMMYFUNCTION("googletranslate(D669,""id"",""en"")"),"Ganjar Sidak Obity Community In Emergency PPKM - Kompas TV")</f>
        <v>Ganjar Sidak Obity Community In Emergency PPKM - Kompas TV</v>
      </c>
    </row>
    <row r="670" ht="15.75" customHeight="1">
      <c r="A670" s="2">
        <v>669.0</v>
      </c>
      <c r="B670" s="5" t="s">
        <v>1196</v>
      </c>
      <c r="C670" s="6">
        <v>1.0</v>
      </c>
      <c r="D670" s="7" t="s">
        <v>1197</v>
      </c>
      <c r="E670" s="8" t="str">
        <f>IFERROR(__xludf.DUMMYFUNCTION("googletranslate(D670,""id"",""en"")"),"There are also busy taking care so that foreign teachers can still enter the PPKM")</f>
        <v>There are also busy taking care so that foreign teachers can still enter the PPKM</v>
      </c>
    </row>
    <row r="671" ht="15.75" customHeight="1">
      <c r="A671" s="2">
        <v>670.0</v>
      </c>
      <c r="B671" s="5" t="s">
        <v>1198</v>
      </c>
      <c r="C671" s="6">
        <v>1.0</v>
      </c>
      <c r="D671" s="7" t="s">
        <v>1199</v>
      </c>
      <c r="E671" s="8" t="str">
        <f>IFERROR(__xludf.DUMMYFUNCTION("googletranslate(D671,""id"",""en"")"),"Hope the father will be enlightenment, because the ppkm is a serpis shop on the lid that open the store selling a new cellphone")</f>
        <v>Hope the father will be enlightenment, because the ppkm is a serpis shop on the lid that open the store selling a new cellphone</v>
      </c>
    </row>
    <row r="672" ht="15.75" customHeight="1">
      <c r="A672" s="2">
        <v>671.0</v>
      </c>
      <c r="B672" s="5" t="s">
        <v>1200</v>
      </c>
      <c r="C672" s="6">
        <v>1.0</v>
      </c>
      <c r="D672" s="7" t="s">
        <v>1201</v>
      </c>
      <c r="E672" s="8" t="str">
        <f>IFERROR(__xludf.DUMMYFUNCTION("googletranslate(D672,""id"",""en"")"),"It could be that there is a team that is busy looking for a new term replacement for emergency PPKM, whether PPKMD or PPKMD is up to ... Mang is just that much of its ability")</f>
        <v>It could be that there is a team that is busy looking for a new term replacement for emergency PPKM, whether PPKMD or PPKMD is up to ... Mang is just that much of its ability</v>
      </c>
    </row>
    <row r="673" ht="15.75" customHeight="1">
      <c r="A673" s="2">
        <v>672.0</v>
      </c>
      <c r="B673" s="5" t="s">
        <v>1202</v>
      </c>
      <c r="C673" s="6">
        <v>1.0</v>
      </c>
      <c r="D673" s="9" t="s">
        <v>1203</v>
      </c>
      <c r="E673" s="8" t="str">
        <f>IFERROR(__xludf.DUMMYFUNCTION("googletranslate(D673,""id"",""en"")"),"How do you do this if Indo demonstration at the time of PPKM, it's legitimate? We see abroad, some cubbling cities gain life freedom from global elite grip ..")</f>
        <v>How do you do this if Indo demonstration at the time of PPKM, it's legitimate? We see abroad, some cubbling cities gain life freedom from global elite grip ..</v>
      </c>
    </row>
    <row r="674" ht="15.75" customHeight="1">
      <c r="A674" s="2">
        <v>673.0</v>
      </c>
      <c r="B674" s="5" t="s">
        <v>1204</v>
      </c>
      <c r="C674" s="6">
        <v>1.0</v>
      </c>
      <c r="D674" s="7" t="s">
        <v>1205</v>
      </c>
      <c r="E674" s="8" t="str">
        <f>IFERROR(__xludf.DUMMYFUNCTION("googletranslate(D674,""id"",""en"")"),"Enforcement of the Emergency Limitation of Community Activities (PPKM) in to July, will even sanction for those who violate, in fact TKA easily arrives. Why does this keep repeating? Check at the MMC channel!")</f>
        <v>Enforcement of the Emergency Limitation of Community Activities (PPKM) in to July, will even sanction for those who violate, in fact TKA easily arrives. Why does this keep repeating? Check at the MMC channel!</v>
      </c>
    </row>
    <row r="675" ht="15.75" customHeight="1">
      <c r="A675" s="2">
        <v>674.0</v>
      </c>
      <c r="B675" s="5" t="s">
        <v>1206</v>
      </c>
      <c r="C675" s="6">
        <v>2.0</v>
      </c>
      <c r="D675" s="9" t="s">
        <v>1207</v>
      </c>
      <c r="E675" s="8" t="str">
        <f>IFERROR(__xludf.DUMMYFUNCTION("googletranslate(D675,""id"",""en"")"),"For a difference during the PPKM there is no special ban, but it should be limited first")</f>
        <v>For a difference during the PPKM there is no special ban, but it should be limited first</v>
      </c>
    </row>
    <row r="676" ht="15.75" customHeight="1">
      <c r="A676" s="2">
        <v>675.0</v>
      </c>
      <c r="B676" s="5" t="s">
        <v>1208</v>
      </c>
      <c r="C676" s="6">
        <v>1.0</v>
      </c>
      <c r="D676" s="7" t="s">
        <v>1209</v>
      </c>
      <c r="E676" s="8" t="str">
        <f>IFERROR(__xludf.DUMMYFUNCTION("googletranslate(D676,""id"",""en"")"),"Wait for the old PPKM, it feels like it feels")</f>
        <v>Wait for the old PPKM, it feels like it feels</v>
      </c>
    </row>
    <row r="677" ht="15.75" customHeight="1">
      <c r="A677" s="2">
        <v>676.0</v>
      </c>
      <c r="B677" s="5" t="s">
        <v>1210</v>
      </c>
      <c r="C677" s="6">
        <v>1.0</v>
      </c>
      <c r="D677" s="7" t="s">
        <v>1211</v>
      </c>
      <c r="E677" s="8" t="str">
        <f>IFERROR(__xludf.DUMMYFUNCTION("googletranslate(D677,""id"",""en"")"),"From all policies for PPKM, turning off the street lights at night is the most silly")</f>
        <v>From all policies for PPKM, turning off the street lights at night is the most silly</v>
      </c>
    </row>
    <row r="678" ht="15.75" customHeight="1">
      <c r="A678" s="2">
        <v>677.0</v>
      </c>
      <c r="B678" s="5" t="s">
        <v>1212</v>
      </c>
      <c r="C678" s="6">
        <v>2.0</v>
      </c>
      <c r="D678" s="7" t="s">
        <v>1213</v>
      </c>
      <c r="E678" s="8" t="str">
        <f>IFERROR(__xludf.DUMMYFUNCTION("googletranslate(D678,""id"",""en"")"),"Emergency PPKM is not valid until Europe huh? Wkwkw.")</f>
        <v>Emergency PPKM is not valid until Europe huh? Wkwkw.</v>
      </c>
    </row>
    <row r="679" ht="15.75" customHeight="1">
      <c r="A679" s="2">
        <v>678.0</v>
      </c>
      <c r="B679" s="5" t="s">
        <v>1214</v>
      </c>
      <c r="C679" s="6">
        <v>1.0</v>
      </c>
      <c r="D679" s="9" t="s">
        <v>1214</v>
      </c>
      <c r="E679" s="8" t="str">
        <f>IFERROR(__xludf.DUMMYFUNCTION("googletranslate(D679,""id"",""en"")"),"Maniez's mouth was angry at the office which included an essential effort that was not included in the PPKM. Pingin looking for sympathy but wrong. Basic congor boss! Want to be president?")</f>
        <v>Maniez's mouth was angry at the office which included an essential effort that was not included in the PPKM. Pingin looking for sympathy but wrong. Basic congor boss! Want to be president?</v>
      </c>
    </row>
    <row r="680" ht="15.75" customHeight="1">
      <c r="A680" s="2">
        <v>679.0</v>
      </c>
      <c r="B680" s="5" t="s">
        <v>1215</v>
      </c>
      <c r="C680" s="6">
        <v>1.0</v>
      </c>
      <c r="D680" s="9" t="s">
        <v>1216</v>
      </c>
      <c r="E680" s="8" t="str">
        <f>IFERROR(__xludf.DUMMYFUNCTION("googletranslate(D680,""id"",""en"")"),"Patience, for my friend who is affected by PPKMarena is not a solution to decrease mortality. Actually, there were also many deaths but not published, the difference was ""rich rich, enjoying his poor poorer to be a trial""")</f>
        <v>Patience, for my friend who is affected by PPKMarena is not a solution to decrease mortality. Actually, there were also many deaths but not published, the difference was "rich rich, enjoying his poor poorer to be a trial"</v>
      </c>
    </row>
    <row r="681" ht="15.75" customHeight="1">
      <c r="A681" s="2">
        <v>680.0</v>
      </c>
      <c r="B681" s="5" t="s">
        <v>1217</v>
      </c>
      <c r="C681" s="6">
        <v>2.0</v>
      </c>
      <c r="D681" s="7" t="s">
        <v>1217</v>
      </c>
      <c r="E681" s="8" t="str">
        <f>IFERROR(__xludf.DUMMYFUNCTION("googletranslate(D681,""id"",""en"")"),"I like PPKM without PP")</f>
        <v>I like PPKM without PP</v>
      </c>
    </row>
    <row r="682" ht="15.75" customHeight="1">
      <c r="A682" s="2">
        <v>681.0</v>
      </c>
      <c r="B682" s="5" t="s">
        <v>1218</v>
      </c>
      <c r="C682" s="6">
        <v>1.0</v>
      </c>
      <c r="D682" s="9" t="s">
        <v>1219</v>
      </c>
      <c r="E682" s="8" t="str">
        <f>IFERROR(__xludf.DUMMYFUNCTION("googletranslate(D682,""id"",""en"")"),"Ngacakak - the merchandise of people with the pretext of PPKM firmness is the most unclear thing. The direction accompanied by a rough attitude, the output will be bad and more rude.")</f>
        <v>Ngacakak - the merchandise of people with the pretext of PPKM firmness is the most unclear thing. The direction accompanied by a rough attitude, the output will be bad and more rude.</v>
      </c>
    </row>
    <row r="683" ht="15.75" customHeight="1">
      <c r="A683" s="2">
        <v>682.0</v>
      </c>
      <c r="B683" s="5" t="s">
        <v>1220</v>
      </c>
      <c r="C683" s="6">
        <v>1.0</v>
      </c>
      <c r="D683" s="7" t="s">
        <v>1220</v>
      </c>
      <c r="E683" s="8" t="str">
        <f>IFERROR(__xludf.DUMMYFUNCTION("googletranslate(D683,""id"",""en"")"),"Want to go to the house of teachers when MTs but again PPKM, Duh quickly finished keb.")</f>
        <v>Want to go to the house of teachers when MTs but again PPKM, Duh quickly finished keb.</v>
      </c>
    </row>
    <row r="684" ht="15.75" customHeight="1">
      <c r="A684" s="2">
        <v>683.0</v>
      </c>
      <c r="B684" s="5" t="s">
        <v>1221</v>
      </c>
      <c r="C684" s="6">
        <v>1.0</v>
      </c>
      <c r="D684" s="7" t="s">
        <v>1222</v>
      </c>
      <c r="E684" s="8" t="str">
        <f>IFERROR(__xludf.DUMMYFUNCTION("googletranslate(D684,""id"",""en"")"),"Ngerni, bang ... so when the PPKM applies for Chinese TKA still be able to enter. Gitukan ... * L4: Lulagilulagi")</f>
        <v>Ngerni, bang ... so when the PPKM applies for Chinese TKA still be able to enter. Gitukan ... * L4: Lulagilulagi</v>
      </c>
    </row>
    <row r="685" ht="15.75" customHeight="1">
      <c r="A685" s="2">
        <v>684.0</v>
      </c>
      <c r="B685" s="5" t="s">
        <v>1223</v>
      </c>
      <c r="C685" s="6">
        <v>3.0</v>
      </c>
      <c r="D685" s="9" t="s">
        <v>1224</v>
      </c>
      <c r="E685" s="8" t="str">
        <f>IFERROR(__xludf.DUMMYFUNCTION("googletranslate(D685,""id"",""en"")"),"O you, whoever your head and his heart continues to provoke residents to fight this emergency PPKM rule, please stop just Sunday. Please change the angel, appealing to these residents at home, obey the government's advice ...!")</f>
        <v>O you, whoever your head and his heart continues to provoke residents to fight this emergency PPKM rule, please stop just Sunday. Please change the angel, appealing to these residents at home, obey the government's advice ...!</v>
      </c>
    </row>
    <row r="686" ht="15.75" customHeight="1">
      <c r="A686" s="2">
        <v>685.0</v>
      </c>
      <c r="B686" s="5" t="s">
        <v>1225</v>
      </c>
      <c r="C686" s="6">
        <v>2.0</v>
      </c>
      <c r="D686" s="7" t="s">
        <v>1226</v>
      </c>
      <c r="E686" s="8" t="str">
        <f>IFERROR(__xludf.DUMMYFUNCTION("googletranslate(D686,""id"",""en"")"),"Sek PPKM Mbak Bromo Closed Palingan Yoan")</f>
        <v>Sek PPKM Mbak Bromo Closed Palingan Yoan</v>
      </c>
    </row>
    <row r="687" ht="15.75" customHeight="1">
      <c r="A687" s="2">
        <v>686.0</v>
      </c>
      <c r="B687" s="5" t="s">
        <v>1227</v>
      </c>
      <c r="C687" s="6">
        <v>2.0</v>
      </c>
      <c r="D687" s="9" t="s">
        <v>1227</v>
      </c>
      <c r="E687" s="8" t="str">
        <f>IFERROR(__xludf.DUMMYFUNCTION("googletranslate(D687,""id"",""en"")"),"PPKM; Want to hug you first")</f>
        <v>PPKM; Want to hug you first</v>
      </c>
    </row>
    <row r="688" ht="15.75" customHeight="1">
      <c r="A688" s="2">
        <v>687.0</v>
      </c>
      <c r="B688" s="5" t="s">
        <v>1228</v>
      </c>
      <c r="C688" s="6">
        <v>1.0</v>
      </c>
      <c r="D688" s="9" t="s">
        <v>1229</v>
      </c>
      <c r="E688" s="8" t="str">
        <f>IFERROR(__xludf.DUMMYFUNCTION("googletranslate(D688,""id"",""en"")"),"Parents If there are guests in need of disinfectants first, people if there are people who come out (before PPKM) must be sprayed first, the clothes directly enter the washing machine that has been used, washed me a mask, because my brother nakes gets me "&amp;"a parno abis, fortunately the child it still gets out")</f>
        <v>Parents If there are guests in need of disinfectants first, people if there are people who come out (before PPKM) must be sprayed first, the clothes directly enter the washing machine that has been used, washed me a mask, because my brother nakes gets me a parno abis, fortunately the child it still gets out</v>
      </c>
    </row>
    <row r="689" ht="15.75" customHeight="1">
      <c r="A689" s="2">
        <v>688.0</v>
      </c>
      <c r="B689" s="5" t="s">
        <v>1230</v>
      </c>
      <c r="C689" s="6">
        <v>1.0</v>
      </c>
      <c r="D689" s="9" t="s">
        <v>1231</v>
      </c>
      <c r="E689" s="8" t="str">
        <f>IFERROR(__xludf.DUMMYFUNCTION("googletranslate(D689,""id"",""en"")"),"Better funds are allocated for for the mask to the community, for basic necessities to the people affected by PPKM or to the person who is again at home. I think it has more impact on the community.")</f>
        <v>Better funds are allocated for for the mask to the community, for basic necessities to the people affected by PPKM or to the person who is again at home. I think it has more impact on the community.</v>
      </c>
    </row>
    <row r="690" ht="15.75" customHeight="1">
      <c r="A690" s="2">
        <v>689.0</v>
      </c>
      <c r="B690" s="5" t="s">
        <v>1232</v>
      </c>
      <c r="C690" s="6">
        <v>3.0</v>
      </c>
      <c r="D690" s="9" t="s">
        <v>1233</v>
      </c>
      <c r="E690" s="8" t="str">
        <f>IFERROR(__xludf.DUMMYFUNCTION("googletranslate(D690,""id"",""en"")"),"Tau yourself right, now the Covid-19 case is increasingly soaring crazy. Then ... one million people vaccines per day plus emergency PPKM are expected to be a cespleng solution to overcome this spike of pandemic")</f>
        <v>Tau yourself right, now the Covid-19 case is increasingly soaring crazy. Then ... one million people vaccines per day plus emergency PPKM are expected to be a cespleng solution to overcome this spike of pandemic</v>
      </c>
    </row>
    <row r="691" ht="15.75" customHeight="1">
      <c r="A691" s="2">
        <v>690.0</v>
      </c>
      <c r="B691" s="5" t="s">
        <v>1234</v>
      </c>
      <c r="C691" s="6">
        <v>2.0</v>
      </c>
      <c r="D691" s="7" t="s">
        <v>1235</v>
      </c>
      <c r="E691" s="8" t="str">
        <f>IFERROR(__xludf.DUMMYFUNCTION("googletranslate(D691,""id"",""en"")"),"Mending cook the godhok noodles wae ning omah, right more ppkm tour can be right?")</f>
        <v>Mending cook the godhok noodles wae ning omah, right more ppkm tour can be right?</v>
      </c>
    </row>
    <row r="692" ht="15.75" customHeight="1">
      <c r="A692" s="2">
        <v>691.0</v>
      </c>
      <c r="B692" s="5" t="s">
        <v>1236</v>
      </c>
      <c r="C692" s="6">
        <v>1.0</v>
      </c>
      <c r="D692" s="9" t="s">
        <v>1237</v>
      </c>
      <c r="E692" s="8" t="str">
        <f>IFERROR(__xludf.DUMMYFUNCTION("googletranslate(D692,""id"",""en"")"),"They don't think if the economy will top it for example informal workers with daily wages, street vendors. Moreover, the existence of this PPKM, how many losses per day mall tenants and stores are forced off, who bears the cost of living work? While the w"&amp;"orkers themselves have families")</f>
        <v>They don't think if the economy will top it for example informal workers with daily wages, street vendors. Moreover, the existence of this PPKM, how many losses per day mall tenants and stores are forced off, who bears the cost of living work? While the workers themselves have families</v>
      </c>
    </row>
    <row r="693" ht="15.75" customHeight="1">
      <c r="A693" s="2">
        <v>692.0</v>
      </c>
      <c r="B693" s="5" t="s">
        <v>1238</v>
      </c>
      <c r="C693" s="6">
        <v>1.0</v>
      </c>
      <c r="D693" s="7" t="s">
        <v>1239</v>
      </c>
      <c r="E693" s="8" t="str">
        <f>IFERROR(__xludf.DUMMYFUNCTION("googletranslate(D693,""id"",""en"")"),"Enforcement of the Emergency Limitation of Community Activities (PPKM) in to July, will even sanction for those who violate, in fact TKA easily arrives. Why does this keep recurring? See the answer in the MMC channel!")</f>
        <v>Enforcement of the Emergency Limitation of Community Activities (PPKM) in to July, will even sanction for those who violate, in fact TKA easily arrives. Why does this keep recurring? See the answer in the MMC channel!</v>
      </c>
    </row>
    <row r="694" ht="15.75" customHeight="1">
      <c r="A694" s="2">
        <v>693.0</v>
      </c>
      <c r="B694" s="5" t="s">
        <v>1240</v>
      </c>
      <c r="C694" s="6">
        <v>1.0</v>
      </c>
      <c r="D694" s="7" t="s">
        <v>1241</v>
      </c>
      <c r="E694" s="8" t="str">
        <f>IFERROR(__xludf.DUMMYFUNCTION("googletranslate(D694,""id"",""en"")"),"PPKM Anjiglah, every time you want to go home. Garbage news rises Teruuussss. W.")</f>
        <v>PPKM Anjiglah, every time you want to go home. Garbage news rises Teruuussss. W.</v>
      </c>
    </row>
    <row r="695" ht="15.75" customHeight="1">
      <c r="A695" s="2">
        <v>694.0</v>
      </c>
      <c r="B695" s="5" t="s">
        <v>1242</v>
      </c>
      <c r="C695" s="6">
        <v>2.0</v>
      </c>
      <c r="D695" s="9" t="s">
        <v>1243</v>
      </c>
      <c r="E695" s="8" t="str">
        <f>IFERROR(__xludf.DUMMYFUNCTION("googletranslate(D695,""id"",""en"")"),"Min if the PPKM is likely or not?")</f>
        <v>Min if the PPKM is likely or not?</v>
      </c>
    </row>
    <row r="696" ht="15.75" customHeight="1">
      <c r="A696" s="2">
        <v>695.0</v>
      </c>
      <c r="B696" s="5" t="s">
        <v>1244</v>
      </c>
      <c r="C696" s="6">
        <v>1.0</v>
      </c>
      <c r="D696" s="7" t="s">
        <v>1245</v>
      </c>
      <c r="E696" s="8" t="str">
        <f>IFERROR(__xludf.DUMMYFUNCTION("googletranslate(D696,""id"",""en"")"),"The next time the closing clock wkwkwkwkwk ajur sum sum, tripe pedestal in a bleak gloomy karo karo ppkm")</f>
        <v>The next time the closing clock wkwkwkwkwk ajur sum sum, tripe pedestal in a bleak gloomy karo karo ppkm</v>
      </c>
    </row>
    <row r="697" ht="15.75" customHeight="1">
      <c r="A697" s="2">
        <v>696.0</v>
      </c>
      <c r="B697" s="5" t="s">
        <v>1246</v>
      </c>
      <c r="C697" s="6">
        <v>1.0</v>
      </c>
      <c r="D697" s="7" t="s">
        <v>1246</v>
      </c>
      <c r="E697" s="8" t="str">
        <f>IFERROR(__xludf.DUMMYFUNCTION("googletranslate(D697,""id"",""en"")"),"Gabisa Watch Black Widow Gara ""PPKM Is Another Level Of Pain")</f>
        <v>Gabisa Watch Black Widow Gara "PPKM Is Another Level Of Pain</v>
      </c>
    </row>
    <row r="698" ht="15.75" customHeight="1">
      <c r="A698" s="2">
        <v>697.0</v>
      </c>
      <c r="B698" s="5" t="s">
        <v>1247</v>
      </c>
      <c r="C698" s="6">
        <v>3.0</v>
      </c>
      <c r="D698" s="7" t="s">
        <v>1247</v>
      </c>
      <c r="E698" s="8" t="str">
        <f>IFERROR(__xludf.DUMMYFUNCTION("googletranslate(D698,""id"",""en"")"),"Khofifah requested that WRGA TE2P obedient &amp; amp; Health Protocol Discipline on the Third Day Enforcement of Restricting Masyaralkat Activities (PPKM) Emergency")</f>
        <v>Khofifah requested that WRGA TE2P obedient &amp; amp; Health Protocol Discipline on the Third Day Enforcement of Restricting Masyaralkat Activities (PPKM) Emergency</v>
      </c>
    </row>
    <row r="699" ht="15.75" customHeight="1">
      <c r="A699" s="2">
        <v>698.0</v>
      </c>
      <c r="B699" s="5" t="s">
        <v>1248</v>
      </c>
      <c r="C699" s="6">
        <v>1.0</v>
      </c>
      <c r="D699" s="7" t="s">
        <v>1249</v>
      </c>
      <c r="E699" s="8" t="str">
        <f>IFERROR(__xludf.DUMMYFUNCTION("googletranslate(D699,""id"",""en"")"),"Lockdown, if the ppkm is not given a meal")</f>
        <v>Lockdown, if the ppkm is not given a meal</v>
      </c>
    </row>
    <row r="700" ht="15.75" customHeight="1">
      <c r="A700" s="2">
        <v>699.0</v>
      </c>
      <c r="B700" s="5" t="s">
        <v>1250</v>
      </c>
      <c r="C700" s="6">
        <v>2.0</v>
      </c>
      <c r="D700" s="7" t="s">
        <v>1251</v>
      </c>
      <c r="E700" s="8" t="str">
        <f>IFERROR(__xludf.DUMMYFUNCTION("googletranslate(D700,""id"",""en"")"),"At Wembley PPKM it's the clock ...")</f>
        <v>At Wembley PPKM it's the clock ...</v>
      </c>
    </row>
    <row r="701" ht="15.75" customHeight="1">
      <c r="A701" s="2">
        <v>700.0</v>
      </c>
      <c r="B701" s="5" t="s">
        <v>1252</v>
      </c>
      <c r="C701" s="6">
        <v>1.0</v>
      </c>
      <c r="D701" s="9" t="s">
        <v>1253</v>
      </c>
      <c r="E701" s="8" t="str">
        <f>IFERROR(__xludf.DUMMYFUNCTION("googletranslate(D701,""id"",""en"")"),"Just want to ask: 1. What insurance company includes the essential sector? 2. If yes, isn't the rule of PPKM for the essential sector WFH%? 3. If yes too, why is there an insurance company already WFH% and amp; cursed maki? please answer?")</f>
        <v>Just want to ask: 1. What insurance company includes the essential sector? 2. If yes, isn't the rule of PPKM for the essential sector WFH%? 3. If yes too, why is there an insurance company already WFH% and amp; cursed maki? please answer?</v>
      </c>
    </row>
    <row r="702" ht="15.75" customHeight="1">
      <c r="A702" s="2">
        <v>701.0</v>
      </c>
      <c r="B702" s="5" t="s">
        <v>1254</v>
      </c>
      <c r="C702" s="6">
        <v>1.0</v>
      </c>
      <c r="D702" s="7" t="s">
        <v>1255</v>
      </c>
      <c r="E702" s="8" t="str">
        <f>IFERROR(__xludf.DUMMYFUNCTION("googletranslate(D702,""id"",""en"")"),"If it's just a standard of the people, the people are also vaccinated, the people also use masks but still can't be everywhere ... It's not about the principle of reciprocal or what is the argument of Opung, but it is not in accordance with the principle "&amp;"of justice ... what is the urgency of the arrival of TKA in the middle of PPKM like this?")</f>
        <v>If it's just a standard of the people, the people are also vaccinated, the people also use masks but still can't be everywhere ... It's not about the principle of reciprocal or what is the argument of Opung, but it is not in accordance with the principle of justice ... what is the urgency of the arrival of TKA in the middle of PPKM like this?</v>
      </c>
    </row>
    <row r="703" ht="15.75" customHeight="1">
      <c r="A703" s="2">
        <v>702.0</v>
      </c>
      <c r="B703" s="5" t="s">
        <v>1256</v>
      </c>
      <c r="C703" s="6">
        <v>1.0</v>
      </c>
      <c r="D703" s="9" t="s">
        <v>1257</v>
      </c>
      <c r="E703" s="8" t="str">
        <f>IFERROR(__xludf.DUMMYFUNCTION("googletranslate(D703,""id"",""en"")"),"This PPKM is not logical ... the secret caused a crowd and congestion that will make Corona more booming ... hrs in finding other alternatives")</f>
        <v>This PPKM is not logical ... the secret caused a crowd and congestion that will make Corona more booming ... hrs in finding other alternatives</v>
      </c>
    </row>
    <row r="704" ht="15.75" customHeight="1">
      <c r="A704" s="2">
        <v>703.0</v>
      </c>
      <c r="B704" s="5" t="s">
        <v>1258</v>
      </c>
      <c r="C704" s="6">
        <v>3.0</v>
      </c>
      <c r="D704" s="7" t="s">
        <v>1259</v>
      </c>
      <c r="E704" s="8" t="str">
        <f>IFERROR(__xludf.DUMMYFUNCTION("googletranslate(D704,""id"",""en"")"),"Thanks to Brother ... Thank you for supporting all the streets of Ninja Q. Even though PPKM still gas ...")</f>
        <v>Thanks to Brother ... Thank you for supporting all the streets of Ninja Q. Even though PPKM still gas ...</v>
      </c>
    </row>
    <row r="705" ht="15.75" customHeight="1">
      <c r="A705" s="2">
        <v>704.0</v>
      </c>
      <c r="B705" s="5" t="s">
        <v>1260</v>
      </c>
      <c r="C705" s="6">
        <v>1.0</v>
      </c>
      <c r="D705" s="7" t="s">
        <v>1260</v>
      </c>
      <c r="E705" s="8" t="str">
        <f>IFERROR(__xludf.DUMMYFUNCTION("googletranslate(D705,""id"",""en"")"),"PPKM means suppression of small bourgeoisie and working class. Workers are bullied in the factory, while the big bourgeoisie takes this opportunity to manage or suppress a small bourgeois by limiting time selling which must have threatened a small burju f"&amp;"inance")</f>
        <v>PPKM means suppression of small bourgeoisie and working class. Workers are bullied in the factory, while the big bourgeoisie takes this opportunity to manage or suppress a small bourgeois by limiting time selling which must have threatened a small burju finance</v>
      </c>
    </row>
    <row r="706" ht="15.75" customHeight="1">
      <c r="A706" s="2">
        <v>705.0</v>
      </c>
      <c r="B706" s="5" t="s">
        <v>1261</v>
      </c>
      <c r="C706" s="6">
        <v>2.0</v>
      </c>
      <c r="D706" s="7" t="s">
        <v>1262</v>
      </c>
      <c r="E706" s="8" t="str">
        <f>IFERROR(__xludf.DUMMYFUNCTION("googletranslate(D706,""id"",""en"")"),"PPKMPernahakan attention now disappears")</f>
        <v>PPKMPernahakan attention now disappears</v>
      </c>
    </row>
    <row r="707" ht="15.75" customHeight="1">
      <c r="A707" s="2">
        <v>706.0</v>
      </c>
      <c r="B707" s="5" t="s">
        <v>1263</v>
      </c>
      <c r="C707" s="6">
        <v>2.0</v>
      </c>
      <c r="D707" s="9" t="s">
        <v>1264</v>
      </c>
      <c r="E707" s="8" t="str">
        <f>IFERROR(__xludf.DUMMYFUNCTION("googletranslate(D707,""id"",""en"")"),"The virus will get PPKM if you dare to enter his body")</f>
        <v>The virus will get PPKM if you dare to enter his body</v>
      </c>
    </row>
    <row r="708" ht="15.75" customHeight="1">
      <c r="A708" s="2">
        <v>707.0</v>
      </c>
      <c r="B708" s="5" t="s">
        <v>1265</v>
      </c>
      <c r="C708" s="6">
        <v>1.0</v>
      </c>
      <c r="D708" s="7" t="s">
        <v>1266</v>
      </c>
      <c r="E708" s="8" t="str">
        <f>IFERROR(__xludf.DUMMYFUNCTION("googletranslate(D708,""id"",""en"")"),"The wonder is the same as PPKM D Serpong, why try the road to be closed when it's more than someone who weve wFO wFO wFH -_- It also departed using the road to be closed and kept muter through ivory literally at the time of the OTW person, it's really goo"&amp;"d. The person is close on the road at night")</f>
        <v>The wonder is the same as PPKM D Serpong, why try the road to be closed when it's more than someone who weve wFO wFO wFH -_- It also departed using the road to be closed and kept muter through ivory literally at the time of the OTW person, it's really good. The person is close on the road at night</v>
      </c>
    </row>
    <row r="709" ht="15.75" customHeight="1">
      <c r="A709" s="2">
        <v>708.0</v>
      </c>
      <c r="B709" s="5" t="s">
        <v>1267</v>
      </c>
      <c r="C709" s="6">
        <v>2.0</v>
      </c>
      <c r="D709" s="9" t="s">
        <v>1268</v>
      </c>
      <c r="E709" s="8" t="str">
        <f>IFERROR(__xludf.DUMMYFUNCTION("googletranslate(D709,""id"",""en"")"),"Min, what is there no circulation of the Governor of Papua related to PPKM in Papua?")</f>
        <v>Min, what is there no circulation of the Governor of Papua related to PPKM in Papua?</v>
      </c>
    </row>
    <row r="710" ht="15.75" customHeight="1">
      <c r="A710" s="2">
        <v>709.0</v>
      </c>
      <c r="B710" s="5" t="s">
        <v>1269</v>
      </c>
      <c r="C710" s="6">
        <v>3.0</v>
      </c>
      <c r="D710" s="7" t="s">
        <v>1269</v>
      </c>
      <c r="E710" s="8" t="str">
        <f>IFERROR(__xludf.DUMMYFUNCTION("googletranslate(D710,""id"",""en"")"),"Productive yokk during the PPKM period while at home")</f>
        <v>Productive yokk during the PPKM period while at home</v>
      </c>
    </row>
    <row r="711" ht="15.75" customHeight="1">
      <c r="A711" s="2">
        <v>710.0</v>
      </c>
      <c r="B711" s="5" t="s">
        <v>1270</v>
      </c>
      <c r="C711" s="6">
        <v>3.0</v>
      </c>
      <c r="D711" s="7" t="s">
        <v>1271</v>
      </c>
      <c r="E711" s="8" t="str">
        <f>IFERROR(__xludf.DUMMYFUNCTION("googletranslate(D711,""id"",""en"")"),"PPKM: Increase Many Go to the Mosque")</f>
        <v>PPKM: Increase Many Go to the Mosque</v>
      </c>
    </row>
    <row r="712" ht="15.75" customHeight="1">
      <c r="A712" s="2">
        <v>711.0</v>
      </c>
      <c r="B712" s="5" t="s">
        <v>1272</v>
      </c>
      <c r="C712" s="6">
        <v>3.0</v>
      </c>
      <c r="D712" s="7" t="s">
        <v>1273</v>
      </c>
      <c r="E712" s="8" t="str">
        <f>IFERROR(__xludf.DUMMYFUNCTION("googletranslate(D712,""id"",""en"")"),"Although Emergency PPKM, MSME Kitoshuko Muesti's enthusiasm, dying state, do not broke enthusiasm, coalition with the people, push the disaster.")</f>
        <v>Although Emergency PPKM, MSME Kitoshuko Muesti's enthusiasm, dying state, do not broke enthusiasm, coalition with the people, push the disaster.</v>
      </c>
    </row>
    <row r="713" ht="15.75" customHeight="1">
      <c r="A713" s="2">
        <v>712.0</v>
      </c>
      <c r="B713" s="5" t="s">
        <v>1274</v>
      </c>
      <c r="C713" s="6">
        <v>2.0</v>
      </c>
      <c r="D713" s="7" t="s">
        <v>1275</v>
      </c>
      <c r="E713" s="8" t="str">
        <f>IFERROR(__xludf.DUMMYFUNCTION("googletranslate(D713,""id"",""en"")"),"At Wembley it's not ppkm")</f>
        <v>At Wembley it's not ppkm</v>
      </c>
    </row>
    <row r="714" ht="15.75" customHeight="1">
      <c r="A714" s="2">
        <v>713.0</v>
      </c>
      <c r="B714" s="5" t="s">
        <v>1276</v>
      </c>
      <c r="C714" s="6">
        <v>2.0</v>
      </c>
      <c r="D714" s="9" t="s">
        <v>1277</v>
      </c>
      <c r="E714" s="8" t="str">
        <f>IFERROR(__xludf.DUMMYFUNCTION("googletranslate(D714,""id"",""en"")"),"The transition season, Hawane Uadem, Garai PPKM (want to hug your train). Eyaa Eyaaa.")</f>
        <v>The transition season, Hawane Uadem, Garai PPKM (want to hug your train). Eyaa Eyaaa.</v>
      </c>
    </row>
    <row r="715" ht="15.75" customHeight="1">
      <c r="A715" s="2">
        <v>714.0</v>
      </c>
      <c r="B715" s="5" t="s">
        <v>1278</v>
      </c>
      <c r="C715" s="6">
        <v>2.0</v>
      </c>
      <c r="D715" s="7" t="s">
        <v>1279</v>
      </c>
      <c r="E715" s="8" t="str">
        <f>IFERROR(__xludf.DUMMYFUNCTION("googletranslate(D715,""id"",""en"")"),"What is the connection with Emergency PPKM with the mosque")</f>
        <v>What is the connection with Emergency PPKM with the mosque</v>
      </c>
    </row>
    <row r="716" ht="15.75" customHeight="1">
      <c r="A716" s="2">
        <v>715.0</v>
      </c>
      <c r="B716" s="5" t="s">
        <v>1280</v>
      </c>
      <c r="C716" s="6">
        <v>2.0</v>
      </c>
      <c r="D716" s="7" t="s">
        <v>1281</v>
      </c>
      <c r="E716" s="8" t="str">
        <f>IFERROR(__xludf.DUMMYFUNCTION("googletranslate(D716,""id"",""en"")"),"PPKM, once a concern then disappeared")</f>
        <v>PPKM, once a concern then disappeared</v>
      </c>
    </row>
    <row r="717" ht="15.75" customHeight="1">
      <c r="A717" s="2">
        <v>716.0</v>
      </c>
      <c r="B717" s="5" t="s">
        <v>1282</v>
      </c>
      <c r="C717" s="6">
        <v>1.0</v>
      </c>
      <c r="D717" s="9" t="s">
        <v>1283</v>
      </c>
      <c r="E717" s="8" t="str">
        <f>IFERROR(__xludf.DUMMYFUNCTION("googletranslate(D717,""id"",""en"")"),"Emergency PPKM Provincial Government and Regional Government have not yet present, the crowd only down%, is not significant with its name.")</f>
        <v>Emergency PPKM Provincial Government and Regional Government have not yet present, the crowd only down%, is not significant with its name.</v>
      </c>
    </row>
    <row r="718" ht="15.75" customHeight="1">
      <c r="A718" s="2">
        <v>717.0</v>
      </c>
      <c r="B718" s="5" t="s">
        <v>1284</v>
      </c>
      <c r="C718" s="6">
        <v>1.0</v>
      </c>
      <c r="D718" s="9" t="s">
        <v>1285</v>
      </c>
      <c r="E718" s="8" t="str">
        <f>IFERROR(__xludf.DUMMYFUNCTION("googletranslate(D718,""id"",""en"")"),"Emergency PPKM enforcement is not meaningful if the local authorities deliberately exist for a livestock livestock citizen on the edge of the location of the location of RT. Karang Pilang Barat. Rear warehouse.")</f>
        <v>Emergency PPKM enforcement is not meaningful if the local authorities deliberately exist for a livestock livestock citizen on the edge of the location of the location of RT. Karang Pilang Barat. Rear warehouse.</v>
      </c>
    </row>
    <row r="719" ht="15.75" customHeight="1">
      <c r="A719" s="2">
        <v>718.0</v>
      </c>
      <c r="B719" s="5" t="s">
        <v>1286</v>
      </c>
      <c r="C719" s="6">
        <v>1.0</v>
      </c>
      <c r="D719" s="9" t="s">
        <v>1287</v>
      </c>
      <c r="E719" s="8" t="str">
        <f>IFERROR(__xludf.DUMMYFUNCTION("googletranslate(D719,""id"",""en"")"),"PPKM: Loose to TKA, strictly to residents themselves. Government is more siding on foreigners? | Multipurpose MMCLagi, the policy of the ruler became an irony for his own people.")</f>
        <v>PPKM: Loose to TKA, strictly to residents themselves. Government is more siding on foreigners? | Multipurpose MMCLagi, the policy of the ruler became an irony for his own people.</v>
      </c>
    </row>
    <row r="720" ht="15.75" customHeight="1">
      <c r="A720" s="2">
        <v>719.0</v>
      </c>
      <c r="B720" s="5" t="s">
        <v>1288</v>
      </c>
      <c r="C720" s="6">
        <v>1.0</v>
      </c>
      <c r="D720" s="9" t="s">
        <v>1289</v>
      </c>
      <c r="E720" s="8" t="str">
        <f>IFERROR(__xludf.DUMMYFUNCTION("googletranslate(D720,""id"",""en"")"),"Sir, try to be dealt with Chinese foreigners who came in the Emergency PPKM period, just don't just follow themselves. Try to think about the solution, what are the traders who can't sell, what do you want to eat tomorrow?")</f>
        <v>Sir, try to be dealt with Chinese foreigners who came in the Emergency PPKM period, just don't just follow themselves. Try to think about the solution, what are the traders who can't sell, what do you want to eat tomorrow?</v>
      </c>
    </row>
    <row r="721" ht="15.75" customHeight="1">
      <c r="A721" s="2">
        <v>720.0</v>
      </c>
      <c r="B721" s="5" t="s">
        <v>1290</v>
      </c>
      <c r="C721" s="6">
        <v>2.0</v>
      </c>
      <c r="D721" s="7" t="s">
        <v>1291</v>
      </c>
      <c r="E721" s="8" t="str">
        <f>IFERROR(__xludf.DUMMYFUNCTION("googletranslate(D721,""id"",""en"")"),"The impact of PPKM, besides watching Drakor play hayday again add my work in the house")</f>
        <v>The impact of PPKM, besides watching Drakor play hayday again add my work in the house</v>
      </c>
    </row>
    <row r="722" ht="15.75" customHeight="1">
      <c r="A722" s="2">
        <v>721.0</v>
      </c>
      <c r="B722" s="5" t="s">
        <v>1292</v>
      </c>
      <c r="C722" s="6">
        <v>1.0</v>
      </c>
      <c r="D722" s="9" t="s">
        <v>1292</v>
      </c>
      <c r="E722" s="8" t="str">
        <f>IFERROR(__xludf.DUMMYFUNCTION("googletranslate(D722,""id"",""en"")"),"sorry before the PPKM didn't go to gramed first")</f>
        <v>sorry before the PPKM didn't go to gramed first</v>
      </c>
    </row>
    <row r="723" ht="15.75" customHeight="1">
      <c r="A723" s="2">
        <v>722.0</v>
      </c>
      <c r="B723" s="5" t="s">
        <v>1293</v>
      </c>
      <c r="C723" s="6">
        <v>1.0</v>
      </c>
      <c r="D723" s="9" t="s">
        <v>1294</v>
      </c>
      <c r="E723" s="8" t="str">
        <f>IFERROR(__xludf.DUMMYFUNCTION("googletranslate(D723,""id"",""en"")"),"They both sat in a chair since, so the condition of the country like this fruit of their work, how come it actually pointed to the chairman of the PPKM. This country will not change even more damaged if they are not immediately replaced ...")</f>
        <v>They both sat in a chair since, so the condition of the country like this fruit of their work, how come it actually pointed to the chairman of the PPKM. This country will not change even more damaged if they are not immediately replaced ...</v>
      </c>
    </row>
    <row r="724" ht="15.75" customHeight="1">
      <c r="A724" s="2">
        <v>723.0</v>
      </c>
      <c r="B724" s="5" t="s">
        <v>1295</v>
      </c>
      <c r="C724" s="6">
        <v>1.0</v>
      </c>
      <c r="D724" s="9" t="s">
        <v>1296</v>
      </c>
      <c r="E724" s="8" t="str">
        <f>IFERROR(__xludf.DUMMYFUNCTION("googletranslate(D724,""id"",""en"")"),"If the lockdown dies all so the ppkm dies half, sir?")</f>
        <v>If the lockdown dies all so the ppkm dies half, sir?</v>
      </c>
    </row>
    <row r="725" ht="15.75" customHeight="1">
      <c r="A725" s="2">
        <v>724.0</v>
      </c>
      <c r="B725" s="5" t="s">
        <v>1297</v>
      </c>
      <c r="C725" s="6">
        <v>2.0</v>
      </c>
      <c r="D725" s="7" t="s">
        <v>1298</v>
      </c>
      <c r="E725" s="8" t="str">
        <f>IFERROR(__xludf.DUMMYFUNCTION("googletranslate(D725,""id"",""en"")"),"Because of the PPKM")</f>
        <v>Because of the PPKM</v>
      </c>
    </row>
    <row r="726" ht="15.75" customHeight="1">
      <c r="A726" s="2">
        <v>725.0</v>
      </c>
      <c r="B726" s="5" t="s">
        <v>1299</v>
      </c>
      <c r="C726" s="6">
        <v>3.0</v>
      </c>
      <c r="D726" s="7" t="s">
        <v>1300</v>
      </c>
      <c r="E726" s="8" t="str">
        <f>IFERROR(__xludf.DUMMYFUNCTION("googletranslate(D726,""id"",""en"")"),"Alhamdulillah, my PPKM is crowded even though it's just in RMH")</f>
        <v>Alhamdulillah, my PPKM is crowded even though it's just in RMH</v>
      </c>
    </row>
    <row r="727" ht="15.75" customHeight="1">
      <c r="A727" s="2">
        <v>726.0</v>
      </c>
      <c r="B727" s="5" t="s">
        <v>1301</v>
      </c>
      <c r="C727" s="6">
        <v>1.0</v>
      </c>
      <c r="D727" s="7" t="s">
        <v>1302</v>
      </c>
      <c r="E727" s="8" t="str">
        <f>IFERROR(__xludf.DUMMYFUNCTION("googletranslate(D727,""id"",""en"")"),"Emergency effect. PPKM, without a substitute for living costs from the government")</f>
        <v>Emergency effect. PPKM, without a substitute for living costs from the government</v>
      </c>
    </row>
    <row r="728" ht="15.75" customHeight="1">
      <c r="A728" s="2">
        <v>727.0</v>
      </c>
      <c r="B728" s="5" t="s">
        <v>1303</v>
      </c>
      <c r="C728" s="6">
        <v>1.0</v>
      </c>
      <c r="D728" s="7" t="s">
        <v>1304</v>
      </c>
      <c r="E728" s="8" t="str">
        <f>IFERROR(__xludf.DUMMYFUNCTION("googletranslate(D728,""id"",""en"")"),"One of my former Boss, PPKM, appeal at home, eh he is still muter. Every day still holding, continue to meet Ktr Ktr, to Ktr b. There is no hanger. Pdhal has asthma, you know ... I can't get a vaccine, I have been hit by a virus too and ... it's not at ho"&amp;"me at home .....")</f>
        <v>One of my former Boss, PPKM, appeal at home, eh he is still muter. Every day still holding, continue to meet Ktr Ktr, to Ktr b. There is no hanger. Pdhal has asthma, you know ... I can't get a vaccine, I have been hit by a virus too and ... it's not at home at home .....</v>
      </c>
    </row>
    <row r="729" ht="15.75" customHeight="1">
      <c r="A729" s="2">
        <v>728.0</v>
      </c>
      <c r="B729" s="5" t="s">
        <v>1305</v>
      </c>
      <c r="C729" s="6">
        <v>2.0</v>
      </c>
      <c r="D729" s="9" t="s">
        <v>1306</v>
      </c>
      <c r="E729" s="8" t="str">
        <f>IFERROR(__xludf.DUMMYFUNCTION("googletranslate(D729,""id"",""en"")"),"Ppkm: want to hug you first")</f>
        <v>Ppkm: want to hug you first</v>
      </c>
    </row>
    <row r="730" ht="15.75" customHeight="1">
      <c r="A730" s="2">
        <v>729.0</v>
      </c>
      <c r="B730" s="5" t="s">
        <v>1307</v>
      </c>
      <c r="C730" s="6">
        <v>1.0</v>
      </c>
      <c r="D730" s="7" t="s">
        <v>1308</v>
      </c>
      <c r="E730" s="8" t="str">
        <f>IFERROR(__xludf.DUMMYFUNCTION("googletranslate(D730,""id"",""en"")"),"ppkm ni nunda my thesis ci ish")</f>
        <v>ppkm ni nunda my thesis ci ish</v>
      </c>
    </row>
    <row r="731" ht="15.75" customHeight="1">
      <c r="A731" s="2">
        <v>730.0</v>
      </c>
      <c r="B731" s="5" t="s">
        <v>1309</v>
      </c>
      <c r="C731" s="6">
        <v>2.0</v>
      </c>
      <c r="D731" s="7" t="s">
        <v>1309</v>
      </c>
      <c r="E731" s="8" t="str">
        <f>IFERROR(__xludf.DUMMYFUNCTION("googletranslate(D731,""id"",""en"")"),"I like PPKM with space")</f>
        <v>I like PPKM with space</v>
      </c>
    </row>
    <row r="732" ht="15.75" customHeight="1">
      <c r="A732" s="2">
        <v>731.0</v>
      </c>
      <c r="B732" s="5" t="s">
        <v>1310</v>
      </c>
      <c r="C732" s="6">
        <v>2.0</v>
      </c>
      <c r="D732" s="7" t="s">
        <v>1311</v>
      </c>
      <c r="E732" s="8" t="str">
        <f>IFERROR(__xludf.DUMMYFUNCTION("googletranslate(D732,""id"",""en"")"),"Can't find the PPKM remember. Wkwkwkws")</f>
        <v>Can't find the PPKM remember. Wkwkwkws</v>
      </c>
    </row>
    <row r="733" ht="15.75" customHeight="1">
      <c r="A733" s="2">
        <v>732.0</v>
      </c>
      <c r="B733" s="5" t="s">
        <v>1312</v>
      </c>
      <c r="C733" s="6">
        <v>2.0</v>
      </c>
      <c r="D733" s="7" t="s">
        <v>1312</v>
      </c>
      <c r="E733" s="8" t="str">
        <f>IFERROR(__xludf.DUMMYFUNCTION("googletranslate(D733,""id"",""en"")"),"/ Wal I'm a handak to Surabaya, there is a ppkm yo")</f>
        <v>/ Wal I'm a handak to Surabaya, there is a ppkm yo</v>
      </c>
    </row>
    <row r="734" ht="15.75" customHeight="1">
      <c r="A734" s="2">
        <v>733.0</v>
      </c>
      <c r="B734" s="5" t="s">
        <v>1313</v>
      </c>
      <c r="C734" s="6">
        <v>2.0</v>
      </c>
      <c r="D734" s="7" t="s">
        <v>1314</v>
      </c>
      <c r="E734" s="8" t="str">
        <f>IFERROR(__xludf.DUMMYFUNCTION("googletranslate(D734,""id"",""en"")"),"There are also! The price of thousands for the stock of reading and discussions with boys at home during the PPKM period chat to the mother ~")</f>
        <v>There are also! The price of thousands for the stock of reading and discussions with boys at home during the PPKM period chat to the mother ~</v>
      </c>
    </row>
    <row r="735" ht="15.75" customHeight="1">
      <c r="A735" s="2">
        <v>734.0</v>
      </c>
      <c r="B735" s="5" t="s">
        <v>1315</v>
      </c>
      <c r="C735" s="6">
        <v>1.0</v>
      </c>
      <c r="D735" s="7" t="s">
        <v>1316</v>
      </c>
      <c r="E735" s="8" t="str">
        <f>IFERROR(__xludf.DUMMYFUNCTION("googletranslate(D735,""id"",""en"")"),"Hopefully the PPKM A Prabowo is when back?")</f>
        <v>Hopefully the PPKM A Prabowo is when back?</v>
      </c>
    </row>
    <row r="736" ht="15.75" customHeight="1">
      <c r="A736" s="2">
        <v>735.0</v>
      </c>
      <c r="B736" s="5" t="s">
        <v>1317</v>
      </c>
      <c r="C736" s="6">
        <v>1.0</v>
      </c>
      <c r="D736" s="7" t="s">
        <v>1318</v>
      </c>
      <c r="E736" s="8" t="str">
        <f>IFERROR(__xludf.DUMMYFUNCTION("googletranslate(D736,""id"",""en"")"),"Want to fight Covid, Spy is missing from this beloved country. But that intention is not accompanied by sincerity, branching, not firm and clear, even tends to be like arrogant.pkm emergency, the people are in the airport open. ""Violators"" breadwinner, "&amp;"fined, confident.")</f>
        <v>Want to fight Covid, Spy is missing from this beloved country. But that intention is not accompanied by sincerity, branching, not firm and clear, even tends to be like arrogant.pkm emergency, the people are in the airport open. "Violators" breadwinner, fined, confident.</v>
      </c>
    </row>
    <row r="737" ht="15.75" customHeight="1">
      <c r="A737" s="2">
        <v>736.0</v>
      </c>
      <c r="B737" s="5" t="s">
        <v>1319</v>
      </c>
      <c r="C737" s="6">
        <v>1.0</v>
      </c>
      <c r="D737" s="9" t="s">
        <v>1319</v>
      </c>
      <c r="E737" s="8" t="str">
        <f>IFERROR(__xludf.DUMMYFUNCTION("googletranslate(D737,""id"",""en"")"),"PPKM is important but, it makes a trade person whose target market is not widdaw.")</f>
        <v>PPKM is important but, it makes a trade person whose target market is not widdaw.</v>
      </c>
    </row>
    <row r="738" ht="15.75" customHeight="1">
      <c r="A738" s="2">
        <v>737.0</v>
      </c>
      <c r="B738" s="5" t="s">
        <v>1320</v>
      </c>
      <c r="C738" s="6">
        <v>1.0</v>
      </c>
      <c r="D738" s="7" t="s">
        <v>1320</v>
      </c>
      <c r="E738" s="8" t="str">
        <f>IFERROR(__xludf.DUMMYFUNCTION("googletranslate(D738,""id"",""en"")"),"Ppkm already like the road not berkan the people have been difficult to make anger !!!")</f>
        <v>Ppkm already like the road not berkan the people have been difficult to make anger !!!</v>
      </c>
    </row>
    <row r="739" ht="15.75" customHeight="1">
      <c r="A739" s="2">
        <v>738.0</v>
      </c>
      <c r="B739" s="5" t="s">
        <v>1321</v>
      </c>
      <c r="C739" s="6">
        <v>1.0</v>
      </c>
      <c r="D739" s="7" t="s">
        <v>1322</v>
      </c>
      <c r="E739" s="8" t="str">
        <f>IFERROR(__xludf.DUMMYFUNCTION("googletranslate(D739,""id"",""en"")"),"Where are your criticisms to the laughing officials, jellyfish gymnastics, eating cat rice, the Covid virus does not survive in Indonesia, at the beginning of Covid coming? Even today, when the airport is still open for international arrivals, while the p"&amp;"eople must be emergency, without bansos? Elek Cangkem")</f>
        <v>Where are your criticisms to the laughing officials, jellyfish gymnastics, eating cat rice, the Covid virus does not survive in Indonesia, at the beginning of Covid coming? Even today, when the airport is still open for international arrivals, while the people must be emergency, without bansos? Elek Cangkem</v>
      </c>
    </row>
    <row r="740" ht="15.75" customHeight="1">
      <c r="A740" s="2">
        <v>739.0</v>
      </c>
      <c r="B740" s="5" t="s">
        <v>1323</v>
      </c>
      <c r="C740" s="6">
        <v>3.0</v>
      </c>
      <c r="D740" s="7" t="s">
        <v>1323</v>
      </c>
      <c r="E740" s="8" t="str">
        <f>IFERROR(__xludf.DUMMYFUNCTION("googletranslate(D740,""id"",""en"")"),"Stay Strong PPKM Fighters")</f>
        <v>Stay Strong PPKM Fighters</v>
      </c>
    </row>
    <row r="741" ht="15.75" customHeight="1">
      <c r="A741" s="2">
        <v>740.0</v>
      </c>
      <c r="B741" s="5" t="s">
        <v>1324</v>
      </c>
      <c r="C741" s="6">
        <v>1.0</v>
      </c>
      <c r="D741" s="7" t="s">
        <v>1325</v>
      </c>
      <c r="E741" s="8" t="str">
        <f>IFERROR(__xludf.DUMMYFUNCTION("googletranslate(D741,""id"",""en"")"),"Get an event in Jakarta, the client is already getting ppkm gabisa entry. Asu Deh.")</f>
        <v>Get an event in Jakarta, the client is already getting ppkm gabisa entry. Asu Deh.</v>
      </c>
    </row>
    <row r="742" ht="15.75" customHeight="1">
      <c r="A742" s="2">
        <v>741.0</v>
      </c>
      <c r="B742" s="5" t="s">
        <v>1326</v>
      </c>
      <c r="C742" s="6">
        <v>2.0</v>
      </c>
      <c r="D742" s="7" t="s">
        <v>1326</v>
      </c>
      <c r="E742" s="8" t="str">
        <f>IFERROR(__xludf.DUMMYFUNCTION("googletranslate(D742,""id"",""en"")"),"PPKM: Slowly surely you want")</f>
        <v>PPKM: Slowly surely you want</v>
      </c>
    </row>
    <row r="743" ht="15.75" customHeight="1">
      <c r="A743" s="2">
        <v>742.0</v>
      </c>
      <c r="B743" s="5" t="s">
        <v>1327</v>
      </c>
      <c r="C743" s="6">
        <v>2.0</v>
      </c>
      <c r="D743" s="7" t="s">
        <v>1328</v>
      </c>
      <c r="E743" s="8" t="str">
        <f>IFERROR(__xludf.DUMMYFUNCTION("googletranslate(D743,""id"",""en"")"),"PPKM returns to the beginning again")</f>
        <v>PPKM returns to the beginning again</v>
      </c>
    </row>
    <row r="744" ht="15.75" customHeight="1">
      <c r="A744" s="2">
        <v>743.0</v>
      </c>
      <c r="B744" s="5" t="s">
        <v>1329</v>
      </c>
      <c r="C744" s="6">
        <v>1.0</v>
      </c>
      <c r="D744" s="9" t="s">
        <v>1330</v>
      </c>
      <c r="E744" s="8" t="str">
        <f>IFERROR(__xludf.DUMMYFUNCTION("googletranslate(D744,""id"",""en"")"),"PLIS, PPKM only live less week, Gausa where before. It's really tired of looking at every day you take care of the c-word really need to be human. Try to change with my father here, take care of citizens get c word, can it ?? Annoyed.")</f>
        <v>PLIS, PPKM only live less week, Gausa where before. It's really tired of looking at every day you take care of the c-word really need to be human. Try to change with my father here, take care of citizens get c word, can it ?? Annoyed.</v>
      </c>
    </row>
    <row r="745" ht="15.75" customHeight="1">
      <c r="A745" s="2">
        <v>744.0</v>
      </c>
      <c r="B745" s="5" t="s">
        <v>1331</v>
      </c>
      <c r="C745" s="6">
        <v>1.0</v>
      </c>
      <c r="D745" s="7" t="s">
        <v>1332</v>
      </c>
      <c r="E745" s="8" t="str">
        <f>IFERROR(__xludf.DUMMYFUNCTION("googletranslate(D745,""id"",""en"")"),"Yes, God in the morning, the ppkm bginilg chat can't go home")</f>
        <v>Yes, God in the morning, the ppkm bginilg chat can't go home</v>
      </c>
    </row>
    <row r="746" ht="15.75" customHeight="1">
      <c r="A746" s="2">
        <v>745.0</v>
      </c>
      <c r="B746" s="5" t="s">
        <v>1333</v>
      </c>
      <c r="C746" s="6">
        <v>1.0</v>
      </c>
      <c r="D746" s="7" t="s">
        <v>1333</v>
      </c>
      <c r="E746" s="8" t="str">
        <f>IFERROR(__xludf.DUMMYFUNCTION("googletranslate(D746,""id"",""en"")"),"Just feel guilty gabisa guard health, my time becomes more resting than sticking out chat / call, this PPKM my work becomes extra tiring which is usually stayed in a shop back and forth here and there. At least I'm still working and I have to be grateful "&amp;"for that")</f>
        <v>Just feel guilty gabisa guard health, my time becomes more resting than sticking out chat / call, this PPKM my work becomes extra tiring which is usually stayed in a shop back and forth here and there. At least I'm still working and I have to be grateful for that</v>
      </c>
    </row>
    <row r="747" ht="15.75" customHeight="1">
      <c r="A747" s="2">
        <v>746.0</v>
      </c>
      <c r="B747" s="5" t="s">
        <v>1334</v>
      </c>
      <c r="C747" s="6">
        <v>1.0</v>
      </c>
      <c r="D747" s="7" t="s">
        <v>1335</v>
      </c>
      <c r="E747" s="8" t="str">
        <f>IFERROR(__xludf.DUMMYFUNCTION("googletranslate(D747,""id"",""en"")"),"PPKM: Loose to TKA, strictly to residents themselves. Government is more siding ...")</f>
        <v>PPKM: Loose to TKA, strictly to residents themselves. Government is more siding ...</v>
      </c>
    </row>
    <row r="748" ht="15.75" customHeight="1">
      <c r="A748" s="2">
        <v>747.0</v>
      </c>
      <c r="B748" s="5" t="s">
        <v>1336</v>
      </c>
      <c r="C748" s="6">
        <v>1.0</v>
      </c>
      <c r="D748" s="7" t="s">
        <v>1337</v>
      </c>
      <c r="E748" s="8" t="str">
        <f>IFERROR(__xludf.DUMMYFUNCTION("googletranslate(D748,""id"",""en"")"),"Kah's name, PSBB, or whatever it is, just the point is that the mosque is closed, and the mall is limited to the operation hours, there is something that changes.")</f>
        <v>Kah's name, PSBB, or whatever it is, just the point is that the mosque is closed, and the mall is limited to the operation hours, there is something that changes.</v>
      </c>
    </row>
    <row r="749" ht="15.75" customHeight="1">
      <c r="A749" s="2">
        <v>748.0</v>
      </c>
      <c r="B749" s="5" t="s">
        <v>1338</v>
      </c>
      <c r="C749" s="6">
        <v>2.0</v>
      </c>
      <c r="D749" s="7" t="s">
        <v>1339</v>
      </c>
      <c r="E749" s="8" t="str">
        <f>IFERROR(__xludf.DUMMYFUNCTION("googletranslate(D749,""id"",""en"")"),"Ppkm day to go home jogja")</f>
        <v>Ppkm day to go home jogja</v>
      </c>
    </row>
    <row r="750" ht="15.75" customHeight="1">
      <c r="A750" s="2">
        <v>749.0</v>
      </c>
      <c r="B750" s="5" t="s">
        <v>1340</v>
      </c>
      <c r="C750" s="6">
        <v>2.0</v>
      </c>
      <c r="D750" s="9" t="s">
        <v>1341</v>
      </c>
      <c r="E750" s="8" t="str">
        <f>IFERROR(__xludf.DUMMYFUNCTION("googletranslate(D750,""id"",""en"")"),"Ppkm cave version = morning morning in law in law")</f>
        <v>Ppkm cave version = morning morning in law in law</v>
      </c>
    </row>
    <row r="751" ht="15.75" customHeight="1">
      <c r="A751" s="2">
        <v>750.0</v>
      </c>
      <c r="B751" s="5" t="s">
        <v>1342</v>
      </c>
      <c r="C751" s="6">
        <v>1.0</v>
      </c>
      <c r="D751" s="9" t="s">
        <v>1343</v>
      </c>
      <c r="E751" s="8" t="str">
        <f>IFERROR(__xludf.DUMMYFUNCTION("googletranslate(D751,""id"",""en"")"),"KRN with reward and punishment will educate business owners and buyers practice a new lifestyle. TGS in PPKM without HSIL education occurred after the PPKM jump because the people of abai and feel free of being struck in PPKM. MHN CB PT is noticed ...")</f>
        <v>KRN with reward and punishment will educate business owners and buyers practice a new lifestyle. TGS in PPKM without HSIL education occurred after the PPKM jump because the people of abai and feel free of being struck in PPKM. MHN CB PT is noticed ...</v>
      </c>
    </row>
    <row r="752" ht="15.75" customHeight="1">
      <c r="A752" s="2">
        <v>751.0</v>
      </c>
      <c r="B752" s="5" t="s">
        <v>1344</v>
      </c>
      <c r="C752" s="6">
        <v>1.0</v>
      </c>
      <c r="D752" s="7" t="s">
        <v>1345</v>
      </c>
      <c r="E752" s="8" t="str">
        <f>IFERROR(__xludf.DUMMYFUNCTION("googletranslate(D752,""id"",""en"")"),"It's true ... when Covid is pretty ... Who is the person who wants to be unemployed?!? What's more classmates in the KSP you know what?!? Do you know the vaccine must gather much scrambling and crowded?!? Know because the ppkm who gag is subsidized in bas"&amp;"ic needs to make you eat?!?")</f>
        <v>It's true ... when Covid is pretty ... Who is the person who wants to be unemployed?!? What's more classmates in the KSP you know what?!? Do you know the vaccine must gather much scrambling and crowded?!? Know because the ppkm who gag is subsidized in basic needs to make you eat?!?</v>
      </c>
    </row>
    <row r="753" ht="15.75" customHeight="1">
      <c r="A753" s="2">
        <v>752.0</v>
      </c>
      <c r="B753" s="5" t="s">
        <v>1346</v>
      </c>
      <c r="C753" s="6">
        <v>1.0</v>
      </c>
      <c r="D753" s="9" t="s">
        <v>1347</v>
      </c>
      <c r="E753" s="8" t="str">
        <f>IFERROR(__xludf.DUMMYFUNCTION("googletranslate(D753,""id"",""en"")"),"Yes .mwa jg tw kli it's right, what do you want? The government anyway, all also knows Mbakkk, this covid is wrong, I also don't close the merchant's high school that the shop is closed, I also sell it, it can't know what anything he does, must be critici"&amp;"zed, PPKM / Lokdown is wrong")</f>
        <v>Yes .mwa jg tw kli it's right, what do you want? The government anyway, all also knows Mbakkk, this covid is wrong, I also don't close the merchant's high school that the shop is closed, I also sell it, it can't know what anything he does, must be criticized, PPKM / Lokdown is wrong</v>
      </c>
    </row>
    <row r="754" ht="15.75" customHeight="1">
      <c r="A754" s="2">
        <v>753.0</v>
      </c>
      <c r="B754" s="5" t="s">
        <v>1348</v>
      </c>
      <c r="C754" s="6">
        <v>1.0</v>
      </c>
      <c r="D754" s="9" t="s">
        <v>1349</v>
      </c>
      <c r="E754" s="8" t="str">
        <f>IFERROR(__xludf.DUMMYFUNCTION("googletranslate(D754,""id"",""en"")"),"And just look at the news there was a porridge that sells in the PPKM period, it has a fine of JT. Just can let the chest with a mutually judge, did he ever think from a small perspective? What if he is in the porridge position?")</f>
        <v>And just look at the news there was a porridge that sells in the PPKM period, it has a fine of JT. Just can let the chest with a mutually judge, did he ever think from a small perspective? What if he is in the porridge position?</v>
      </c>
    </row>
    <row r="755" ht="15.75" customHeight="1">
      <c r="A755" s="2">
        <v>754.0</v>
      </c>
      <c r="B755" s="5" t="s">
        <v>1350</v>
      </c>
      <c r="C755" s="6">
        <v>2.0</v>
      </c>
      <c r="D755" s="7" t="s">
        <v>1350</v>
      </c>
      <c r="E755" s="8" t="str">
        <f>IFERROR(__xludf.DUMMYFUNCTION("googletranslate(D755,""id"",""en"")"),"PPKM = Slowly we get married.")</f>
        <v>PPKM = Slowly we get married.</v>
      </c>
    </row>
    <row r="756" ht="15.75" customHeight="1">
      <c r="A756" s="2">
        <v>755.0</v>
      </c>
      <c r="B756" s="5" t="s">
        <v>1351</v>
      </c>
      <c r="C756" s="6">
        <v>1.0</v>
      </c>
      <c r="D756" s="9" t="s">
        <v>1352</v>
      </c>
      <c r="E756" s="8" t="str">
        <f>IFERROR(__xludf.DUMMYFUNCTION("googletranslate(D756,""id"",""en"")"),"Honestly ask: What does the terms become ustad? Definitely not just the style of dressing right? What is it? The problem is that if it's called the ustad, it's like having a magic outside byasahsindir PPKM, this ustad ngatain the president: President of t"&amp;"he devil fear its citizens, very provocateurs!")</f>
        <v>Honestly ask: What does the terms become ustad? Definitely not just the style of dressing right? What is it? The problem is that if it's called the ustad, it's like having a magic outside byasahsindir PPKM, this ustad ngatain the president: President of the devil fear its citizens, very provocateurs!</v>
      </c>
    </row>
    <row r="757" ht="15.75" customHeight="1">
      <c r="A757" s="2">
        <v>756.0</v>
      </c>
      <c r="B757" s="5" t="s">
        <v>1353</v>
      </c>
      <c r="C757" s="6">
        <v>1.0</v>
      </c>
      <c r="D757" s="7" t="s">
        <v>1354</v>
      </c>
      <c r="E757" s="8" t="str">
        <f>IFERROR(__xludf.DUMMYFUNCTION("googletranslate(D757,""id"",""en"")"),"- Questive economic limitations and be exacerbated by the implementation of PPKM which made my father unbearder. May brother read my rep and are willing to give a month to me I will be very grateful.")</f>
        <v>- Questive economic limitations and be exacerbated by the implementation of PPKM which made my father unbearder. May brother read my rep and are willing to give a month to me I will be very grateful.</v>
      </c>
    </row>
    <row r="758" ht="15.75" customHeight="1">
      <c r="A758" s="2">
        <v>757.0</v>
      </c>
      <c r="B758" s="5" t="s">
        <v>1355</v>
      </c>
      <c r="C758" s="6">
        <v>3.0</v>
      </c>
      <c r="D758" s="9" t="s">
        <v>1356</v>
      </c>
      <c r="E758" s="8" t="str">
        <f>IFERROR(__xludf.DUMMYFUNCTION("googletranslate(D758,""id"",""en"")"),"Let us focus on personal self-health and their respective families, by compliance with PPKM with high discipline. The more surrender (tawakal) to the power of Allah SWT. This disaster is indeed testing the patience of mankind.")</f>
        <v>Let us focus on personal self-health and their respective families, by compliance with PPKM with high discipline. The more surrender (tawakal) to the power of Allah SWT. This disaster is indeed testing the patience of mankind.</v>
      </c>
    </row>
    <row r="759" ht="15.75" customHeight="1">
      <c r="A759" s="2">
        <v>758.0</v>
      </c>
      <c r="B759" s="5" t="s">
        <v>1357</v>
      </c>
      <c r="C759" s="6">
        <v>1.0</v>
      </c>
      <c r="D759" s="9" t="s">
        <v>1358</v>
      </c>
      <c r="E759" s="8" t="str">
        <f>IFERROR(__xludf.DUMMYFUNCTION("googletranslate(D759,""id"",""en"")"),"Catch G need clarification2. Obviously it spreads HOAX when PPKM one year in prison. This model is just clarifying the tip of the end of the day, it is not a hoax again selling religion")</f>
        <v>Catch G need clarification2. Obviously it spreads HOAX when PPKM one year in prison. This model is just clarifying the tip of the end of the day, it is not a hoax again selling religion</v>
      </c>
    </row>
    <row r="760" ht="15.75" customHeight="1">
      <c r="A760" s="2">
        <v>759.0</v>
      </c>
      <c r="B760" s="5" t="s">
        <v>1359</v>
      </c>
      <c r="C760" s="6">
        <v>3.0</v>
      </c>
      <c r="D760" s="9" t="s">
        <v>1360</v>
      </c>
      <c r="E760" s="8" t="str">
        <f>IFERROR(__xludf.DUMMYFUNCTION("googletranslate(D760,""id"",""en"")"),"Government spokesman against Covid-19 Reisa Broto A said ""Our participation in Emergency PPKM is very necessary. Good as a father, mother, brother, friend, all friends play a role to ensure that we are all emergency PPKM obey.")</f>
        <v>Government spokesman against Covid-19 Reisa Broto A said "Our participation in Emergency PPKM is very necessary. Good as a father, mother, brother, friend, all friends play a role to ensure that we are all emergency PPKM obey.</v>
      </c>
    </row>
    <row r="761" ht="15.75" customHeight="1">
      <c r="A761" s="2">
        <v>760.0</v>
      </c>
      <c r="B761" s="5" t="s">
        <v>1361</v>
      </c>
      <c r="C761" s="6">
        <v>1.0</v>
      </c>
      <c r="D761" s="9" t="s">
        <v>1362</v>
      </c>
      <c r="E761" s="8" t="str">
        <f>IFERROR(__xludf.DUMMYFUNCTION("googletranslate(D761,""id"",""en"")"),"GMN with the area of ​​Jokja, Central Java, East Java and West Java, which many daily workers are released, which each HR hrs foizes his family, what the central and regional government wants to finance the work of the worker's Workers' Emergency PPKM slm"&amp;".")</f>
        <v>GMN with the area of ​​Jokja, Central Java, East Java and West Java, which many daily workers are released, which each HR hrs foizes his family, what the central and regional government wants to finance the work of the worker's Workers' Emergency PPKM slm.</v>
      </c>
    </row>
    <row r="762" ht="15.75" customHeight="1">
      <c r="A762" s="2">
        <v>761.0</v>
      </c>
      <c r="B762" s="5" t="s">
        <v>1363</v>
      </c>
      <c r="C762" s="6">
        <v>2.0</v>
      </c>
      <c r="D762" s="7" t="s">
        <v>1364</v>
      </c>
      <c r="E762" s="8" t="str">
        <f>IFERROR(__xludf.DUMMYFUNCTION("googletranslate(D762,""id"",""en"")"),"Oh Padang Baru PPKM")</f>
        <v>Oh Padang Baru PPKM</v>
      </c>
    </row>
    <row r="763" ht="15.75" customHeight="1">
      <c r="A763" s="2">
        <v>762.0</v>
      </c>
      <c r="B763" s="5" t="s">
        <v>1365</v>
      </c>
      <c r="C763" s="6">
        <v>2.0</v>
      </c>
      <c r="D763" s="7" t="s">
        <v>1366</v>
      </c>
      <c r="E763" s="8" t="str">
        <f>IFERROR(__xludf.DUMMYFUNCTION("googletranslate(D763,""id"",""en"")"),"The emergency ppkm is just the kemang area mbak .... hehehe ....")</f>
        <v>The emergency ppkm is just the kemang area mbak .... hehehe ....</v>
      </c>
    </row>
    <row r="764" ht="15.75" customHeight="1">
      <c r="A764" s="2">
        <v>763.0</v>
      </c>
      <c r="B764" s="5" t="s">
        <v>1367</v>
      </c>
      <c r="C764" s="6">
        <v>1.0</v>
      </c>
      <c r="D764" s="9" t="s">
        <v>1368</v>
      </c>
      <c r="E764" s="8" t="str">
        <f>IFERROR(__xludf.DUMMYFUNCTION("googletranslate(D764,""id"",""en"")"),"PPKM JGN stepped on the one economy and lifted the economy.")</f>
        <v>PPKM JGN stepped on the one economy and lifted the economy.</v>
      </c>
    </row>
    <row r="765" ht="15.75" customHeight="1">
      <c r="A765" s="2">
        <v>764.0</v>
      </c>
      <c r="B765" s="5" t="s">
        <v>1369</v>
      </c>
      <c r="C765" s="6">
        <v>2.0</v>
      </c>
      <c r="D765" s="9" t="s">
        <v>1370</v>
      </c>
      <c r="E765" s="8" t="str">
        <f>IFERROR(__xludf.DUMMYFUNCTION("googletranslate(D765,""id"",""en"")"),"PPKM. Want to hug you mas")</f>
        <v>PPKM. Want to hug you mas</v>
      </c>
    </row>
    <row r="766" ht="15.75" customHeight="1">
      <c r="A766" s="2">
        <v>765.0</v>
      </c>
      <c r="B766" s="5" t="s">
        <v>1371</v>
      </c>
      <c r="C766" s="6">
        <v>3.0</v>
      </c>
      <c r="D766" s="7" t="s">
        <v>1372</v>
      </c>
      <c r="E766" s="8" t="str">
        <f>IFERROR(__xludf.DUMMYFUNCTION("googletranslate(D766,""id"",""en"")"),"Serda Sutarman Koramil / Karanganyar Members Implement Joint Apples in the context of spraying and patrol surgery enforcement of health protocol discipline during the Emergency PPKM period in the Karanganyar area with the target of spraying Jln Raya Mates"&amp;"ih to Karangpandan")</f>
        <v>Serda Sutarman Koramil / Karanganyar Members Implement Joint Apples in the context of spraying and patrol surgery enforcement of health protocol discipline during the Emergency PPKM period in the Karanganyar area with the target of spraying Jln Raya Matesih to Karangpandan</v>
      </c>
    </row>
    <row r="767" ht="15.75" customHeight="1">
      <c r="A767" s="2">
        <v>766.0</v>
      </c>
      <c r="B767" s="5" t="s">
        <v>1373</v>
      </c>
      <c r="C767" s="6">
        <v>3.0</v>
      </c>
      <c r="D767" s="7" t="s">
        <v>1373</v>
      </c>
      <c r="E767" s="8" t="str">
        <f>IFERROR(__xludf.DUMMYFUNCTION("googletranslate(D767,""id"",""en"")"),"We don't get it in South Tangerang, it's free to be tight, it's not tight at the time ...")</f>
        <v>We don't get it in South Tangerang, it's free to be tight, it's not tight at the time ...</v>
      </c>
    </row>
    <row r="768" ht="15.75" customHeight="1">
      <c r="A768" s="2">
        <v>767.0</v>
      </c>
      <c r="B768" s="5" t="s">
        <v>1374</v>
      </c>
      <c r="C768" s="6">
        <v>3.0</v>
      </c>
      <c r="D768" s="7" t="s">
        <v>1375</v>
      </c>
      <c r="E768" s="8" t="str">
        <f>IFERROR(__xludf.DUMMYFUNCTION("googletranslate(D768,""id"",""en"")"),"Postpaped PPKM ... Run")</f>
        <v>Postpaped PPKM ... Run</v>
      </c>
    </row>
    <row r="769" ht="15.75" customHeight="1">
      <c r="A769" s="2">
        <v>768.0</v>
      </c>
      <c r="B769" s="5" t="s">
        <v>1376</v>
      </c>
      <c r="C769" s="6">
        <v>1.0</v>
      </c>
      <c r="D769" s="7" t="s">
        <v>1377</v>
      </c>
      <c r="E769" s="8" t="str">
        <f>IFERROR(__xludf.DUMMYFUNCTION("googletranslate(D769,""id"",""en"")"),"From the beginning it's the easiest, use a mask, don't gather. Easy thing, but on abai, so it's like this. It's as rich in the initial premo, bro, it's up to point on the people who are wrong, like those who are screaming when PPKM, but I don't want to gu"&amp;"ard the proces, they are selfish.")</f>
        <v>From the beginning it's the easiest, use a mask, don't gather. Easy thing, but on abai, so it's like this. It's as rich in the initial premo, bro, it's up to point on the people who are wrong, like those who are screaming when PPKM, but I don't want to guard the proces, they are selfish.</v>
      </c>
    </row>
    <row r="770" ht="15.75" customHeight="1">
      <c r="A770" s="2">
        <v>769.0</v>
      </c>
      <c r="B770" s="5" t="s">
        <v>1378</v>
      </c>
      <c r="C770" s="6">
        <v>1.0</v>
      </c>
      <c r="D770" s="9" t="s">
        <v>1379</v>
      </c>
      <c r="E770" s="8" t="str">
        <f>IFERROR(__xludf.DUMMYFUNCTION("googletranslate(D770,""id"",""en"")"),"PPKM runs - + days, the superstene of the apparatus to carry out increasingly becomes becoming so but on the other hand the policy was implemented without the solution to do ... really miriss the condition of our current country")</f>
        <v>PPKM runs - + days, the superstene of the apparatus to carry out increasingly becomes becoming so but on the other hand the policy was implemented without the solution to do ... really miriss the condition of our current country</v>
      </c>
    </row>
    <row r="771" ht="15.75" customHeight="1">
      <c r="A771" s="2">
        <v>770.0</v>
      </c>
      <c r="B771" s="5" t="s">
        <v>1380</v>
      </c>
      <c r="C771" s="6">
        <v>2.0</v>
      </c>
      <c r="D771" s="7" t="s">
        <v>1381</v>
      </c>
      <c r="E771" s="8" t="str">
        <f>IFERROR(__xludf.DUMMYFUNCTION("googletranslate(D771,""id"",""en"")"),"Ppkm, pretending to have a problem")</f>
        <v>Ppkm, pretending to have a problem</v>
      </c>
    </row>
    <row r="772" ht="15.75" customHeight="1">
      <c r="A772" s="2">
        <v>771.0</v>
      </c>
      <c r="B772" s="5" t="s">
        <v>1382</v>
      </c>
      <c r="C772" s="6">
        <v>1.0</v>
      </c>
      <c r="D772" s="9" t="s">
        <v>1383</v>
      </c>
      <c r="E772" s="8" t="str">
        <f>IFERROR(__xludf.DUMMYFUNCTION("googletranslate(D772,""id"",""en"")"),"PPKM turned out to increase the victim of Covid in the Emergency Condition of the MasarakatPPKM family impoverishment program turned out to be a poor family improvement program.")</f>
        <v>PPKM turned out to increase the victim of Covid in the Emergency Condition of the MasarakatPPKM family impoverishment program turned out to be a poor family improvement program.</v>
      </c>
    </row>
    <row r="773" ht="15.75" customHeight="1">
      <c r="A773" s="2">
        <v>772.0</v>
      </c>
      <c r="B773" s="5" t="s">
        <v>1384</v>
      </c>
      <c r="C773" s="6">
        <v>1.0</v>
      </c>
      <c r="D773" s="9" t="s">
        <v>1385</v>
      </c>
      <c r="E773" s="8" t="str">
        <f>IFERROR(__xludf.DUMMYFUNCTION("googletranslate(D773,""id"",""en"")"),"Inhumanity if the PPKM violator is even given a fines of millions of millions. Who knows they are out of the restrained house for a living")</f>
        <v>Inhumanity if the PPKM violator is even given a fines of millions of millions. Who knows they are out of the restrained house for a living</v>
      </c>
    </row>
    <row r="774" ht="15.75" customHeight="1">
      <c r="A774" s="2">
        <v>773.0</v>
      </c>
      <c r="B774" s="5" t="s">
        <v>1386</v>
      </c>
      <c r="C774" s="6">
        <v>3.0</v>
      </c>
      <c r="D774" s="7" t="s">
        <v>1387</v>
      </c>
      <c r="E774" s="8" t="str">
        <f>IFERROR(__xludf.DUMMYFUNCTION("googletranslate(D774,""id"",""en"")"),"Youth Karang Taruna Jayapura City Supports the Presidential Instruction related to Emergency PPKM")</f>
        <v>Youth Karang Taruna Jayapura City Supports the Presidential Instruction related to Emergency PPKM</v>
      </c>
    </row>
    <row r="775" ht="15.75" customHeight="1">
      <c r="A775" s="2">
        <v>774.0</v>
      </c>
      <c r="B775" s="5" t="s">
        <v>1388</v>
      </c>
      <c r="C775" s="6">
        <v>2.0</v>
      </c>
      <c r="D775" s="9" t="s">
        <v>1389</v>
      </c>
      <c r="E775" s="8" t="str">
        <f>IFERROR(__xludf.DUMMYFUNCTION("googletranslate(D775,""id"",""en"")"),"PPKM (want to return to the embrace of the former) wkwkwk")</f>
        <v>PPKM (want to return to the embrace of the former) wkwkwk</v>
      </c>
    </row>
    <row r="776" ht="15.75" customHeight="1">
      <c r="A776" s="2">
        <v>775.0</v>
      </c>
      <c r="B776" s="5" t="s">
        <v>1390</v>
      </c>
      <c r="C776" s="6">
        <v>1.0</v>
      </c>
      <c r="D776" s="7" t="s">
        <v>1391</v>
      </c>
      <c r="E776" s="8" t="str">
        <f>IFERROR(__xludf.DUMMYFUNCTION("googletranslate(D776,""id"",""en"")"),"PPKM: The Government of Kada Manusiawipepe You Hey Government")</f>
        <v>PPKM: The Government of Kada Manusiawipepe You Hey Government</v>
      </c>
    </row>
    <row r="777" ht="15.75" customHeight="1">
      <c r="A777" s="2">
        <v>776.0</v>
      </c>
      <c r="B777" s="5" t="s">
        <v>1392</v>
      </c>
      <c r="C777" s="6">
        <v>1.0</v>
      </c>
      <c r="D777" s="7" t="s">
        <v>1393</v>
      </c>
      <c r="E777" s="8" t="str">
        <f>IFERROR(__xludf.DUMMYFUNCTION("googletranslate(D777,""id"",""en"")"),"Aahhh PPKM too? but it's not ppkm, my house is wkwk")</f>
        <v>Aahhh PPKM too? but it's not ppkm, my house is wkwk</v>
      </c>
    </row>
    <row r="778" ht="15.75" customHeight="1">
      <c r="A778" s="2">
        <v>777.0</v>
      </c>
      <c r="B778" s="5" t="s">
        <v>1394</v>
      </c>
      <c r="C778" s="6">
        <v>3.0</v>
      </c>
      <c r="D778" s="7" t="s">
        <v>1395</v>
      </c>
      <c r="E778" s="8" t="str">
        <f>IFERROR(__xludf.DUMMYFUNCTION("googletranslate(D778,""id"",""en"")"),"CPKM Overcome Covid KPK Legitik Constitutional")</f>
        <v>CPKM Overcome Covid KPK Legitik Constitutional</v>
      </c>
    </row>
    <row r="779" ht="15.75" customHeight="1">
      <c r="A779" s="2">
        <v>778.0</v>
      </c>
      <c r="B779" s="5" t="s">
        <v>1396</v>
      </c>
      <c r="C779" s="6">
        <v>2.0</v>
      </c>
      <c r="D779" s="7" t="s">
        <v>1396</v>
      </c>
      <c r="E779" s="8" t="str">
        <f>IFERROR(__xludf.DUMMYFUNCTION("googletranslate(D779,""id"",""en"")"),"Today PPKM starts in Padang. Bank service is still open?")</f>
        <v>Today PPKM starts in Padang. Bank service is still open?</v>
      </c>
    </row>
    <row r="780" ht="15.75" customHeight="1">
      <c r="A780" s="2">
        <v>779.0</v>
      </c>
      <c r="B780" s="5" t="s">
        <v>1397</v>
      </c>
      <c r="C780" s="6">
        <v>2.0</v>
      </c>
      <c r="D780" s="7" t="s">
        <v>1397</v>
      </c>
      <c r="E780" s="8" t="str">
        <f>IFERROR(__xludf.DUMMYFUNCTION("googletranslate(D780,""id"",""en"")"),"Alright this PPKM I mean the young man's young man")</f>
        <v>Alright this PPKM I mean the young man's young man</v>
      </c>
    </row>
    <row r="781" ht="15.75" customHeight="1">
      <c r="A781" s="2">
        <v>780.0</v>
      </c>
      <c r="B781" s="5" t="s">
        <v>1398</v>
      </c>
      <c r="C781" s="6">
        <v>3.0</v>
      </c>
      <c r="D781" s="7" t="s">
        <v>1399</v>
      </c>
      <c r="E781" s="8" t="str">
        <f>IFERROR(__xludf.DUMMYFUNCTION("googletranslate(D781,""id"",""en"")"),"Papuan community leaders support Presidential Instruction related to Emergency PPKM")</f>
        <v>Papuan community leaders support Presidential Instruction related to Emergency PPKM</v>
      </c>
    </row>
    <row r="782" ht="15.75" customHeight="1">
      <c r="A782" s="2">
        <v>781.0</v>
      </c>
      <c r="B782" s="5" t="s">
        <v>1400</v>
      </c>
      <c r="C782" s="6">
        <v>2.0</v>
      </c>
      <c r="D782" s="7" t="s">
        <v>1400</v>
      </c>
      <c r="E782" s="8" t="str">
        <f>IFERROR(__xludf.DUMMYFUNCTION("googletranslate(D782,""id"",""en"")"),"Want to work hard so that it will be stuck to the PPKM ... Edan Teu")</f>
        <v>Want to work hard so that it will be stuck to the PPKM ... Edan Teu</v>
      </c>
    </row>
    <row r="783" ht="15.75" customHeight="1">
      <c r="A783" s="2">
        <v>782.0</v>
      </c>
      <c r="B783" s="5" t="s">
        <v>1401</v>
      </c>
      <c r="C783" s="6">
        <v>1.0</v>
      </c>
      <c r="D783" s="7" t="s">
        <v>1402</v>
      </c>
      <c r="E783" s="8" t="str">
        <f>IFERROR(__xludf.DUMMYFUNCTION("googletranslate(D783,""id"",""en"")"),"Ppkm = morning morning don't eat")</f>
        <v>Ppkm = morning morning don't eat</v>
      </c>
    </row>
    <row r="784" ht="15.75" customHeight="1">
      <c r="A784" s="2">
        <v>783.0</v>
      </c>
      <c r="B784" s="5" t="s">
        <v>1403</v>
      </c>
      <c r="C784" s="6">
        <v>1.0</v>
      </c>
      <c r="D784" s="9" t="s">
        <v>1404</v>
      </c>
      <c r="E784" s="8" t="str">
        <f>IFERROR(__xludf.DUMMYFUNCTION("googletranslate(D784,""id"",""en"")"),"- Cruel! Jokowi PPKM Crime! - Crime PPKM Tranggasp, Luhut was picked up! -Ginlowing Jokowi now, it's better! - Top Jokowi, Save Indonesia! - Jokowi Failed Total !!! Legitimately dragged forced out the palace!")</f>
        <v>- Cruel! Jokowi PPKM Crime! - Crime PPKM Tranggasp, Luhut was picked up! -Ginlowing Jokowi now, it's better! - Top Jokowi, Save Indonesia! - Jokowi Failed Total !!! Legitimately dragged forced out the palace!</v>
      </c>
    </row>
    <row r="785" ht="15.75" customHeight="1">
      <c r="A785" s="2">
        <v>784.0</v>
      </c>
      <c r="B785" s="5" t="s">
        <v>1405</v>
      </c>
      <c r="C785" s="6">
        <v>2.0</v>
      </c>
      <c r="D785" s="7" t="s">
        <v>1406</v>
      </c>
      <c r="E785" s="8" t="str">
        <f>IFERROR(__xludf.DUMMYFUNCTION("googletranslate(D785,""id"",""en"")"),"If the PPKM period is this? Do we really have help bro and sis from bansos? Sorry for being curious on TV and there I heard, is it true?")</f>
        <v>If the PPKM period is this? Do we really have help bro and sis from bansos? Sorry for being curious on TV and there I heard, is it true?</v>
      </c>
    </row>
    <row r="786" ht="15.75" customHeight="1">
      <c r="A786" s="2">
        <v>785.0</v>
      </c>
      <c r="B786" s="5" t="s">
        <v>1407</v>
      </c>
      <c r="C786" s="6">
        <v>1.0</v>
      </c>
      <c r="D786" s="7" t="s">
        <v>1408</v>
      </c>
      <c r="E786" s="8" t="str">
        <f>IFERROR(__xludf.DUMMYFUNCTION("googletranslate(D786,""id"",""en"")"),"* Wave of foreigners in Indonesia, half-hearted Emergency PPKM? * * Watch Petang KC News * Together: * Lutfi Afandi * (Indonesia Justice Monitor) Host: * Azis Rohman * * Wednesday, July (this afternoon) * * 17.00 WIB - Finish **CLICK ON THE LINK BELOW :")</f>
        <v>* Wave of foreigners in Indonesia, half-hearted Emergency PPKM? * * Watch Petang KC News * Together: * Lutfi Afandi * (Indonesia Justice Monitor) Host: * Azis Rohman * * Wednesday, July (this afternoon) * * 17.00 WIB - Finish **CLICK ON THE LINK BELOW :</v>
      </c>
    </row>
    <row r="787" ht="15.75" customHeight="1">
      <c r="A787" s="2">
        <v>786.0</v>
      </c>
      <c r="B787" s="5" t="s">
        <v>1409</v>
      </c>
      <c r="C787" s="6">
        <v>2.0</v>
      </c>
      <c r="D787" s="7" t="s">
        <v>1410</v>
      </c>
      <c r="E787" s="8" t="str">
        <f>IFERROR(__xludf.DUMMYFUNCTION("googletranslate(D787,""id"",""en"")"),"Is it true that I ordered Emergency PPKM?")</f>
        <v>Is it true that I ordered Emergency PPKM?</v>
      </c>
    </row>
    <row r="788" ht="15.75" customHeight="1">
      <c r="A788" s="2">
        <v>787.0</v>
      </c>
      <c r="B788" s="5" t="s">
        <v>1411</v>
      </c>
      <c r="C788" s="6">
        <v>2.0</v>
      </c>
      <c r="D788" s="9" t="s">
        <v>1411</v>
      </c>
      <c r="E788" s="8" t="str">
        <f>IFERROR(__xludf.DUMMYFUNCTION("googletranslate(D788,""id"",""en"")"),"Don't be sacrificed, because both are the same priorities. It's okay if the changes are not too significant, because there is a process .. CB remember our achievements before going home there ... Covid in low numbers and the economy began to rise even tho"&amp;"ugh there was no PPKM right?")</f>
        <v>Don't be sacrificed, because both are the same priorities. It's okay if the changes are not too significant, because there is a process .. CB remember our achievements before going home there ... Covid in low numbers and the economy began to rise even though there was no PPKM right?</v>
      </c>
    </row>
    <row r="789" ht="15.75" customHeight="1">
      <c r="A789" s="2">
        <v>788.0</v>
      </c>
      <c r="B789" s="5" t="s">
        <v>1412</v>
      </c>
      <c r="C789" s="6">
        <v>1.0</v>
      </c>
      <c r="D789" s="9" t="s">
        <v>1413</v>
      </c>
      <c r="E789" s="8" t="str">
        <f>IFERROR(__xludf.DUMMYFUNCTION("googletranslate(D789,""id"",""en"")"),"PPKPerimenta Kilo Meter Massacre")</f>
        <v>PPKPerimenta Kilo Meter Massacre</v>
      </c>
    </row>
    <row r="790" ht="15.75" customHeight="1">
      <c r="A790" s="2">
        <v>789.0</v>
      </c>
      <c r="B790" s="5" t="s">
        <v>1414</v>
      </c>
      <c r="C790" s="6">
        <v>1.0</v>
      </c>
      <c r="D790" s="7" t="s">
        <v>1415</v>
      </c>
      <c r="E790" s="8" t="str">
        <f>IFERROR(__xludf.DUMMYFUNCTION("googletranslate(D790,""id"",""en"")"),"Hahahaa, right when viral and afraid of being arrested just told me to obey PPKM worshipers, yesterday how come it's different from Mr. Sofwan? Behavior")</f>
        <v>Hahahaa, right when viral and afraid of being arrested just told me to obey PPKM worshipers, yesterday how come it's different from Mr. Sofwan? Behavior</v>
      </c>
    </row>
    <row r="791" ht="15.75" customHeight="1">
      <c r="A791" s="2">
        <v>790.0</v>
      </c>
      <c r="B791" s="5" t="s">
        <v>1416</v>
      </c>
      <c r="C791" s="6">
        <v>3.0</v>
      </c>
      <c r="D791" s="7" t="s">
        <v>1417</v>
      </c>
      <c r="E791" s="8" t="str">
        <f>IFERROR(__xludf.DUMMYFUNCTION("googletranslate(D791,""id"",""en"")"),"Yamaha East Java Apply Tight Proces and obey the rules during PPKM")</f>
        <v>Yamaha East Java Apply Tight Proces and obey the rules during PPKM</v>
      </c>
    </row>
    <row r="792" ht="15.75" customHeight="1">
      <c r="A792" s="2">
        <v>791.0</v>
      </c>
      <c r="B792" s="5" t="s">
        <v>1418</v>
      </c>
      <c r="C792" s="6">
        <v>3.0</v>
      </c>
      <c r="D792" s="7" t="s">
        <v>1419</v>
      </c>
      <c r="E792" s="8" t="str">
        <f>IFERROR(__xludf.DUMMYFUNCTION("googletranslate(D792,""id"",""en"")"),"In the land of +62 many who reject the mosque closed because of the PPKM, in Saudi, not yet close to the person can be fine ... in this pandemic God we want to love ourselves more and others and God is in our hearts. In fact ..")</f>
        <v>In the land of +62 many who reject the mosque closed because of the PPKM, in Saudi, not yet close to the person can be fine ... in this pandemic God we want to love ourselves more and others and God is in our hearts. In fact ..</v>
      </c>
    </row>
    <row r="793" ht="15.75" customHeight="1">
      <c r="A793" s="2">
        <v>792.0</v>
      </c>
      <c r="B793" s="5" t="s">
        <v>1420</v>
      </c>
      <c r="C793" s="6">
        <v>3.0</v>
      </c>
      <c r="D793" s="9" t="s">
        <v>1421</v>
      </c>
      <c r="E793" s="8" t="str">
        <f>IFERROR(__xludf.DUMMYFUNCTION("googletranslate(D793,""id"",""en"")"),"SERMA KUSAINI and SERTU SUKARMO Koramil / Karanganyar carried out actively assistance for Covid-19 vaccination for the elderly and the provision of the Process at the Emergency PPKM for the village that had not implemented the vaccine, located at Karangan"&amp;"yar Puskesmas")</f>
        <v>SERMA KUSAINI and SERTU SUKARMO Koramil / Karanganyar carried out actively assistance for Covid-19 vaccination for the elderly and the provision of the Process at the Emergency PPKM for the village that had not implemented the vaccine, located at Karanganyar Puskesmas</v>
      </c>
    </row>
    <row r="794" ht="15.75" customHeight="1">
      <c r="A794" s="2">
        <v>793.0</v>
      </c>
      <c r="B794" s="5" t="s">
        <v>1422</v>
      </c>
      <c r="C794" s="6">
        <v>3.0</v>
      </c>
      <c r="D794" s="7" t="s">
        <v>1423</v>
      </c>
      <c r="E794" s="8" t="str">
        <f>IFERROR(__xludf.DUMMYFUNCTION("googletranslate(D794,""id"",""en"")"),"Trenggalek creativity to run a health protocol when the Emergency PPKM period from: &amp; amp;")</f>
        <v>Trenggalek creativity to run a health protocol when the Emergency PPKM period from: &amp; amp;</v>
      </c>
    </row>
    <row r="795" ht="15.75" customHeight="1">
      <c r="A795" s="2">
        <v>794.0</v>
      </c>
      <c r="B795" s="5" t="s">
        <v>1424</v>
      </c>
      <c r="C795" s="6">
        <v>2.0</v>
      </c>
      <c r="D795" s="7" t="s">
        <v>1425</v>
      </c>
      <c r="E795" s="8" t="str">
        <f>IFERROR(__xludf.DUMMYFUNCTION("googletranslate(D795,""id"",""en"")"),"It's the content of the content. mbaknya looking for a discussion about ppkm gih")</f>
        <v>It's the content of the content. mbaknya looking for a discussion about ppkm gih</v>
      </c>
    </row>
    <row r="796" ht="15.75" customHeight="1">
      <c r="A796" s="2">
        <v>795.0</v>
      </c>
      <c r="B796" s="5" t="s">
        <v>1426</v>
      </c>
      <c r="C796" s="6">
        <v>2.0</v>
      </c>
      <c r="D796" s="7" t="s">
        <v>1427</v>
      </c>
      <c r="E796" s="8" t="str">
        <f>IFERROR(__xludf.DUMMYFUNCTION("googletranslate(D796,""id"",""en"")"),"Morning During Emergency PPKM Does GraPARI at Kelapa Gading Mall Still Open?")</f>
        <v>Morning During Emergency PPKM Does GraPARI at Kelapa Gading Mall Still Open?</v>
      </c>
    </row>
    <row r="797" ht="15.75" customHeight="1">
      <c r="A797" s="2">
        <v>796.0</v>
      </c>
      <c r="B797" s="5" t="s">
        <v>1428</v>
      </c>
      <c r="C797" s="6">
        <v>2.0</v>
      </c>
      <c r="D797" s="7" t="s">
        <v>1429</v>
      </c>
      <c r="E797" s="8" t="str">
        <f>IFERROR(__xludf.DUMMYFUNCTION("googletranslate(D797,""id"",""en"")"),". JUNIOR: Bang, if in the employee company asked why it still entered the office even though Emergency PPKM, what is the reason for Bang? Senior: Because it is ordered to enter by the company. Juniors: If the lawyer still convenes to court in the Emergenc"&amp;"y PPKM period, what is the reason for Bang?")</f>
        <v>. JUNIOR: Bang, if in the employee company asked why it still entered the office even though Emergency PPKM, what is the reason for Bang? Senior: Because it is ordered to enter by the company. Juniors: If the lawyer still convenes to court in the Emergency PPKM period, what is the reason for Bang?</v>
      </c>
    </row>
    <row r="798" ht="15.75" customHeight="1">
      <c r="A798" s="2">
        <v>797.0</v>
      </c>
      <c r="B798" s="5" t="s">
        <v>1430</v>
      </c>
      <c r="C798" s="6">
        <v>1.0</v>
      </c>
      <c r="D798" s="7" t="s">
        <v>1431</v>
      </c>
      <c r="E798" s="8" t="str">
        <f>IFERROR(__xludf.DUMMYFUNCTION("googletranslate(D798,""id"",""en"")"),"The silly palace, I suggested Anies Baswedan, as president of the Covid-19 commentary era emerged after the Governor of DKI Jakarta proposed the implementation of the PPKM Jawa Bali strictly since the end of May, but the proposal was not received by the c"&amp;"entral government because of economic consideration.")</f>
        <v>The silly palace, I suggested Anies Baswedan, as president of the Covid-19 commentary era emerged after the Governor of DKI Jakarta proposed the implementation of the PPKM Jawa Bali strictly since the end of May, but the proposal was not received by the central government because of economic consideration.</v>
      </c>
    </row>
    <row r="799" ht="15.75" customHeight="1">
      <c r="A799" s="2">
        <v>798.0</v>
      </c>
      <c r="B799" s="5" t="s">
        <v>1432</v>
      </c>
      <c r="C799" s="6">
        <v>1.0</v>
      </c>
      <c r="D799" s="9" t="s">
        <v>1433</v>
      </c>
      <c r="E799" s="8" t="str">
        <f>IFERROR(__xludf.DUMMYFUNCTION("googletranslate(D799,""id"",""en"")"),"PPKM JGN stepped on the economy of the one and stuck the economy, if the Covid Brani Task Force Team closed Dong PT in the industrial area in Bekasi Jgn Brani, whether it was small ... How it would prove the honorable BP2")</f>
        <v>PPKM JGN stepped on the economy of the one and stuck the economy, if the Covid Brani Task Force Team closed Dong PT in the industrial area in Bekasi Jgn Brani, whether it was small ... How it would prove the honorable BP2</v>
      </c>
    </row>
    <row r="800" ht="15.75" customHeight="1">
      <c r="A800" s="2">
        <v>799.0</v>
      </c>
      <c r="B800" s="5" t="s">
        <v>1434</v>
      </c>
      <c r="C800" s="6">
        <v>3.0</v>
      </c>
      <c r="D800" s="9" t="s">
        <v>1434</v>
      </c>
      <c r="E800" s="8" t="str">
        <f>IFERROR(__xludf.DUMMYFUNCTION("googletranslate(D800,""id"",""en"")"),"Sugeng Enjing Lur, our umpteenth day enjoys the PPKM-shaped program, hopefully we will and family and friends ""given a long life in Thoat to God, once the most sedanteni is the most wrong to God, in enough LAN in Selametke Wonten Dunyo Dumugi Hereafter ."&amp;"..")</f>
        <v>Sugeng Enjing Lur, our umpteenth day enjoys the PPKM-shaped program, hopefully we will and family and friends "given a long life in Thoat to God, once the most sedanteni is the most wrong to God, in enough LAN in Selametke Wonten Dunyo Dumugi Hereafter ...</v>
      </c>
    </row>
    <row r="801" ht="15.75" customHeight="1">
      <c r="A801" s="2">
        <v>800.0</v>
      </c>
      <c r="B801" s="5" t="s">
        <v>1435</v>
      </c>
      <c r="C801" s="6">
        <v>2.0</v>
      </c>
      <c r="D801" s="7" t="s">
        <v>1436</v>
      </c>
      <c r="E801" s="8" t="str">
        <f>IFERROR(__xludf.DUMMYFUNCTION("googletranslate(D801,""id"",""en"")"),"Ppkm gk ppkm pancet gas anyway")</f>
        <v>Ppkm gk ppkm pancet gas anyway</v>
      </c>
    </row>
    <row r="802" ht="15.75" customHeight="1">
      <c r="A802" s="2">
        <v>801.0</v>
      </c>
      <c r="B802" s="5" t="s">
        <v>1437</v>
      </c>
      <c r="C802" s="6">
        <v>2.0</v>
      </c>
      <c r="D802" s="7" t="s">
        <v>1438</v>
      </c>
      <c r="E802" s="8" t="str">
        <f>IFERROR(__xludf.DUMMYFUNCTION("googletranslate(D802,""id"",""en"")"),"PPKM, once a concern then disappeared")</f>
        <v>PPKM, once a concern then disappeared</v>
      </c>
    </row>
    <row r="803" ht="15.75" customHeight="1">
      <c r="A803" s="2">
        <v>802.0</v>
      </c>
      <c r="B803" s="5" t="s">
        <v>1439</v>
      </c>
      <c r="C803" s="6">
        <v>1.0</v>
      </c>
      <c r="D803" s="9" t="s">
        <v>1440</v>
      </c>
      <c r="E803" s="8" t="str">
        <f>IFERROR(__xludf.DUMMYFUNCTION("googletranslate(D803,""id"",""en"")"),"But right PPKM now doesn't refer to the quarantine law, so it's not as tight as it used to be lockdown, because the government lacked funds, as a result because it didn't refer to the quarantine law, the government did not have an obligation for the socia"&amp;"l assistance because the rules were no obligation (beside the money was corrupted)")</f>
        <v>But right PPKM now doesn't refer to the quarantine law, so it's not as tight as it used to be lockdown, because the government lacked funds, as a result because it didn't refer to the quarantine law, the government did not have an obligation for the social assistance because the rules were no obligation (beside the money was corrupted)</v>
      </c>
    </row>
    <row r="804" ht="15.75" customHeight="1">
      <c r="A804" s="2">
        <v>803.0</v>
      </c>
      <c r="B804" s="5" t="s">
        <v>1441</v>
      </c>
      <c r="C804" s="6">
        <v>2.0</v>
      </c>
      <c r="D804" s="7" t="s">
        <v>1442</v>
      </c>
      <c r="E804" s="8" t="str">
        <f>IFERROR(__xludf.DUMMYFUNCTION("googletranslate(D804,""id"",""en"")"),"Again the PPKM season (ever priority then disappeared)")</f>
        <v>Again the PPKM season (ever priority then disappeared)</v>
      </c>
    </row>
    <row r="805" ht="15.75" customHeight="1">
      <c r="A805" s="2">
        <v>804.0</v>
      </c>
      <c r="B805" s="5" t="s">
        <v>1443</v>
      </c>
      <c r="C805" s="6">
        <v>1.0</v>
      </c>
      <c r="D805" s="9" t="s">
        <v>1444</v>
      </c>
      <c r="E805" s="8" t="str">
        <f>IFERROR(__xludf.DUMMYFUNCTION("googletranslate(D805,""id"",""en"")"),"In the past, the viral was a porridge on the hajj now viral in Tasikmalaya the porridge hit a fine of millions of just hanging life at the time of PPKM")</f>
        <v>In the past, the viral was a porridge on the hajj now viral in Tasikmalaya the porridge hit a fine of millions of just hanging life at the time of PPKM</v>
      </c>
    </row>
    <row r="806" ht="15.75" customHeight="1">
      <c r="A806" s="2">
        <v>805.0</v>
      </c>
      <c r="B806" s="5" t="s">
        <v>1445</v>
      </c>
      <c r="C806" s="6">
        <v>1.0</v>
      </c>
      <c r="D806" s="7" t="s">
        <v>1445</v>
      </c>
      <c r="E806" s="8" t="str">
        <f>IFERROR(__xludf.DUMMYFUNCTION("googletranslate(D806,""id"",""en"")"),"Who loves the Aksa ... ask for good morning greetings ... CZ wants to go to Indomart or Alfamart on the close due to PPKM ..")</f>
        <v>Who loves the Aksa ... ask for good morning greetings ... CZ wants to go to Indomart or Alfamart on the close due to PPKM ..</v>
      </c>
    </row>
    <row r="807" ht="15.75" customHeight="1">
      <c r="A807" s="2">
        <v>806.0</v>
      </c>
      <c r="B807" s="5" t="s">
        <v>1446</v>
      </c>
      <c r="C807" s="6">
        <v>1.0</v>
      </c>
      <c r="D807" s="9" t="s">
        <v>1447</v>
      </c>
      <c r="E807" s="8" t="str">
        <f>IFERROR(__xludf.DUMMYFUNCTION("googletranslate(D807,""id"",""en"")"),"Remember in Jokja, Central Java, East Java and West Java is a lot of daily workers who are released every time HR hrs foizes his family, what the central and regional government wants to finance the work of the worker's workers' emergency PPKM slm.")</f>
        <v>Remember in Jokja, Central Java, East Java and West Java is a lot of daily workers who are released every time HR hrs foizes his family, what the central and regional government wants to finance the work of the worker's workers' emergency PPKM slm.</v>
      </c>
    </row>
    <row r="808" ht="15.75" customHeight="1">
      <c r="A808" s="2">
        <v>807.0</v>
      </c>
      <c r="B808" s="5" t="s">
        <v>1448</v>
      </c>
      <c r="C808" s="6">
        <v>1.0</v>
      </c>
      <c r="D808" s="9" t="s">
        <v>1448</v>
      </c>
      <c r="E808" s="8" t="str">
        <f>IFERROR(__xludf.DUMMYFUNCTION("googletranslate(D808,""id"",""en"")"),"Nerapin the emergency ppkm stupid rule is the same as Lokdon Jurig! MenguTuahahahahahahahahahahahahahahahahahahahahahahahahahahahahahahahahahahahahahahahahahahahahahahahahahahahahahahahahahahahahahahahahahahahahahahahahahnya.tapi ga gave the need for the "&amp;"main needs of the food continued the name.")</f>
        <v>Nerapin the emergency ppkm stupid rule is the same as Lokdon Jurig! MenguTuahahahahahahahahahahahahahahahahahahahahahahahahahahahahahahahahahahahahahahahahahahahahahahahahahahahahahahahahahahahahahahahahahahahahahahahahahnya.tapi ga gave the need for the main needs of the food continued the name.</v>
      </c>
    </row>
    <row r="809" ht="15.75" customHeight="1">
      <c r="A809" s="2">
        <v>808.0</v>
      </c>
      <c r="B809" s="5" t="s">
        <v>1449</v>
      </c>
      <c r="C809" s="6">
        <v>1.0</v>
      </c>
      <c r="D809" s="7" t="s">
        <v>1450</v>
      </c>
      <c r="E809" s="8" t="str">
        <f>IFERROR(__xludf.DUMMYFUNCTION("googletranslate(D809,""id"",""en"")"),"PPKM PPKM, LHAA But the regime must also think of providing for people")</f>
        <v>PPKM PPKM, LHAA But the regime must also think of providing for people</v>
      </c>
    </row>
    <row r="810" ht="15.75" customHeight="1">
      <c r="A810" s="2">
        <v>809.0</v>
      </c>
      <c r="B810" s="5" t="s">
        <v>1451</v>
      </c>
      <c r="C810" s="6">
        <v>1.0</v>
      </c>
      <c r="D810" s="9" t="s">
        <v>1452</v>
      </c>
      <c r="E810" s="8" t="str">
        <f>IFERROR(__xludf.DUMMYFUNCTION("googletranslate(D810,""id"",""en"")"),"Pinter yes, all their efforts to reduce shame and community questions, they created PPKM. Apart from that in order to cover panic due to the threat of students also bring the impact of creating the PPKM. We should have shouts")</f>
        <v>Pinter yes, all their efforts to reduce shame and community questions, they created PPKM. Apart from that in order to cover panic due to the threat of students also bring the impact of creating the PPKM. We should have shouts</v>
      </c>
    </row>
    <row r="811" ht="15.75" customHeight="1">
      <c r="A811" s="2">
        <v>810.0</v>
      </c>
      <c r="B811" s="5" t="s">
        <v>1453</v>
      </c>
      <c r="C811" s="6">
        <v>2.0</v>
      </c>
      <c r="D811" s="9" t="s">
        <v>1454</v>
      </c>
      <c r="E811" s="8" t="str">
        <f>IFERROR(__xludf.DUMMYFUNCTION("googletranslate(D811,""id"",""en"")"),"Min, Laportolong Prokes is increasingly tightened at the Transit.H-1 station before my PPKM transit in Manggarai, there is no distance and there are some of the masks.")</f>
        <v>Min, Laportolong Prokes is increasingly tightened at the Transit.H-1 station before my PPKM transit in Manggarai, there is no distance and there are some of the masks.</v>
      </c>
    </row>
    <row r="812" ht="15.75" customHeight="1">
      <c r="A812" s="2">
        <v>811.0</v>
      </c>
      <c r="B812" s="5" t="s">
        <v>1455</v>
      </c>
      <c r="C812" s="6">
        <v>1.0</v>
      </c>
      <c r="D812" s="7" t="s">
        <v>1456</v>
      </c>
      <c r="E812" s="8" t="str">
        <f>IFERROR(__xludf.DUMMYFUNCTION("googletranslate(D812,""id"",""en"")"),"When sticking out the Missi does not believe willing and forced to be forced to leave the palace, the domestication formatted the Effect of the PPKM leads to the discussion meeting when backward effects!? another stagger section all")</f>
        <v>When sticking out the Missi does not believe willing and forced to be forced to leave the palace, the domestication formatted the Effect of the PPKM leads to the discussion meeting when backward effects!? another stagger section all</v>
      </c>
    </row>
    <row r="813" ht="15.75" customHeight="1">
      <c r="A813" s="2">
        <v>812.0</v>
      </c>
      <c r="B813" s="5" t="s">
        <v>1457</v>
      </c>
      <c r="C813" s="6">
        <v>3.0</v>
      </c>
      <c r="D813" s="9" t="s">
        <v>1458</v>
      </c>
      <c r="E813" s="8" t="str">
        <f>IFERROR(__xludf.DUMMYFUNCTION("googletranslate(D813,""id"",""en"")"),"President: ""I also asked all governors, regents and mayors both on the island of Java and the island of Bali and outside Java, all to continue to fall down, check the field &amp; amp; : //")</f>
        <v>President: "I also asked all governors, regents and mayors both on the island of Java and the island of Bali and outside Java, all to continue to fall down, check the field &amp; amp; : //</v>
      </c>
    </row>
    <row r="814" ht="15.75" customHeight="1">
      <c r="A814" s="2">
        <v>813.0</v>
      </c>
      <c r="B814" s="5" t="s">
        <v>1459</v>
      </c>
      <c r="C814" s="6">
        <v>1.0</v>
      </c>
      <c r="D814" s="9" t="s">
        <v>1460</v>
      </c>
      <c r="E814" s="8" t="str">
        <f>IFERROR(__xludf.DUMMYFUNCTION("googletranslate(D814,""id"",""en"")"),"Blunder statement again ... what is the PPKM if the border lid doesn't exist ...")</f>
        <v>Blunder statement again ... what is the PPKM if the border lid doesn't exist ...</v>
      </c>
    </row>
    <row r="815" ht="15.75" customHeight="1">
      <c r="A815" s="2">
        <v>814.0</v>
      </c>
      <c r="B815" s="5" t="s">
        <v>1461</v>
      </c>
      <c r="C815" s="6">
        <v>2.0</v>
      </c>
      <c r="D815" s="7" t="s">
        <v>1462</v>
      </c>
      <c r="E815" s="8" t="str">
        <f>IFERROR(__xludf.DUMMYFUNCTION("googletranslate(D815,""id"",""en"")"),"Min Ari Route Damri Dr. Cibiru / Cicaheum towards Cibereum Teh PPKM route anywhere?")</f>
        <v>Min Ari Route Damri Dr. Cibiru / Cicaheum towards Cibereum Teh PPKM route anywhere?</v>
      </c>
    </row>
    <row r="816" ht="15.75" customHeight="1">
      <c r="A816" s="2">
        <v>815.0</v>
      </c>
      <c r="B816" s="5" t="s">
        <v>1463</v>
      </c>
      <c r="C816" s="6">
        <v>1.0</v>
      </c>
      <c r="D816" s="9" t="s">
        <v>1464</v>
      </c>
      <c r="E816" s="8" t="str">
        <f>IFERROR(__xludf.DUMMYFUNCTION("googletranslate(D816,""id"",""en"")"),"People at PPKM Wna Free to Enter Koplak Lu ... NPA Li Ngk Ajau Same Government Tuk Lid Airport and WNA Enter Indonesia ..... The Mosque's Ujung2 Close ..... Really Invite Laknat ...")</f>
        <v>People at PPKM Wna Free to Enter Koplak Lu ... NPA Li Ngk Ajau Same Government Tuk Lid Airport and WNA Enter Indonesia ..... The Mosque's Ujung2 Close ..... Really Invite Laknat ...</v>
      </c>
    </row>
    <row r="817" ht="15.75" customHeight="1">
      <c r="A817" s="2">
        <v>816.0</v>
      </c>
      <c r="B817" s="5" t="s">
        <v>1465</v>
      </c>
      <c r="C817" s="6">
        <v>1.0</v>
      </c>
      <c r="D817" s="7" t="s">
        <v>1466</v>
      </c>
      <c r="E817" s="8" t="str">
        <f>IFERROR(__xludf.DUMMYFUNCTION("googletranslate(D817,""id"",""en"")"),"PPKM = Pak Pinokio works cheating")</f>
        <v>PPKM = Pak Pinokio works cheating</v>
      </c>
    </row>
    <row r="818" ht="15.75" customHeight="1">
      <c r="A818" s="2">
        <v>817.0</v>
      </c>
      <c r="B818" s="5" t="s">
        <v>1467</v>
      </c>
      <c r="C818" s="6">
        <v>1.0</v>
      </c>
      <c r="D818" s="9" t="s">
        <v>1468</v>
      </c>
      <c r="E818" s="8" t="str">
        <f>IFERROR(__xludf.DUMMYFUNCTION("googletranslate(D818,""id"",""en"")"),"This full leader of the policy of ambiguous (PPKM) has time to end because every policy related to the covid pandemic should always suppress the people themselves but free Chinese TKA remain in the presumption unable to apply fairly.")</f>
        <v>This full leader of the policy of ambiguous (PPKM) has time to end because every policy related to the covid pandemic should always suppress the people themselves but free Chinese TKA remain in the presumption unable to apply fairly.</v>
      </c>
    </row>
    <row r="819" ht="15.75" customHeight="1">
      <c r="A819" s="2">
        <v>818.0</v>
      </c>
      <c r="B819" s="5" t="s">
        <v>1469</v>
      </c>
      <c r="C819" s="6">
        <v>1.0</v>
      </c>
      <c r="D819" s="9" t="s">
        <v>1470</v>
      </c>
      <c r="E819" s="8" t="str">
        <f>IFERROR(__xludf.DUMMYFUNCTION("googletranslate(D819,""id"",""en"")"),"Ppkm = plunder plongo when backwards")</f>
        <v>Ppkm = plunder plongo when backwards</v>
      </c>
    </row>
    <row r="820" ht="15.75" customHeight="1">
      <c r="A820" s="2">
        <v>819.0</v>
      </c>
      <c r="B820" s="5" t="s">
        <v>1471</v>
      </c>
      <c r="C820" s="6">
        <v>3.0</v>
      </c>
      <c r="D820" s="7" t="s">
        <v>1472</v>
      </c>
      <c r="E820" s="8" t="str">
        <f>IFERROR(__xludf.DUMMYFUNCTION("googletranslate(D820,""id"",""en"")"),"PPKM Overcome Covid Supports PON XX Planted Papua")</f>
        <v>PPKM Overcome Covid Supports PON XX Planted Papua</v>
      </c>
    </row>
    <row r="821" ht="15.75" customHeight="1">
      <c r="A821" s="2">
        <v>820.0</v>
      </c>
      <c r="B821" s="5" t="s">
        <v>1473</v>
      </c>
      <c r="C821" s="6">
        <v>2.0</v>
      </c>
      <c r="D821" s="9" t="s">
        <v>1473</v>
      </c>
      <c r="E821" s="8" t="str">
        <f>IFERROR(__xludf.DUMMYFUNCTION("googletranslate(D821,""id"",""en"")"),"ppkm = want to hug you mas")</f>
        <v>ppkm = want to hug you mas</v>
      </c>
    </row>
    <row r="822" ht="15.75" customHeight="1">
      <c r="A822" s="2">
        <v>821.0</v>
      </c>
      <c r="B822" s="5" t="s">
        <v>1474</v>
      </c>
      <c r="C822" s="6">
        <v>2.0</v>
      </c>
      <c r="D822" s="7" t="s">
        <v>1475</v>
      </c>
      <c r="E822" s="8" t="str">
        <f>IFERROR(__xludf.DUMMYFUNCTION("googletranslate(D822,""id"",""en"")"),"PPKM Morning Morning Kangen Mark")</f>
        <v>PPKM Morning Morning Kangen Mark</v>
      </c>
    </row>
    <row r="823" ht="15.75" customHeight="1">
      <c r="A823" s="2">
        <v>822.0</v>
      </c>
      <c r="B823" s="5" t="s">
        <v>1476</v>
      </c>
      <c r="C823" s="6">
        <v>2.0</v>
      </c>
      <c r="D823" s="9" t="s">
        <v>1477</v>
      </c>
      <c r="E823" s="8" t="str">
        <f>IFERROR(__xludf.DUMMYFUNCTION("googletranslate(D823,""id"",""en"")"),"Alone Bekasi who looks like this, a safe road to Jakarta (Duren Sawit) Via the motorbike through where ??? Please please don't want to violate PPKM, but this is important that I have to get out")</f>
        <v>Alone Bekasi who looks like this, a safe road to Jakarta (Duren Sawit) Via the motorbike through where ??? Please please don't want to violate PPKM, but this is important that I have to get out</v>
      </c>
    </row>
    <row r="824" ht="15.75" customHeight="1">
      <c r="A824" s="2">
        <v>823.0</v>
      </c>
      <c r="B824" s="5" t="s">
        <v>1478</v>
      </c>
      <c r="C824" s="6">
        <v>1.0</v>
      </c>
      <c r="D824" s="7" t="s">
        <v>1479</v>
      </c>
      <c r="E824" s="8" t="str">
        <f>IFERROR(__xludf.DUMMYFUNCTION("googletranslate(D824,""id"",""en"")"),"If there is no justice for the people, let no peace for the government of Emergency PPKM, PA blames the Minister of Hajj canceled now the Eid al-Adha prayer was eliminated")</f>
        <v>If there is no justice for the people, let no peace for the government of Emergency PPKM, PA blames the Minister of Hajj canceled now the Eid al-Adha prayer was eliminated</v>
      </c>
    </row>
    <row r="825" ht="15.75" customHeight="1">
      <c r="A825" s="2">
        <v>824.0</v>
      </c>
      <c r="B825" s="5" t="s">
        <v>1480</v>
      </c>
      <c r="C825" s="6">
        <v>3.0</v>
      </c>
      <c r="D825" s="9" t="s">
        <v>1481</v>
      </c>
      <c r="E825" s="8" t="str">
        <f>IFERROR(__xludf.DUMMYFUNCTION("googletranslate(D825,""id"",""en"")"),"The synergy of Banser Blora with Blora Regional Police in the context of implementing Emergency PPKM, Jalan Protocol at the Way Lighting on Off Kan.")</f>
        <v>The synergy of Banser Blora with Blora Regional Police in the context of implementing Emergency PPKM, Jalan Protocol at the Way Lighting on Off Kan.</v>
      </c>
    </row>
    <row r="826" ht="15.75" customHeight="1">
      <c r="A826" s="2">
        <v>825.0</v>
      </c>
      <c r="B826" s="5" t="s">
        <v>1482</v>
      </c>
      <c r="C826" s="6">
        <v>2.0</v>
      </c>
      <c r="D826" s="7" t="s">
        <v>1483</v>
      </c>
      <c r="E826" s="8" t="str">
        <f>IFERROR(__xludf.DUMMYFUNCTION("googletranslate(D826,""id"",""en"")"),"Come on, while PPKM")</f>
        <v>Come on, while PPKM</v>
      </c>
    </row>
    <row r="827" ht="15.75" customHeight="1">
      <c r="A827" s="2">
        <v>826.0</v>
      </c>
      <c r="B827" s="5" t="s">
        <v>1484</v>
      </c>
      <c r="C827" s="6">
        <v>1.0</v>
      </c>
      <c r="D827" s="9" t="s">
        <v>1484</v>
      </c>
      <c r="E827" s="8" t="str">
        <f>IFERROR(__xludf.DUMMYFUNCTION("googletranslate(D827,""id"",""en"")"),"If the city's access is closed, then the distribution of goods from the company / factory is bgmn? Gabisa, it's completely locked ... finally delayed, waiting for the PPKM to finish. Productivity is hampered. Imagine the number of losses")</f>
        <v>If the city's access is closed, then the distribution of goods from the company / factory is bgmn? Gabisa, it's completely locked ... finally delayed, waiting for the PPKM to finish. Productivity is hampered. Imagine the number of losses</v>
      </c>
    </row>
    <row r="828" ht="15.75" customHeight="1">
      <c r="A828" s="2">
        <v>827.0</v>
      </c>
      <c r="B828" s="5" t="s">
        <v>1485</v>
      </c>
      <c r="C828" s="6">
        <v>3.0</v>
      </c>
      <c r="D828" s="7" t="s">
        <v>1486</v>
      </c>
      <c r="E828" s="8" t="str">
        <f>IFERROR(__xludf.DUMMYFUNCTION("googletranslate(D828,""id"",""en"")"),"Life is not about who does good, but about who can respond to bad deeds with a positive mind. ~ Good morning PPKM Day")</f>
        <v>Life is not about who does good, but about who can respond to bad deeds with a positive mind. ~ Good morning PPKM Day</v>
      </c>
    </row>
    <row r="829" ht="15.75" customHeight="1">
      <c r="A829" s="2">
        <v>828.0</v>
      </c>
      <c r="B829" s="5" t="s">
        <v>1487</v>
      </c>
      <c r="C829" s="6">
        <v>2.0</v>
      </c>
      <c r="D829" s="7" t="s">
        <v>1488</v>
      </c>
      <c r="E829" s="8" t="str">
        <f>IFERROR(__xludf.DUMMYFUNCTION("googletranslate(D829,""id"",""en"")"),"Yoklah abis ppkm !!!")</f>
        <v>Yoklah abis ppkm !!!</v>
      </c>
    </row>
    <row r="830" ht="15.75" customHeight="1">
      <c r="A830" s="2">
        <v>829.0</v>
      </c>
      <c r="B830" s="5" t="s">
        <v>1489</v>
      </c>
      <c r="C830" s="6">
        <v>1.0</v>
      </c>
      <c r="D830" s="7" t="s">
        <v>1490</v>
      </c>
      <c r="E830" s="8" t="str">
        <f>IFERROR(__xludf.DUMMYFUNCTION("googletranslate(D830,""id"",""en"")"),"Lg ppkm whose office wfh can get a salary, which one day sell? You can't sell, desperate, fined million. Still telling the community to donate? Outside of the biasakalian aj donated.")</f>
        <v>Lg ppkm whose office wfh can get a salary, which one day sell? You can't sell, desperate, fined million. Still telling the community to donate? Outside of the biasakalian aj donated.</v>
      </c>
    </row>
    <row r="831" ht="15.75" customHeight="1">
      <c r="A831" s="2">
        <v>830.0</v>
      </c>
      <c r="B831" s="5" t="s">
        <v>1491</v>
      </c>
      <c r="C831" s="6">
        <v>2.0</v>
      </c>
      <c r="D831" s="9" t="s">
        <v>1492</v>
      </c>
      <c r="E831" s="8" t="str">
        <f>IFERROR(__xludf.DUMMYFUNCTION("googletranslate(D831,""id"",""en"")"),"If it suddenly exits the PPKM decision, meaning all online came home?")</f>
        <v>If it suddenly exits the PPKM decision, meaning all online came home?</v>
      </c>
    </row>
    <row r="832" ht="15.75" customHeight="1">
      <c r="A832" s="2">
        <v>831.0</v>
      </c>
      <c r="B832" s="5" t="s">
        <v>1493</v>
      </c>
      <c r="C832" s="6">
        <v>2.0</v>
      </c>
      <c r="D832" s="7" t="s">
        <v>1494</v>
      </c>
      <c r="E832" s="8" t="str">
        <f>IFERROR(__xludf.DUMMYFUNCTION("googletranslate(D832,""id"",""en"")"),"Emergency Emergency PPKM?")</f>
        <v>Emergency Emergency PPKM?</v>
      </c>
    </row>
    <row r="833" ht="15.75" customHeight="1">
      <c r="A833" s="2">
        <v>832.0</v>
      </c>
      <c r="B833" s="5" t="s">
        <v>1495</v>
      </c>
      <c r="C833" s="6">
        <v>3.0</v>
      </c>
      <c r="D833" s="9" t="s">
        <v>1496</v>
      </c>
      <c r="E833" s="8" t="str">
        <f>IFERROR(__xludf.DUMMYFUNCTION("googletranslate(D833,""id"",""en"")"),"Padang finally ppkm too ... the house remembers the numbers of CVD again up again here, plus the people who are good forgiveness, let's ask if it's really important or forced stay at home, just wait and keep the Prokes")</f>
        <v>Padang finally ppkm too ... the house remembers the numbers of CVD again up again here, plus the people who are good forgiveness, let's ask if it's really important or forced stay at home, just wait and keep the Prokes</v>
      </c>
    </row>
    <row r="834" ht="15.75" customHeight="1">
      <c r="A834" s="2">
        <v>833.0</v>
      </c>
      <c r="B834" s="5" t="s">
        <v>1497</v>
      </c>
      <c r="C834" s="6">
        <v>2.0</v>
      </c>
      <c r="D834" s="9" t="s">
        <v>1498</v>
      </c>
      <c r="E834" s="8" t="str">
        <f>IFERROR(__xludf.DUMMYFUNCTION("googletranslate(D834,""id"",""en"")"),"The PPKM version I want to go anywhere you")</f>
        <v>The PPKM version I want to go anywhere you</v>
      </c>
    </row>
    <row r="835" ht="15.75" customHeight="1">
      <c r="A835" s="2">
        <v>834.0</v>
      </c>
      <c r="B835" s="5" t="s">
        <v>1499</v>
      </c>
      <c r="C835" s="6">
        <v>2.0</v>
      </c>
      <c r="D835" s="7" t="s">
        <v>1499</v>
      </c>
      <c r="E835" s="8" t="str">
        <f>IFERROR(__xludf.DUMMYFUNCTION("googletranslate(D835,""id"",""en"")"),"who still ask for money with the mother of her mother where does the PPKM impact ..")</f>
        <v>who still ask for money with the mother of her mother where does the PPKM impact ..</v>
      </c>
    </row>
    <row r="836" ht="15.75" customHeight="1">
      <c r="A836" s="2">
        <v>835.0</v>
      </c>
      <c r="B836" s="5" t="s">
        <v>1500</v>
      </c>
      <c r="C836" s="6">
        <v>2.0</v>
      </c>
      <c r="D836" s="7" t="s">
        <v>1501</v>
      </c>
      <c r="E836" s="8" t="str">
        <f>IFERROR(__xludf.DUMMYFUNCTION("googletranslate(D836,""id"",""en"")"),"Starting from the article Covid-19 cold cough symptoms in children until Anies went on a rampage because pregnant women are still going to the office when Emergency PPKM is the most popular, Mother.")</f>
        <v>Starting from the article Covid-19 cold cough symptoms in children until Anies went on a rampage because pregnant women are still going to the office when Emergency PPKM is the most popular, Mother.</v>
      </c>
    </row>
    <row r="837" ht="15.75" customHeight="1">
      <c r="A837" s="2">
        <v>836.0</v>
      </c>
      <c r="B837" s="5" t="s">
        <v>1502</v>
      </c>
      <c r="C837" s="6">
        <v>1.0</v>
      </c>
      <c r="D837" s="7" t="s">
        <v>1503</v>
      </c>
      <c r="E837" s="8" t="str">
        <f>IFERROR(__xludf.DUMMYFUNCTION("googletranslate(D837,""id"",""en"")"),"Ppkm = morning morning gets up to me")</f>
        <v>Ppkm = morning morning gets up to me</v>
      </c>
    </row>
    <row r="838" ht="15.75" customHeight="1">
      <c r="A838" s="2">
        <v>837.0</v>
      </c>
      <c r="B838" s="5" t="s">
        <v>1504</v>
      </c>
      <c r="C838" s="6">
        <v>1.0</v>
      </c>
      <c r="D838" s="7" t="s">
        <v>1505</v>
      </c>
      <c r="E838" s="8" t="str">
        <f>IFERROR(__xludf.DUMMYFUNCTION("googletranslate(D838,""id"",""en"")"),"The commissioners should be deducted by the income% for $ number for the next $ the month to be donated to nakese, the people are hard because the pandemic is plus this PPKM ...")</f>
        <v>The commissioners should be deducted by the income% for $ number for the next $ the month to be donated to nakese, the people are hard because the pandemic is plus this PPKM ...</v>
      </c>
    </row>
    <row r="839" ht="15.75" customHeight="1">
      <c r="A839" s="2">
        <v>838.0</v>
      </c>
      <c r="B839" s="5" t="s">
        <v>1506</v>
      </c>
      <c r="C839" s="6">
        <v>1.0</v>
      </c>
      <c r="D839" s="9" t="s">
        <v>1507</v>
      </c>
      <c r="E839" s="8" t="str">
        <f>IFERROR(__xludf.DUMMYFUNCTION("googletranslate(D839,""id"",""en"")"),"- Crime PPKM Tranggasps, Luhut picked up! -Ginlows Jokowi now, it's better! - Top Jokowi, Save Indonesia! - Jokowi Failed Total !!! Legitimately dragged out of the palace! - Students n the people will get forced out of the palace")</f>
        <v>- Crime PPKM Tranggasps, Luhut picked up! -Ginlows Jokowi now, it's better! - Top Jokowi, Save Indonesia! - Jokowi Failed Total !!! Legitimately dragged out of the palace! - Students n the people will get forced out of the palace</v>
      </c>
    </row>
    <row r="840" ht="15.75" customHeight="1">
      <c r="A840" s="2">
        <v>839.0</v>
      </c>
      <c r="B840" s="5" t="s">
        <v>1508</v>
      </c>
      <c r="C840" s="6">
        <v>2.0</v>
      </c>
      <c r="D840" s="10" t="s">
        <v>1509</v>
      </c>
      <c r="E840" s="8" t="str">
        <f>IFERROR(__xludf.DUMMYFUNCTION("googletranslate(D840,""id"",""en"")"),"BERES PPKM.")</f>
        <v>BERES PPKM.</v>
      </c>
    </row>
    <row r="841" ht="15.75" customHeight="1">
      <c r="A841" s="2">
        <v>840.0</v>
      </c>
      <c r="B841" s="5" t="s">
        <v>1510</v>
      </c>
      <c r="C841" s="6">
        <v>2.0</v>
      </c>
      <c r="D841" s="7" t="s">
        <v>1511</v>
      </c>
      <c r="E841" s="8" t="str">
        <f>IFERROR(__xludf.DUMMYFUNCTION("googletranslate(D841,""id"",""en"")"),"Ayolaahhh gaskeeeeuunnnn hopefully when the album until the ppkm has already finished")</f>
        <v>Ayolaahhh gaskeeeeuunnnn hopefully when the album until the ppkm has already finished</v>
      </c>
    </row>
    <row r="842" ht="15.75" customHeight="1">
      <c r="A842" s="2">
        <v>841.0</v>
      </c>
      <c r="B842" s="5" t="s">
        <v>1512</v>
      </c>
      <c r="C842" s="6">
        <v>2.0</v>
      </c>
      <c r="D842" s="7" t="s">
        <v>1513</v>
      </c>
      <c r="E842" s="8" t="str">
        <f>IFERROR(__xludf.DUMMYFUNCTION("googletranslate(D842,""id"",""en"")"),"Ppkm {slowly my slowly gave you up}")</f>
        <v>Ppkm {slowly my slowly gave you up}</v>
      </c>
    </row>
    <row r="843" ht="15.75" customHeight="1">
      <c r="A843" s="2">
        <v>842.0</v>
      </c>
      <c r="B843" s="5" t="s">
        <v>1514</v>
      </c>
      <c r="C843" s="6">
        <v>3.0</v>
      </c>
      <c r="D843" s="9" t="s">
        <v>1515</v>
      </c>
      <c r="E843" s="8" t="str">
        <f>IFERROR(__xludf.DUMMYFUNCTION("googletranslate(D843,""id"",""en"")"),"It's time for the law of law for emergency PPKM violators. Daeurat PPKM creates to press the coupling surge. Help the nakes by obeying the prokes and join the vaccine. Yuk with us BS Pass this crisis")</f>
        <v>It's time for the law of law for emergency PPKM violators. Daeurat PPKM creates to press the coupling surge. Help the nakes by obeying the prokes and join the vaccine. Yuk with us BS Pass this crisis</v>
      </c>
    </row>
    <row r="844" ht="15.75" customHeight="1">
      <c r="A844" s="2">
        <v>843.0</v>
      </c>
      <c r="B844" s="5" t="s">
        <v>1516</v>
      </c>
      <c r="C844" s="6">
        <v>3.0</v>
      </c>
      <c r="D844" s="9" t="s">
        <v>1517</v>
      </c>
      <c r="E844" s="8" t="str">
        <f>IFERROR(__xludf.DUMMYFUNCTION("googletranslate(D844,""id"",""en"")"),"Emergency, and I'm sure with the Emergency PPKM surge in BS Dressing. Just aduhi prokesny!")</f>
        <v>Emergency, and I'm sure with the Emergency PPKM surge in BS Dressing. Just aduhi prokesny!</v>
      </c>
    </row>
    <row r="845" ht="15.75" customHeight="1">
      <c r="A845" s="2">
        <v>844.0</v>
      </c>
      <c r="B845" s="5" t="s">
        <v>1518</v>
      </c>
      <c r="C845" s="6">
        <v>1.0</v>
      </c>
      <c r="D845" s="9" t="s">
        <v>1519</v>
      </c>
      <c r="E845" s="8" t="str">
        <f>IFERROR(__xludf.DUMMYFUNCTION("googletranslate(D845,""id"",""en"")"),"The fate of the small people sllu becomes a victim of government policy. They can only make a rules tau rules. Employees and official officials want to also ppkm salary mrka ttp ngealir, porridge don't sell it can not eat, let alone convensing dri pmbnth "&amp;"is not muzzy &amp; amp; equally")</f>
        <v>The fate of the small people sllu becomes a victim of government policy. They can only make a rules tau rules. Employees and official officials want to also ppkm salary mrka ttp ngealir, porridge don't sell it can not eat, let alone convensing dri pmbnth is not muzzy &amp; amp; equally</v>
      </c>
    </row>
    <row r="846" ht="15.75" customHeight="1">
      <c r="A846" s="2">
        <v>845.0</v>
      </c>
      <c r="B846" s="5" t="s">
        <v>1520</v>
      </c>
      <c r="C846" s="6">
        <v>1.0</v>
      </c>
      <c r="D846" s="9" t="s">
        <v>1521</v>
      </c>
      <c r="E846" s="8" t="str">
        <f>IFERROR(__xludf.DUMMYFUNCTION("googletranslate(D846,""id"",""en"")"),"This is my first blundering and troublesome! Already know the emergency PPKM ... all WFH all, using the maintenance schedule on weekdays and a day. Disturb working hours! Need to be dealt with troublesome. CC:")</f>
        <v>This is my first blundering and troublesome! Already know the emergency PPKM ... all WFH all, using the maintenance schedule on weekdays and a day. Disturb working hours! Need to be dealt with troublesome. CC:</v>
      </c>
    </row>
    <row r="847" ht="15.75" customHeight="1">
      <c r="A847" s="2">
        <v>846.0</v>
      </c>
      <c r="B847" s="5" t="s">
        <v>1522</v>
      </c>
      <c r="C847" s="6">
        <v>1.0</v>
      </c>
      <c r="D847" s="9" t="s">
        <v>1522</v>
      </c>
      <c r="E847" s="8" t="str">
        <f>IFERROR(__xludf.DUMMYFUNCTION("googletranslate(D847,""id"",""en"")"),"I GPHM KNP Target PPKM Traffic Affairs? Instead of preventing the transmission of Covid19 more into the interaction of inter-humanity ?? What are the interaction between vehicles can also trigger Covid transmission ??? What is this Covid variant?")</f>
        <v>I GPHM KNP Target PPKM Traffic Affairs? Instead of preventing the transmission of Covid19 more into the interaction of inter-humanity ?? What are the interaction between vehicles can also trigger Covid transmission ??? What is this Covid variant?</v>
      </c>
    </row>
    <row r="848" ht="15.75" customHeight="1">
      <c r="A848" s="2">
        <v>847.0</v>
      </c>
      <c r="B848" s="5" t="s">
        <v>1523</v>
      </c>
      <c r="C848" s="6">
        <v>3.0</v>
      </c>
      <c r="D848" s="7" t="s">
        <v>1524</v>
      </c>
      <c r="E848" s="8" t="str">
        <f>IFERROR(__xludf.DUMMYFUNCTION("googletranslate(D848,""id"",""en"")"),"Thank you for colleagues for their participation. Alhamdulillah, we realized the donation from colleagues to purchase children's education assistance facilities. Given the current conditions in the PPKM period, mentoring activities are postponed temporari"&amp;"ly until July.")</f>
        <v>Thank you for colleagues for their participation. Alhamdulillah, we realized the donation from colleagues to purchase children's education assistance facilities. Given the current conditions in the PPKM period, mentoring activities are postponed temporarily until July.</v>
      </c>
    </row>
    <row r="849" ht="15.75" customHeight="1">
      <c r="A849" s="2">
        <v>848.0</v>
      </c>
      <c r="B849" s="5" t="s">
        <v>1525</v>
      </c>
      <c r="C849" s="6">
        <v>2.0</v>
      </c>
      <c r="D849" s="9" t="s">
        <v>1526</v>
      </c>
      <c r="E849" s="8" t="str">
        <f>IFERROR(__xludf.DUMMYFUNCTION("googletranslate(D849,""id"",""en"")"),"It's already from the opening hours, but it's gantau if the ppkm gini")</f>
        <v>It's already from the opening hours, but it's gantau if the ppkm gini</v>
      </c>
    </row>
    <row r="850" ht="15.75" customHeight="1">
      <c r="A850" s="2">
        <v>849.0</v>
      </c>
      <c r="B850" s="5" t="s">
        <v>1527</v>
      </c>
      <c r="C850" s="6">
        <v>2.0</v>
      </c>
      <c r="D850" s="7" t="s">
        <v>1528</v>
      </c>
      <c r="E850" s="8" t="str">
        <f>IFERROR(__xludf.DUMMYFUNCTION("googletranslate(D850,""id"",""en"")"),"Emergency ppkm bang?")</f>
        <v>Emergency ppkm bang?</v>
      </c>
    </row>
    <row r="851" ht="15.75" customHeight="1">
      <c r="A851" s="2">
        <v>850.0</v>
      </c>
      <c r="B851" s="5" t="s">
        <v>1529</v>
      </c>
      <c r="C851" s="6">
        <v>3.0</v>
      </c>
      <c r="D851" s="7" t="s">
        <v>1530</v>
      </c>
      <c r="E851" s="8" t="str">
        <f>IFERROR(__xludf.DUMMYFUNCTION("googletranslate(D851,""id"",""en"")"),"Currently there is no one who says, ""Covid looks like as strong as longing for us to copy ah")</f>
        <v>Currently there is no one who says, "Covid looks like as strong as longing for us to copy ah</v>
      </c>
    </row>
    <row r="852" ht="15.75" customHeight="1">
      <c r="A852" s="2">
        <v>851.0</v>
      </c>
      <c r="B852" s="5" t="s">
        <v>1531</v>
      </c>
      <c r="C852" s="6">
        <v>2.0</v>
      </c>
      <c r="D852" s="7" t="s">
        <v>1532</v>
      </c>
      <c r="E852" s="8" t="str">
        <f>IFERROR(__xludf.DUMMYFUNCTION("googletranslate(D852,""id"",""en"")"),"Means it's finished the ppkm qi wkwkw")</f>
        <v>Means it's finished the ppkm qi wkwkw</v>
      </c>
    </row>
    <row r="853" ht="15.75" customHeight="1">
      <c r="A853" s="2">
        <v>852.0</v>
      </c>
      <c r="B853" s="5" t="s">
        <v>1533</v>
      </c>
      <c r="C853" s="6">
        <v>3.0</v>
      </c>
      <c r="D853" s="7" t="s">
        <v>1534</v>
      </c>
      <c r="E853" s="8" t="str">
        <f>IFERROR(__xludf.DUMMYFUNCTION("googletranslate(D853,""id"",""en"")"),"Emergency PPKM policy is considered to reduce the crowd that enables the spread of Covid-19 massively. What's more, it's currently developing the Delta-19Varians that are known to spread much easier.")</f>
        <v>Emergency PPKM policy is considered to reduce the crowd that enables the spread of Covid-19 massively. What's more, it's currently developing the Delta-19Varians that are known to spread much easier.</v>
      </c>
    </row>
    <row r="854" ht="15.75" customHeight="1">
      <c r="A854" s="2">
        <v>853.0</v>
      </c>
      <c r="B854" s="5" t="s">
        <v>1535</v>
      </c>
      <c r="C854" s="6">
        <v>2.0</v>
      </c>
      <c r="D854" s="9" t="s">
        <v>1536</v>
      </c>
      <c r="E854" s="8" t="str">
        <f>IFERROR(__xludf.DUMMYFUNCTION("googletranslate(D854,""id"",""en"")"),"The size of the PPKM managed to work smoothly ... CKCKCCKCK")</f>
        <v>The size of the PPKM managed to work smoothly ... CKCKCCKCK</v>
      </c>
    </row>
    <row r="855" ht="15.75" customHeight="1">
      <c r="A855" s="2">
        <v>854.0</v>
      </c>
      <c r="B855" s="5" t="s">
        <v>1537</v>
      </c>
      <c r="C855" s="6">
        <v>1.0</v>
      </c>
      <c r="D855" s="9" t="s">
        <v>1538</v>
      </c>
      <c r="E855" s="8" t="str">
        <f>IFERROR(__xludf.DUMMYFUNCTION("googletranslate(D855,""id"",""en"")"),"Madura before there is a covid case, the covid case is just when there is a PPKM JD increases, weird")</f>
        <v>Madura before there is a covid case, the covid case is just when there is a PPKM JD increases, weird</v>
      </c>
    </row>
    <row r="856" ht="15.75" customHeight="1">
      <c r="A856" s="2">
        <v>855.0</v>
      </c>
      <c r="B856" s="5" t="s">
        <v>1539</v>
      </c>
      <c r="C856" s="6">
        <v>3.0</v>
      </c>
      <c r="D856" s="7" t="s">
        <v>1540</v>
      </c>
      <c r="E856" s="8" t="str">
        <f>IFERROR(__xludf.DUMMYFUNCTION("googletranslate(D856,""id"",""en"")"),"It is not difficult to obey the emergency PPKM government policy. It is also beneficial, and can save millions of human lives, so as not to contract the Bari Cobie variant.")</f>
        <v>It is not difficult to obey the emergency PPKM government policy. It is also beneficial, and can save millions of human lives, so as not to contract the Bari Cobie variant.</v>
      </c>
    </row>
    <row r="857" ht="15.75" customHeight="1">
      <c r="A857" s="2">
        <v>856.0</v>
      </c>
      <c r="B857" s="5" t="s">
        <v>1541</v>
      </c>
      <c r="C857" s="6">
        <v>2.0</v>
      </c>
      <c r="D857" s="7" t="s">
        <v>1541</v>
      </c>
      <c r="E857" s="8" t="str">
        <f>IFERROR(__xludf.DUMMYFUNCTION("googletranslate(D857,""id"",""en"")"),"Slowly how come the entry (ppkm)")</f>
        <v>Slowly how come the entry (ppkm)</v>
      </c>
    </row>
    <row r="858" ht="15.75" customHeight="1">
      <c r="A858" s="2">
        <v>857.0</v>
      </c>
      <c r="B858" s="5" t="s">
        <v>1542</v>
      </c>
      <c r="C858" s="6">
        <v>1.0</v>
      </c>
      <c r="D858" s="7" t="s">
        <v>1543</v>
      </c>
      <c r="E858" s="8" t="str">
        <f>IFERROR(__xludf.DUMMYFUNCTION("googletranslate(D858,""id"",""en"")"),"And many things like that, stuck Emergency PPKM, without anything")</f>
        <v>And many things like that, stuck Emergency PPKM, without anything</v>
      </c>
    </row>
    <row r="859" ht="15.75" customHeight="1">
      <c r="A859" s="2">
        <v>858.0</v>
      </c>
      <c r="B859" s="5" t="s">
        <v>1544</v>
      </c>
      <c r="C859" s="6">
        <v>3.0</v>
      </c>
      <c r="D859" s="7" t="s">
        <v>1545</v>
      </c>
      <c r="E859" s="8" t="str">
        <f>IFERROR(__xludf.DUMMYFUNCTION("googletranslate(D859,""id"",""en"")"),"Emergency PPKM The best way to stop the spread of Covid-19.The government-related PPKM emergency-related government is very appropriate.")</f>
        <v>Emergency PPKM The best way to stop the spread of Covid-19.The government-related PPKM emergency-related government is very appropriate.</v>
      </c>
    </row>
    <row r="860" ht="15.75" customHeight="1">
      <c r="A860" s="2">
        <v>859.0</v>
      </c>
      <c r="B860" s="5" t="s">
        <v>1546</v>
      </c>
      <c r="C860" s="6">
        <v>3.0</v>
      </c>
      <c r="D860" s="7" t="s">
        <v>1547</v>
      </c>
      <c r="E860" s="8" t="str">
        <f>IFERROR(__xludf.DUMMYFUNCTION("googletranslate(D860,""id"",""en"")"),"Let's be prevented the transmission of Covid-19 by obeying the emergency PPKM policy. We have to be aware of the spread of Covid-19, but by keeping the prokes then we will be free from Covid-19.")</f>
        <v>Let's be prevented the transmission of Covid-19 by obeying the emergency PPKM policy. We have to be aware of the spread of Covid-19, but by keeping the prokes then we will be free from Covid-19.</v>
      </c>
    </row>
    <row r="861" ht="15.75" customHeight="1">
      <c r="A861" s="2">
        <v>860.0</v>
      </c>
      <c r="B861" s="5" t="s">
        <v>1548</v>
      </c>
      <c r="C861" s="6">
        <v>2.0</v>
      </c>
      <c r="D861" s="7" t="s">
        <v>1549</v>
      </c>
      <c r="E861" s="8" t="str">
        <f>IFERROR(__xludf.DUMMYFUNCTION("googletranslate(D861,""id"",""en"")"),"Play massage massage ... so that if I finish the ppkm, it's big ... ichaayu")</f>
        <v>Play massage massage ... so that if I finish the ppkm, it's big ... ichaayu</v>
      </c>
    </row>
    <row r="862" ht="15.75" customHeight="1">
      <c r="A862" s="2">
        <v>861.0</v>
      </c>
      <c r="B862" s="5" t="s">
        <v>1550</v>
      </c>
      <c r="C862" s="6">
        <v>3.0</v>
      </c>
      <c r="D862" s="9" t="s">
        <v>1551</v>
      </c>
      <c r="E862" s="8" t="str">
        <f>IFERROR(__xludf.DUMMYFUNCTION("googletranslate(D862,""id"",""en"")"),": // Emergency PPKM regulated in Perwali year number concerning restrictions on community activities must be adhered to by all people of Semarang City to suppress the spread of Covid-19. Pandemic")</f>
        <v>: // Emergency PPKM regulated in Perwali year number concerning restrictions on community activities must be adhered to by all people of Semarang City to suppress the spread of Covid-19. Pandemic</v>
      </c>
    </row>
    <row r="863" ht="15.75" customHeight="1">
      <c r="A863" s="2">
        <v>862.0</v>
      </c>
      <c r="B863" s="5" t="s">
        <v>1552</v>
      </c>
      <c r="C863" s="6">
        <v>2.0</v>
      </c>
      <c r="D863" s="7" t="s">
        <v>1553</v>
      </c>
      <c r="E863" s="8" t="str">
        <f>IFERROR(__xludf.DUMMYFUNCTION("googletranslate(D863,""id"",""en"")"),"Emergency PPKM success in pressing the speed of the spread of Covid-19")</f>
        <v>Emergency PPKM success in pressing the speed of the spread of Covid-19</v>
      </c>
    </row>
    <row r="864" ht="15.75" customHeight="1">
      <c r="A864" s="2">
        <v>863.0</v>
      </c>
      <c r="B864" s="5" t="s">
        <v>1554</v>
      </c>
      <c r="C864" s="6">
        <v>2.0</v>
      </c>
      <c r="D864" s="9" t="s">
        <v>1555</v>
      </c>
      <c r="E864" s="8" t="str">
        <f>IFERROR(__xludf.DUMMYFUNCTION("googletranslate(D864,""id"",""en"")"),"Emergency PPKM Date - July - Installing at the Madyopuro / Karanglo toll gate. - Limiting the mobility of community activities starting at. WIB and impose curfew. - Yustisi operations are carried out on the morning, day and night.")</f>
        <v>Emergency PPKM Date - July - Installing at the Madyopuro / Karanglo toll gate. - Limiting the mobility of community activities starting at. WIB and impose curfew. - Yustisi operations are carried out on the morning, day and night.</v>
      </c>
    </row>
    <row r="865" ht="15.75" customHeight="1">
      <c r="A865" s="2">
        <v>864.0</v>
      </c>
      <c r="B865" s="5" t="s">
        <v>1556</v>
      </c>
      <c r="C865" s="6">
        <v>3.0</v>
      </c>
      <c r="D865" s="7" t="s">
        <v>1557</v>
      </c>
      <c r="E865" s="8" t="str">
        <f>IFERROR(__xludf.DUMMYFUNCTION("googletranslate(D865,""id"",""en"")"),"In a situation like this and at the time the Emergency PPKM is good we unite to help each other")</f>
        <v>In a situation like this and at the time the Emergency PPKM is good we unite to help each other</v>
      </c>
    </row>
    <row r="866" ht="15.75" customHeight="1">
      <c r="A866" s="2">
        <v>865.0</v>
      </c>
      <c r="B866" s="5" t="s">
        <v>1558</v>
      </c>
      <c r="C866" s="6">
        <v>3.0</v>
      </c>
      <c r="D866" s="9" t="s">
        <v>1559</v>
      </c>
      <c r="E866" s="8" t="str">
        <f>IFERROR(__xludf.DUMMYFUNCTION("googletranslate(D866,""id"",""en"")"),"Good morning everything keep your health, your family &amp; amp; Dear people from the ferocious Covid today, obey prokes &amp; amp; PPKM, staying at home at this time is better, your regret later there is no meaning. Hopefully the nation &amp; amp; We are all given h"&amp;"ealthy, happy &amp; amp; kindness, aamiin.")</f>
        <v>Good morning everything keep your health, your family &amp; amp; Dear people from the ferocious Covid today, obey prokes &amp; amp; PPKM, staying at home at this time is better, your regret later there is no meaning. Hopefully the nation &amp; amp; We are all given healthy, happy &amp; amp; kindness, aamiin.</v>
      </c>
    </row>
    <row r="867" ht="15.75" customHeight="1">
      <c r="A867" s="2">
        <v>866.0</v>
      </c>
      <c r="B867" s="5" t="s">
        <v>1560</v>
      </c>
      <c r="C867" s="6">
        <v>3.0</v>
      </c>
      <c r="D867" s="7" t="s">
        <v>1561</v>
      </c>
      <c r="E867" s="8" t="str">
        <f>IFERROR(__xludf.DUMMYFUNCTION("googletranslate(D867,""id"",""en"")"),"Government policy to enforce Emergency PPKM is the best effort to stop the spread of Covid-19 by finding register info and follow free vaccination around our residence. And praying pandemics must have ended")</f>
        <v>Government policy to enforce Emergency PPKM is the best effort to stop the spread of Covid-19 by finding register info and follow free vaccination around our residence. And praying pandemics must have ended</v>
      </c>
    </row>
    <row r="868" ht="15.75" customHeight="1">
      <c r="A868" s="2">
        <v>867.0</v>
      </c>
      <c r="B868" s="5" t="s">
        <v>1562</v>
      </c>
      <c r="C868" s="6">
        <v>3.0</v>
      </c>
      <c r="D868" s="9" t="s">
        <v>1563</v>
      </c>
      <c r="E868" s="8" t="str">
        <f>IFERROR(__xludf.DUMMYFUNCTION("googletranslate(D868,""id"",""en"")"),", let's obey the emergency PPKM rules so that we are all protected from the Kovid-19 virus. The small step that we actually means, it means that if you take part in inhibiting the spread of the virus. If we always discipline must be the risk of being also"&amp;" smaller.")</f>
        <v>, let's obey the emergency PPKM rules so that we are all protected from the Kovid-19 virus. The small step that we actually means, it means that if you take part in inhibiting the spread of the virus. If we always discipline must be the risk of being also smaller.</v>
      </c>
    </row>
    <row r="869" ht="15.75" customHeight="1">
      <c r="A869" s="2">
        <v>868.0</v>
      </c>
      <c r="B869" s="5" t="s">
        <v>1564</v>
      </c>
      <c r="C869" s="6">
        <v>3.0</v>
      </c>
      <c r="D869" s="7" t="s">
        <v>1565</v>
      </c>
      <c r="E869" s="8" t="str">
        <f>IFERROR(__xludf.DUMMYFUNCTION("googletranslate(D869,""id"",""en"")"),"We asked the Governor to submit an appeal to the Entrepreneurs / Company Leaders to optimize the PPKM plan of business sustainability in the face of Covid-19 pandemics")</f>
        <v>We asked the Governor to submit an appeal to the Entrepreneurs / Company Leaders to optimize the PPKM plan of business sustainability in the face of Covid-19 pandemics</v>
      </c>
    </row>
    <row r="870" ht="15.75" customHeight="1">
      <c r="A870" s="2">
        <v>869.0</v>
      </c>
      <c r="B870" s="5" t="s">
        <v>1566</v>
      </c>
      <c r="C870" s="6">
        <v>3.0</v>
      </c>
      <c r="D870" s="7" t="s">
        <v>1567</v>
      </c>
      <c r="E870" s="8" t="str">
        <f>IFERROR(__xludf.DUMMYFUNCTION("googletranslate(D870,""id"",""en"")"),"President Joko Widodo (Jokowi) has set Emergency PPKM especially on Java and Bali. This policy was taken as an effort to break the increasing Covid-19 distribution chain. Negarademi Bangsademi lives beloved people")</f>
        <v>President Joko Widodo (Jokowi) has set Emergency PPKM especially on Java and Bali. This policy was taken as an effort to break the increasing Covid-19 distribution chain. Negarademi Bangsademi lives beloved people</v>
      </c>
    </row>
    <row r="871" ht="15.75" customHeight="1">
      <c r="A871" s="2">
        <v>870.0</v>
      </c>
      <c r="B871" s="5" t="s">
        <v>1568</v>
      </c>
      <c r="C871" s="6">
        <v>3.0</v>
      </c>
      <c r="D871" s="7" t="s">
        <v>1569</v>
      </c>
      <c r="E871" s="8" t="str">
        <f>IFERROR(__xludf.DUMMYFUNCTION("googletranslate(D871,""id"",""en"")"),"As a good citizen we must support government policies about emergency PPKM because we both do not want to be sick and die because of Covid-19 continue to grow.")</f>
        <v>As a good citizen we must support government policies about emergency PPKM because we both do not want to be sick and die because of Covid-19 continue to grow.</v>
      </c>
    </row>
    <row r="872" ht="15.75" customHeight="1">
      <c r="A872" s="2">
        <v>871.0</v>
      </c>
      <c r="B872" s="5" t="s">
        <v>1570</v>
      </c>
      <c r="C872" s="6">
        <v>3.0</v>
      </c>
      <c r="D872" s="9" t="s">
        <v>1571</v>
      </c>
      <c r="E872" s="8" t="str">
        <f>IFERROR(__xludf.DUMMYFUNCTION("googletranslate(D872,""id"",""en"")"),"This is the best way, we as a society, just obeying the entire direction of the government to maintain health with the health protocol that has been delivered by the government. Don't bawel yes .., this PPKM is the best WELAWAN CVD19. The same we opposed "&amp;"Kor0na ok.")</f>
        <v>This is the best way, we as a society, just obeying the entire direction of the government to maintain health with the health protocol that has been delivered by the government. Don't bawel yes .., this PPKM is the best WELAWAN CVD19. The same we opposed Kor0na ok.</v>
      </c>
    </row>
    <row r="873" ht="15.75" customHeight="1">
      <c r="A873" s="2">
        <v>872.0</v>
      </c>
      <c r="B873" s="5" t="s">
        <v>1572</v>
      </c>
      <c r="C873" s="6">
        <v>3.0</v>
      </c>
      <c r="D873" s="9" t="s">
        <v>1573</v>
      </c>
      <c r="E873" s="8" t="str">
        <f>IFERROR(__xludf.DUMMYFUNCTION("googletranslate(D873,""id"",""en"")"),"Emergency PPKM is one of the right efforts to suppress the spread of the Covid-19 virus. Especially now, the case of Covid-19 is increasingly soaring every day.")</f>
        <v>Emergency PPKM is one of the right efforts to suppress the spread of the Covid-19 virus. Especially now, the case of Covid-19 is increasingly soaring every day.</v>
      </c>
    </row>
    <row r="874" ht="15.75" customHeight="1">
      <c r="A874" s="2">
        <v>873.0</v>
      </c>
      <c r="B874" s="5" t="s">
        <v>1574</v>
      </c>
      <c r="C874" s="6">
        <v>3.0</v>
      </c>
      <c r="D874" s="7" t="s">
        <v>1575</v>
      </c>
      <c r="E874" s="8" t="str">
        <f>IFERROR(__xludf.DUMMYFUNCTION("googletranslate(D874,""id"",""en"")"),"Hatch each other in the middle of a ppkm emergency pandemic!")</f>
        <v>Hatch each other in the middle of a ppkm emergency pandemic!</v>
      </c>
    </row>
    <row r="875" ht="15.75" customHeight="1">
      <c r="A875" s="2">
        <v>874.0</v>
      </c>
      <c r="B875" s="5" t="s">
        <v>1576</v>
      </c>
      <c r="C875" s="6">
        <v>3.0</v>
      </c>
      <c r="D875" s="7" t="s">
        <v>1577</v>
      </c>
      <c r="E875" s="8" t="str">
        <f>IFERROR(__xludf.DUMMYFUNCTION("googletranslate(D875,""id"",""en"")"),"Mari and we prevented the transmission of Covid-19 by obeying the Economic PPKM policy to be obedient and obedient to the health protocol, as well as various kinds of policies and rules from the Government so that Indonesia was immediately free from Covid"&amp;"-19.")</f>
        <v>Mari and we prevented the transmission of Covid-19 by obeying the Economic PPKM policy to be obedient and obedient to the health protocol, as well as various kinds of policies and rules from the Government so that Indonesia was immediately free from Covid-19.</v>
      </c>
    </row>
    <row r="876" ht="15.75" customHeight="1">
      <c r="A876" s="2">
        <v>875.0</v>
      </c>
      <c r="B876" s="5" t="s">
        <v>1578</v>
      </c>
      <c r="C876" s="6">
        <v>2.0</v>
      </c>
      <c r="D876" s="7" t="s">
        <v>1579</v>
      </c>
      <c r="E876" s="8" t="str">
        <f>IFERROR(__xludf.DUMMYFUNCTION("googletranslate(D876,""id"",""en"")"),"is the video when sir? It's an old video. There is nothing to do with PPKM.")</f>
        <v>is the video when sir? It's an old video. There is nothing to do with PPKM.</v>
      </c>
    </row>
    <row r="877" ht="15.75" customHeight="1">
      <c r="A877" s="2">
        <v>876.0</v>
      </c>
      <c r="B877" s="5" t="s">
        <v>1580</v>
      </c>
      <c r="C877" s="6">
        <v>3.0</v>
      </c>
      <c r="D877" s="7" t="s">
        <v>1581</v>
      </c>
      <c r="E877" s="8" t="str">
        <f>IFERROR(__xludf.DUMMYFUNCTION("googletranslate(D877,""id"",""en"")"),"Prioritize PPKM and Prokes ...")</f>
        <v>Prioritize PPKM and Prokes ...</v>
      </c>
    </row>
    <row r="878" ht="15.75" customHeight="1">
      <c r="A878" s="2">
        <v>877.0</v>
      </c>
      <c r="B878" s="5" t="s">
        <v>1582</v>
      </c>
      <c r="C878" s="6">
        <v>2.0</v>
      </c>
      <c r="D878" s="7" t="s">
        <v>1583</v>
      </c>
      <c r="E878" s="8" t="str">
        <f>IFERROR(__xludf.DUMMYFUNCTION("googletranslate(D878,""id"",""en"")"),"But what is this case? The police also don't use masks. It seems that it is not breaking PPKM it seems.")</f>
        <v>But what is this case? The police also don't use masks. It seems that it is not breaking PPKM it seems.</v>
      </c>
    </row>
    <row r="879" ht="15.75" customHeight="1">
      <c r="A879" s="2">
        <v>878.0</v>
      </c>
      <c r="B879" s="5" t="s">
        <v>1584</v>
      </c>
      <c r="C879" s="6">
        <v>1.0</v>
      </c>
      <c r="D879" s="7" t="s">
        <v>1585</v>
      </c>
      <c r="E879" s="8" t="str">
        <f>IFERROR(__xludf.DUMMYFUNCTION("googletranslate(D879,""id"",""en"")"),"The money has run out of PPKM, it is still ongoing, it is reported until the end of July, the school book, the child must be purchased for food, should you eat the work, it's not working, God, God, it's very good")</f>
        <v>The money has run out of PPKM, it is still ongoing, it is reported until the end of July, the school book, the child must be purchased for food, should you eat the work, it's not working, God, God, it's very good</v>
      </c>
    </row>
    <row r="880" ht="15.75" customHeight="1">
      <c r="A880" s="2">
        <v>879.0</v>
      </c>
      <c r="B880" s="5" t="s">
        <v>1586</v>
      </c>
      <c r="C880" s="6">
        <v>3.0</v>
      </c>
      <c r="D880" s="9" t="s">
        <v>1587</v>
      </c>
      <c r="E880" s="8" t="str">
        <f>IFERROR(__xludf.DUMMYFUNCTION("googletranslate(D880,""id"",""en"")"),"Sick &amp; amp; Died during the Majority PPKM must contract before PPKMDGN PPKM is expected to decrease the number of transmission, the effect is just a few weeks after PPKM.")</f>
        <v>Sick &amp; amp; Died during the Majority PPKM must contract before PPKMDGN PPKM is expected to decrease the number of transmission, the effect is just a few weeks after PPKM.</v>
      </c>
    </row>
    <row r="881" ht="15.75" customHeight="1">
      <c r="A881" s="2">
        <v>880.0</v>
      </c>
      <c r="B881" s="5" t="s">
        <v>1588</v>
      </c>
      <c r="C881" s="6">
        <v>1.0</v>
      </c>
      <c r="D881" s="7" t="s">
        <v>1588</v>
      </c>
      <c r="E881" s="8" t="str">
        <f>IFERROR(__xludf.DUMMYFUNCTION("googletranslate(D881,""id"",""en"")"),"Effective PPKM? Kaga.")</f>
        <v>Effective PPKM? Kaga.</v>
      </c>
    </row>
    <row r="882" ht="15.75" customHeight="1">
      <c r="A882" s="2">
        <v>881.0</v>
      </c>
      <c r="B882" s="5" t="s">
        <v>1589</v>
      </c>
      <c r="C882" s="6">
        <v>1.0</v>
      </c>
      <c r="D882" s="7" t="s">
        <v>1590</v>
      </c>
      <c r="E882" s="8" t="str">
        <f>IFERROR(__xludf.DUMMYFUNCTION("googletranslate(D882,""id"",""en"")"),"Who is more reasonable rebels PPKM? People who are taught by pandemics with cat rice? Or people who since the beginning of the year asked for flights from China, Spy Virus did not enter?")</f>
        <v>Who is more reasonable rebels PPKM? People who are taught by pandemics with cat rice? Or people who since the beginning of the year asked for flights from China, Spy Virus did not enter?</v>
      </c>
    </row>
    <row r="883" ht="15.75" customHeight="1">
      <c r="A883" s="2">
        <v>882.0</v>
      </c>
      <c r="B883" s="5" t="s">
        <v>1591</v>
      </c>
      <c r="C883" s="6">
        <v>1.0</v>
      </c>
      <c r="D883" s="7" t="s">
        <v>1592</v>
      </c>
      <c r="E883" s="8" t="str">
        <f>IFERROR(__xludf.DUMMYFUNCTION("googletranslate(D883,""id"",""en"")"),"Bandung merchant alliance: kill us all if there is a ppkm volume")</f>
        <v>Bandung merchant alliance: kill us all if there is a ppkm volume</v>
      </c>
    </row>
    <row r="884" ht="15.75" customHeight="1">
      <c r="A884" s="2">
        <v>883.0</v>
      </c>
      <c r="B884" s="5" t="s">
        <v>1593</v>
      </c>
      <c r="C884" s="6">
        <v>2.0</v>
      </c>
      <c r="D884" s="9" t="s">
        <v>1594</v>
      </c>
      <c r="E884" s="8" t="str">
        <f>IFERROR(__xludf.DUMMYFUNCTION("googletranslate(D884,""id"",""en"")"),"Waaahh wait for the nasgor anyway, this is it so that you just like it, if it's finished the ppkm if I just got it from me wkwkwk")</f>
        <v>Waaahh wait for the nasgor anyway, this is it so that you just like it, if it's finished the ppkm if I just got it from me wkwkwk</v>
      </c>
    </row>
    <row r="885" ht="15.75" customHeight="1">
      <c r="A885" s="2">
        <v>884.0</v>
      </c>
      <c r="B885" s="5" t="s">
        <v>1595</v>
      </c>
      <c r="C885" s="6">
        <v>2.0</v>
      </c>
      <c r="D885" s="7" t="s">
        <v>1596</v>
      </c>
      <c r="E885" s="8" t="str">
        <f>IFERROR(__xludf.DUMMYFUNCTION("googletranslate(D885,""id"",""en"")"),"PPKM accelerated, mo road")</f>
        <v>PPKM accelerated, mo road</v>
      </c>
    </row>
    <row r="886" ht="15.75" customHeight="1">
      <c r="A886" s="2">
        <v>885.0</v>
      </c>
      <c r="B886" s="5" t="s">
        <v>1597</v>
      </c>
      <c r="C886" s="6">
        <v>2.0</v>
      </c>
      <c r="D886" s="7" t="s">
        <v>1598</v>
      </c>
      <c r="E886" s="8" t="str">
        <f>IFERROR(__xludf.DUMMYFUNCTION("googletranslate(D886,""id"",""en"")"),"PPKM: Musician singer Menggangthrowback to One Year in Atmosphere Bandung. ""As you ask"" - Chrisye")</f>
        <v>PPKM: Musician singer Menggangthrowback to One Year in Atmosphere Bandung. "As you ask" - Chrisye</v>
      </c>
    </row>
    <row r="887" ht="15.75" customHeight="1">
      <c r="A887" s="2">
        <v>886.0</v>
      </c>
      <c r="B887" s="5" t="s">
        <v>1599</v>
      </c>
      <c r="C887" s="6">
        <v>1.0</v>
      </c>
      <c r="D887" s="7" t="s">
        <v>1600</v>
      </c>
      <c r="E887" s="8" t="str">
        <f>IFERROR(__xludf.DUMMYFUNCTION("googletranslate(D887,""id"",""en"")"),"Ppkm aje pade bangkrutrangorang pade sewotgimane lockdown?")</f>
        <v>Ppkm aje pade bangkrutrangorang pade sewotgimane lockdown?</v>
      </c>
    </row>
    <row r="888" ht="15.75" customHeight="1">
      <c r="A888" s="2">
        <v>887.0</v>
      </c>
      <c r="B888" s="5" t="s">
        <v>1601</v>
      </c>
      <c r="C888" s="6">
        <v>1.0</v>
      </c>
      <c r="D888" s="9" t="s">
        <v>1602</v>
      </c>
      <c r="E888" s="8" t="str">
        <f>IFERROR(__xludf.DUMMYFUNCTION("googletranslate(D888,""id"",""en"")"),"The emergency ppkm is just a case of skyrocketing, if you have an ordinary PPKM that has been proven to fail ... yeah, if it's a pandemic, if it's not expensive")</f>
        <v>The emergency ppkm is just a case of skyrocketing, if you have an ordinary PPKM that has been proven to fail ... yeah, if it's a pandemic, if it's not expensive</v>
      </c>
    </row>
    <row r="889" ht="15.75" customHeight="1">
      <c r="A889" s="2">
        <v>888.0</v>
      </c>
      <c r="B889" s="5" t="s">
        <v>1603</v>
      </c>
      <c r="C889" s="6">
        <v>2.0</v>
      </c>
      <c r="D889" s="9" t="s">
        <v>1604</v>
      </c>
      <c r="E889" s="8" t="str">
        <f>IFERROR(__xludf.DUMMYFUNCTION("googletranslate(D889,""id"",""en"")"),"ready if ppkm finished wkwk")</f>
        <v>ready if ppkm finished wkwk</v>
      </c>
    </row>
    <row r="890" ht="15.75" customHeight="1">
      <c r="A890" s="2">
        <v>889.0</v>
      </c>
      <c r="B890" s="5" t="s">
        <v>1605</v>
      </c>
      <c r="C890" s="6">
        <v>1.0</v>
      </c>
      <c r="D890" s="7" t="s">
        <v>1606</v>
      </c>
      <c r="E890" s="8" t="str">
        <f>IFERROR(__xludf.DUMMYFUNCTION("googletranslate(D890,""id"",""en"")"),"This initial stage. Commissioner Soon Reaches Come on, Denny You Bisappkm - Slowly We Gently Death")</f>
        <v>This initial stage. Commissioner Soon Reaches Come on, Denny You Bisappkm - Slowly We Gently Death</v>
      </c>
    </row>
    <row r="891" ht="15.75" customHeight="1">
      <c r="A891" s="2">
        <v>890.0</v>
      </c>
      <c r="B891" s="5" t="s">
        <v>1607</v>
      </c>
      <c r="C891" s="6">
        <v>1.0</v>
      </c>
      <c r="D891" s="7" t="s">
        <v>1607</v>
      </c>
      <c r="E891" s="8" t="str">
        <f>IFERROR(__xludf.DUMMYFUNCTION("googletranslate(D891,""id"",""en"")"),"This is the ppkm and the ppkm lg .... the peler is good, it's good ... it's a ppkm injury ..ga bs everywhere it happens.")</f>
        <v>This is the ppkm and the ppkm lg .... the peler is good, it's good ... it's a ppkm injury ..ga bs everywhere it happens.</v>
      </c>
    </row>
    <row r="892" ht="15.75" customHeight="1">
      <c r="A892" s="2">
        <v>891.0</v>
      </c>
      <c r="B892" s="5" t="s">
        <v>1608</v>
      </c>
      <c r="C892" s="6">
        <v>2.0</v>
      </c>
      <c r="D892" s="9" t="s">
        <v>1609</v>
      </c>
      <c r="E892" s="8" t="str">
        <f>IFERROR(__xludf.DUMMYFUNCTION("googletranslate(D892,""id"",""en"")"),"Tumben the old stock photo of Pak in June before the emergency PPKM right?")</f>
        <v>Tumben the old stock photo of Pak in June before the emergency PPKM right?</v>
      </c>
    </row>
    <row r="893" ht="15.75" customHeight="1">
      <c r="A893" s="2">
        <v>892.0</v>
      </c>
      <c r="B893" s="5" t="s">
        <v>1610</v>
      </c>
      <c r="C893" s="6">
        <v>1.0</v>
      </c>
      <c r="D893" s="9" t="s">
        <v>1611</v>
      </c>
      <c r="E893" s="8" t="str">
        <f>IFERROR(__xludf.DUMMYFUNCTION("googletranslate(D893,""id"",""en"")"),"Psbb can't be slacaikan the plague, appears ppkm, the conspts sma aj, we don't know the result of the result of the high school, the victim ursan the stomach lgi, which is the one who pnya monthly payroll gatrlalu kna dampk, but for the kya pawa bro, kya "&amp;"is offered "" Mti because of the plague or because of the klparan? """)</f>
        <v>Psbb can't be slacaikan the plague, appears ppkm, the conspts sma aj, we don't know the result of the result of the high school, the victim ursan the stomach lgi, which is the one who pnya monthly payroll gatrlalu kna dampk, but for the kya pawa bro, kya is offered " Mti because of the plague or because of the klparan? "</v>
      </c>
    </row>
    <row r="894" ht="15.75" customHeight="1">
      <c r="A894" s="2">
        <v>893.0</v>
      </c>
      <c r="B894" s="5" t="s">
        <v>1612</v>
      </c>
      <c r="C894" s="6">
        <v>2.0</v>
      </c>
      <c r="D894" s="9" t="s">
        <v>1613</v>
      </c>
      <c r="E894" s="8" t="str">
        <f>IFERROR(__xludf.DUMMYFUNCTION("googletranslate(D894,""id"",""en"")"),"Currently if you want to travel long distance trains during the period of restrictions on the Emergency of Community Activities (PPKM) on the date of $ Number $ July, it still must show the first vaccine card. However, specifically for prospective passeng"&amp;"ers who are not permitted | 1")</f>
        <v>Currently if you want to travel long distance trains during the period of restrictions on the Emergency of Community Activities (PPKM) on the date of $ Number $ July, it still must show the first vaccine card. However, specifically for prospective passengers who are not permitted | 1</v>
      </c>
    </row>
    <row r="895" ht="15.75" customHeight="1">
      <c r="A895" s="2">
        <v>894.0</v>
      </c>
      <c r="B895" s="5" t="s">
        <v>1614</v>
      </c>
      <c r="C895" s="6">
        <v>2.0</v>
      </c>
      <c r="D895" s="9" t="s">
        <v>1615</v>
      </c>
      <c r="E895" s="8" t="str">
        <f>IFERROR(__xludf.DUMMYFUNCTION("googletranslate(D895,""id"",""en"")"),"I'm waiting for the Drakor, Id TP is late, usually the weekly holidays why it's been a long time ago")</f>
        <v>I'm waiting for the Drakor, Id TP is late, usually the weekly holidays why it's been a long time ago</v>
      </c>
    </row>
    <row r="896" ht="15.75" customHeight="1">
      <c r="A896" s="2">
        <v>895.0</v>
      </c>
      <c r="B896" s="5" t="s">
        <v>1616</v>
      </c>
      <c r="C896" s="6">
        <v>2.0</v>
      </c>
      <c r="D896" s="7" t="s">
        <v>1617</v>
      </c>
      <c r="E896" s="8" t="str">
        <f>IFERROR(__xludf.DUMMYFUNCTION("googletranslate(D896,""id"",""en"")"),"He heheh ppkm dperpanjlg")</f>
        <v>He heheh ppkm dperpanjlg</v>
      </c>
    </row>
    <row r="897" ht="15.75" customHeight="1">
      <c r="A897" s="2">
        <v>896.0</v>
      </c>
      <c r="B897" s="5" t="s">
        <v>1618</v>
      </c>
      <c r="C897" s="6">
        <v>2.0</v>
      </c>
      <c r="D897" s="7" t="s">
        <v>1618</v>
      </c>
      <c r="E897" s="8" t="str">
        <f>IFERROR(__xludf.DUMMYFUNCTION("googletranslate(D897,""id"",""en"")"),"Right ppkm rich gini even want a fried bird siantar")</f>
        <v>Right ppkm rich gini even want a fried bird siantar</v>
      </c>
    </row>
    <row r="898" ht="15.75" customHeight="1">
      <c r="A898" s="2">
        <v>897.0</v>
      </c>
      <c r="B898" s="5" t="s">
        <v>1619</v>
      </c>
      <c r="C898" s="6">
        <v>1.0</v>
      </c>
      <c r="D898" s="7" t="s">
        <v>1620</v>
      </c>
      <c r="E898" s="8" t="str">
        <f>IFERROR(__xludf.DUMMYFUNCTION("googletranslate(D898,""id"",""en"")"),"this ppkm actually moved a smaller stuck")</f>
        <v>this ppkm actually moved a smaller stuck</v>
      </c>
    </row>
    <row r="899" ht="15.75" customHeight="1">
      <c r="A899" s="2">
        <v>898.0</v>
      </c>
      <c r="B899" s="5" t="s">
        <v>1621</v>
      </c>
      <c r="C899" s="6">
        <v>2.0</v>
      </c>
      <c r="D899" s="9" t="s">
        <v>1621</v>
      </c>
      <c r="E899" s="8" t="str">
        <f>IFERROR(__xludf.DUMMYFUNCTION("googletranslate(D899,""id"",""en"")"),"PPKM is extended, please want to want to felt to the original Dufan has never been")</f>
        <v>PPKM is extended, please want to want to felt to the original Dufan has never been</v>
      </c>
    </row>
    <row r="900" ht="15.75" customHeight="1">
      <c r="A900" s="2">
        <v>899.0</v>
      </c>
      <c r="B900" s="5" t="s">
        <v>1622</v>
      </c>
      <c r="C900" s="6">
        <v>2.0</v>
      </c>
      <c r="D900" s="9" t="s">
        <v>1623</v>
      </c>
      <c r="E900" s="8" t="str">
        <f>IFERROR(__xludf.DUMMYFUNCTION("googletranslate(D900,""id"",""en"")"),"God willing, after leaving the merchandise detainees getting sold harder ... it's possible to change asep PPKM")</f>
        <v>God willing, after leaving the merchandise detainees getting sold harder ... it's possible to change asep PPKM</v>
      </c>
    </row>
    <row r="901" ht="15.75" customHeight="1">
      <c r="A901" s="2">
        <v>900.0</v>
      </c>
      <c r="B901" s="5" t="s">
        <v>1624</v>
      </c>
      <c r="C901" s="6">
        <v>1.0</v>
      </c>
      <c r="D901" s="7" t="s">
        <v>1624</v>
      </c>
      <c r="E901" s="8" t="str">
        <f>IFERROR(__xludf.DUMMYFUNCTION("googletranslate(D901,""id"",""en"")"),"PPKM is extended, he said so that it didn't go to the immune tanks to be strong, so that strong immune must be happy. Then what news is the same as someone who gets laid off at home, selling them stressed, confused, dizzy survival is not happy. oh a posit"&amp;"ive pantes.")</f>
        <v>PPKM is extended, he said so that it didn't go to the immune tanks to be strong, so that strong immune must be happy. Then what news is the same as someone who gets laid off at home, selling them stressed, confused, dizzy survival is not happy. oh a positive pantes.</v>
      </c>
    </row>
    <row r="902" ht="15.75" customHeight="1">
      <c r="A902" s="2">
        <v>901.0</v>
      </c>
      <c r="B902" s="5" t="s">
        <v>1625</v>
      </c>
      <c r="C902" s="6">
        <v>1.0</v>
      </c>
      <c r="D902" s="7" t="s">
        <v>1626</v>
      </c>
      <c r="E902" s="8" t="str">
        <f>IFERROR(__xludf.DUMMYFUNCTION("googletranslate(D902,""id"",""en"")"),"How do you don't renew the contents of the brain like this ... ??")</f>
        <v>How do you don't renew the contents of the brain like this ... ??</v>
      </c>
    </row>
    <row r="903" ht="15.75" customHeight="1">
      <c r="A903" s="2">
        <v>902.0</v>
      </c>
      <c r="B903" s="5" t="s">
        <v>1627</v>
      </c>
      <c r="C903" s="6">
        <v>2.0</v>
      </c>
      <c r="D903" s="7" t="s">
        <v>1627</v>
      </c>
      <c r="E903" s="8" t="str">
        <f>IFERROR(__xludf.DUMMYFUNCTION("googletranslate(D903,""id"",""en"")"),"PPKM Malang Regency")</f>
        <v>PPKM Malang Regency</v>
      </c>
    </row>
    <row r="904" ht="15.75" customHeight="1">
      <c r="A904" s="2">
        <v>903.0</v>
      </c>
      <c r="B904" s="5" t="s">
        <v>1628</v>
      </c>
      <c r="C904" s="6">
        <v>1.0</v>
      </c>
      <c r="D904" s="9" t="s">
        <v>1629</v>
      </c>
      <c r="E904" s="8" t="str">
        <f>IFERROR(__xludf.DUMMYFUNCTION("googletranslate(D904,""id"",""en"")"),"Wake up in the morning get the news of the Cancel jobs used to be because of PPKM, still grateful to replain using a mask")</f>
        <v>Wake up in the morning get the news of the Cancel jobs used to be because of PPKM, still grateful to replain using a mask</v>
      </c>
    </row>
    <row r="905" ht="15.75" customHeight="1">
      <c r="A905" s="2">
        <v>904.0</v>
      </c>
      <c r="B905" s="5" t="s">
        <v>1630</v>
      </c>
      <c r="C905" s="6">
        <v>2.0</v>
      </c>
      <c r="D905" s="9" t="s">
        <v>1631</v>
      </c>
      <c r="E905" s="8" t="str">
        <f>IFERROR(__xludf.DUMMYFUNCTION("googletranslate(D905,""id"",""en"")"),"Hello min, update the KAI Commuter policy during this extended PPKM, is it still the same as the previous policy?")</f>
        <v>Hello min, update the KAI Commuter policy during this extended PPKM, is it still the same as the previous policy?</v>
      </c>
    </row>
    <row r="906" ht="15.75" customHeight="1">
      <c r="A906" s="2">
        <v>905.0</v>
      </c>
      <c r="B906" s="5" t="s">
        <v>1632</v>
      </c>
      <c r="C906" s="6">
        <v>1.0</v>
      </c>
      <c r="D906" s="7" t="s">
        <v>1633</v>
      </c>
      <c r="E906" s="8" t="str">
        <f>IFERROR(__xludf.DUMMYFUNCTION("googletranslate(D906,""id"",""en"")"),"Kwkwkwkww exactly the situation ama ppkm - dizzy our nutmeg muter2")</f>
        <v>Kwkwkwkww exactly the situation ama ppkm - dizzy our nutmeg muter2</v>
      </c>
    </row>
    <row r="907" ht="15.75" customHeight="1">
      <c r="A907" s="2">
        <v>906.0</v>
      </c>
      <c r="B907" s="5" t="s">
        <v>1634</v>
      </c>
      <c r="C907" s="6">
        <v>2.0</v>
      </c>
      <c r="D907" s="10" t="s">
        <v>1635</v>
      </c>
      <c r="E907" s="8" t="str">
        <f>IFERROR(__xludf.DUMMYFUNCTION("googletranslate(D907,""id"",""en"")"),"Again PPKM.")</f>
        <v>Again PPKM.</v>
      </c>
    </row>
    <row r="908" ht="15.75" customHeight="1">
      <c r="A908" s="2">
        <v>907.0</v>
      </c>
      <c r="B908" s="5" t="s">
        <v>1636</v>
      </c>
      <c r="C908" s="6">
        <v>1.0</v>
      </c>
      <c r="D908" s="7" t="s">
        <v>1637</v>
      </c>
      <c r="E908" s="8" t="str">
        <f>IFERROR(__xludf.DUMMYFUNCTION("googletranslate(D908,""id"",""en"")"),"When the people dilemma with PPKM policies, officials are engrossed in watching soap operas ??")</f>
        <v>When the people dilemma with PPKM policies, officials are engrossed in watching soap operas ??</v>
      </c>
    </row>
    <row r="909" ht="15.75" customHeight="1">
      <c r="A909" s="2">
        <v>908.0</v>
      </c>
      <c r="B909" s="5" t="s">
        <v>1638</v>
      </c>
      <c r="C909" s="6">
        <v>1.0</v>
      </c>
      <c r="D909" s="9" t="s">
        <v>1639</v>
      </c>
      <c r="E909" s="8" t="str">
        <f>IFERROR(__xludf.DUMMYFUNCTION("googletranslate(D909,""id"",""en"")"),"What is the PPKM? Your economy is still fine? Then, PPKM info wants to extend more weeks")</f>
        <v>What is the PPKM? Your economy is still fine? Then, PPKM info wants to extend more weeks</v>
      </c>
    </row>
    <row r="910" ht="15.75" customHeight="1">
      <c r="A910" s="2">
        <v>909.0</v>
      </c>
      <c r="B910" s="5" t="s">
        <v>1640</v>
      </c>
      <c r="C910" s="6">
        <v>1.0</v>
      </c>
      <c r="D910" s="9" t="s">
        <v>1640</v>
      </c>
      <c r="E910" s="8" t="str">
        <f>IFERROR(__xludf.DUMMYFUNCTION("googletranslate(D910,""id"",""en"")"),"Lu support PPKM because Lu is rich in Jing's treasure, after returning to Lu Diem, you can still choose Lu, you want to eat what SAT! If you don't like the person who breaks at least Diem Tot! Unless it's how to give you just up to you want to kick until "&amp;"Lampung too please")</f>
        <v>Lu support PPKM because Lu is rich in Jing's treasure, after returning to Lu Diem, you can still choose Lu, you want to eat what SAT! If you don't like the person who breaks at least Diem Tot! Unless it's how to give you just up to you want to kick until Lampung too please</v>
      </c>
    </row>
    <row r="911" ht="15.75" customHeight="1">
      <c r="A911" s="2">
        <v>910.0</v>
      </c>
      <c r="B911" s="5" t="s">
        <v>1641</v>
      </c>
      <c r="C911" s="6">
        <v>1.0</v>
      </c>
      <c r="D911" s="9" t="s">
        <v>1642</v>
      </c>
      <c r="E911" s="8" t="str">
        <f>IFERROR(__xludf.DUMMYFUNCTION("googletranslate(D911,""id"",""en"")"),"Demo so that vaccines are free, eh already given free instead don't want to be vaccinated, taeak2 lockdown, eh new ppkm just get angry ...")</f>
        <v>Demo so that vaccines are free, eh already given free instead don't want to be vaccinated, taeak2 lockdown, eh new ppkm just get angry ...</v>
      </c>
    </row>
    <row r="912" ht="15.75" customHeight="1">
      <c r="A912" s="2">
        <v>911.0</v>
      </c>
      <c r="B912" s="5" t="s">
        <v>1643</v>
      </c>
      <c r="C912" s="6">
        <v>1.0</v>
      </c>
      <c r="D912" s="7" t="s">
        <v>1644</v>
      </c>
      <c r="E912" s="8" t="str">
        <f>IFERROR(__xludf.DUMMYFUNCTION("googletranslate(D912,""id"",""en"")"),"Open exceeded the ppkm2 hours")</f>
        <v>Open exceeded the ppkm2 hours</v>
      </c>
    </row>
    <row r="913" ht="15.75" customHeight="1">
      <c r="A913" s="2">
        <v>912.0</v>
      </c>
      <c r="B913" s="5" t="s">
        <v>1645</v>
      </c>
      <c r="C913" s="6">
        <v>1.0</v>
      </c>
      <c r="D913" s="9" t="s">
        <v>1646</v>
      </c>
      <c r="E913" s="8" t="str">
        <f>IFERROR(__xludf.DUMMYFUNCTION("googletranslate(D913,""id"",""en"")"),"You set and follow the mobility of citizens you are on your state")</f>
        <v>You set and follow the mobility of citizens you are on your state</v>
      </c>
    </row>
    <row r="914" ht="15.75" customHeight="1">
      <c r="A914" s="2">
        <v>913.0</v>
      </c>
      <c r="B914" s="5" t="s">
        <v>1647</v>
      </c>
      <c r="C914" s="6">
        <v>1.0</v>
      </c>
      <c r="D914" s="7" t="s">
        <v>1648</v>
      </c>
      <c r="E914" s="8" t="str">
        <f>IFERROR(__xludf.DUMMYFUNCTION("googletranslate(D914,""id"",""en"")"),"More willing to pay Buzzerp than in bear the daily costs of the people during the PPKM")</f>
        <v>More willing to pay Buzzerp than in bear the daily costs of the people during the PPKM</v>
      </c>
    </row>
    <row r="915" ht="15.75" customHeight="1">
      <c r="A915" s="2">
        <v>914.0</v>
      </c>
      <c r="B915" s="5" t="s">
        <v>1649</v>
      </c>
      <c r="C915" s="6">
        <v>1.0</v>
      </c>
      <c r="D915" s="7" t="s">
        <v>1649</v>
      </c>
      <c r="E915" s="8" t="str">
        <f>IFERROR(__xludf.DUMMYFUNCTION("googletranslate(D915,""id"",""en"")"),"Hadeuhhh ppkm he said until the end of July money was not there yes God this is very alive")</f>
        <v>Hadeuhhh ppkm he said until the end of July money was not there yes God this is very alive</v>
      </c>
    </row>
    <row r="916" ht="15.75" customHeight="1">
      <c r="A916" s="2">
        <v>915.0</v>
      </c>
      <c r="B916" s="5" t="s">
        <v>1650</v>
      </c>
      <c r="C916" s="6">
        <v>2.0</v>
      </c>
      <c r="D916" s="7" t="s">
        <v>1650</v>
      </c>
      <c r="E916" s="8" t="str">
        <f>IFERROR(__xludf.DUMMYFUNCTION("googletranslate(D916,""id"",""en"")"),"PSBB bar (ever sequence tipped dispersal) Saiki instead PPKM (never attention then disappears)")</f>
        <v>PSBB bar (ever sequence tipped dispersal) Saiki instead PPKM (never attention then disappears)</v>
      </c>
    </row>
    <row r="917" ht="15.75" customHeight="1">
      <c r="A917" s="2">
        <v>916.0</v>
      </c>
      <c r="B917" s="5" t="s">
        <v>1651</v>
      </c>
      <c r="C917" s="6">
        <v>1.0</v>
      </c>
      <c r="D917" s="9" t="s">
        <v>1652</v>
      </c>
      <c r="E917" s="8" t="str">
        <f>IFERROR(__xludf.DUMMYFUNCTION("googletranslate(D917,""id"",""en"")"),"Can't it be forbidden? Now again the ppkm trs you violates it is strange. If it comes out, it's urgent, please, but come out just to hang out? Waduh mending at home if it's just playing with friends. dah mba obedient rules now just don't have a lot of por"&amp;"k behavior")</f>
        <v>Can't it be forbidden? Now again the ppkm trs you violates it is strange. If it comes out, it's urgent, please, but come out just to hang out? Waduh mending at home if it's just playing with friends. dah mba obedient rules now just don't have a lot of pork behavior</v>
      </c>
    </row>
    <row r="918" ht="15.75" customHeight="1">
      <c r="A918" s="2">
        <v>917.0</v>
      </c>
      <c r="B918" s="5" t="s">
        <v>1653</v>
      </c>
      <c r="C918" s="6">
        <v>1.0</v>
      </c>
      <c r="D918" s="9" t="s">
        <v>1654</v>
      </c>
      <c r="E918" s="8" t="str">
        <f>IFERROR(__xludf.DUMMYFUNCTION("googletranslate(D918,""id"",""en"")"),"MLLU PPKM, then China who comes to Indonesia GMN ...?")</f>
        <v>MLLU PPKM, then China who comes to Indonesia GMN ...?</v>
      </c>
    </row>
    <row r="919" ht="15.75" customHeight="1">
      <c r="A919" s="2">
        <v>918.0</v>
      </c>
      <c r="B919" s="5" t="s">
        <v>1655</v>
      </c>
      <c r="C919" s="6">
        <v>2.0</v>
      </c>
      <c r="D919" s="7" t="s">
        <v>1656</v>
      </c>
      <c r="E919" s="8" t="str">
        <f>IFERROR(__xludf.DUMMYFUNCTION("googletranslate(D919,""id"",""en"")"),"Nantj Cobain QIL After PPKM")</f>
        <v>Nantj Cobain QIL After PPKM</v>
      </c>
    </row>
    <row r="920" ht="15.75" customHeight="1">
      <c r="A920" s="2">
        <v>919.0</v>
      </c>
      <c r="B920" s="5" t="s">
        <v>1657</v>
      </c>
      <c r="C920" s="6">
        <v>3.0</v>
      </c>
      <c r="D920" s="7" t="s">
        <v>1658</v>
      </c>
      <c r="E920" s="8" t="str">
        <f>IFERROR(__xludf.DUMMYFUNCTION("googletranslate(D920,""id"",""en"")"),"Support Micro PPKM")</f>
        <v>Support Micro PPKM</v>
      </c>
    </row>
    <row r="921" ht="15.75" customHeight="1">
      <c r="A921" s="2">
        <v>920.0</v>
      </c>
      <c r="B921" s="5" t="s">
        <v>1659</v>
      </c>
      <c r="C921" s="6">
        <v>2.0</v>
      </c>
      <c r="D921" s="7" t="s">
        <v>1659</v>
      </c>
      <c r="E921" s="8" t="str">
        <f>IFERROR(__xludf.DUMMYFUNCTION("googletranslate(D921,""id"",""en"")"),"PPKM UDH becomes extended ??")</f>
        <v>PPKM UDH becomes extended ??</v>
      </c>
    </row>
    <row r="922" ht="15.75" customHeight="1">
      <c r="A922" s="2">
        <v>921.0</v>
      </c>
      <c r="B922" s="5" t="s">
        <v>1660</v>
      </c>
      <c r="C922" s="6">
        <v>1.0</v>
      </c>
      <c r="D922" s="9" t="s">
        <v>1661</v>
      </c>
      <c r="E922" s="8" t="str">
        <f>IFERROR(__xludf.DUMMYFUNCTION("googletranslate(D922,""id"",""en"")"),"Instead of installment PSBB. Now PPKM ??? Ngojek is limited to its movements, installments in the eligibility. The noise of SM Matel starts a lot where2. Aranjing")</f>
        <v>Instead of installment PSBB. Now PPKM ??? Ngojek is limited to its movements, installments in the eligibility. The noise of SM Matel starts a lot where2. Aranjing</v>
      </c>
    </row>
    <row r="923" ht="15.75" customHeight="1">
      <c r="A923" s="2">
        <v>922.0</v>
      </c>
      <c r="B923" s="5" t="s">
        <v>1662</v>
      </c>
      <c r="C923" s="6">
        <v>2.0</v>
      </c>
      <c r="D923" s="7" t="s">
        <v>1663</v>
      </c>
      <c r="E923" s="8" t="str">
        <f>IFERROR(__xludf.DUMMYFUNCTION("googletranslate(D923,""id"",""en"")"),"Waiting for PPKM dong kakk")</f>
        <v>Waiting for PPKM dong kakk</v>
      </c>
    </row>
    <row r="924" ht="15.75" customHeight="1">
      <c r="A924" s="2">
        <v>923.0</v>
      </c>
      <c r="B924" s="5" t="s">
        <v>1664</v>
      </c>
      <c r="C924" s="6">
        <v>1.0</v>
      </c>
      <c r="D924" s="7" t="s">
        <v>1665</v>
      </c>
      <c r="E924" s="8" t="str">
        <f>IFERROR(__xludf.DUMMYFUNCTION("googletranslate(D924,""id"",""en"")"),"In my eyes ... if there is a rotten planning then strangers at automatic blurry asking there is a big problem ... more visible")</f>
        <v>In my eyes ... if there is a rotten planning then strangers at automatic blurry asking there is a big problem ... more visible</v>
      </c>
    </row>
    <row r="925" ht="15.75" customHeight="1">
      <c r="A925" s="2">
        <v>924.0</v>
      </c>
      <c r="B925" s="5" t="s">
        <v>1666</v>
      </c>
      <c r="C925" s="6">
        <v>1.0</v>
      </c>
      <c r="D925" s="7" t="s">
        <v>1667</v>
      </c>
      <c r="E925" s="8" t="str">
        <f>IFERROR(__xludf.DUMMYFUNCTION("googletranslate(D925,""id"",""en"")"),"The President gives an example of violating PPKM rules free of punishment. Please follow the footsteps, if you caught Show the picture and video ...")</f>
        <v>The President gives an example of violating PPKM rules free of punishment. Please follow the footsteps, if you caught Show the picture and video ...</v>
      </c>
    </row>
    <row r="926" ht="15.75" customHeight="1">
      <c r="A926" s="2">
        <v>925.0</v>
      </c>
      <c r="B926" s="5" t="s">
        <v>1668</v>
      </c>
      <c r="C926" s="6">
        <v>1.0</v>
      </c>
      <c r="D926" s="7" t="s">
        <v>1668</v>
      </c>
      <c r="E926" s="8" t="str">
        <f>IFERROR(__xludf.DUMMYFUNCTION("googletranslate(D926,""id"",""en"")"),"Why does the ppkm not right I'm hectic2 it comes to a presentation of the metpen si")</f>
        <v>Why does the ppkm not right I'm hectic2 it comes to a presentation of the metpen si</v>
      </c>
    </row>
    <row r="927" ht="15.75" customHeight="1">
      <c r="A927" s="2">
        <v>926.0</v>
      </c>
      <c r="B927" s="5" t="s">
        <v>1669</v>
      </c>
      <c r="C927" s="6">
        <v>1.0</v>
      </c>
      <c r="D927" s="7" t="s">
        <v>1670</v>
      </c>
      <c r="E927" s="8" t="str">
        <f>IFERROR(__xludf.DUMMYFUNCTION("googletranslate(D927,""id"",""en"")"),"I hold it, it can't be kmn2 except to the office, shopping, SM jogging thinly on the outdoor area of ​​BRG Max $ Number $ org (TTP Prokes). O Allah smg rather contributed to a little. But kl more than July again, ppkm, sorry2, sir, my fortune is in the ev"&amp;"ent at the hands of you")</f>
        <v>I hold it, it can't be kmn2 except to the office, shopping, SM jogging thinly on the outdoor area of ​​BRG Max $ Number $ org (TTP Prokes). O Allah smg rather contributed to a little. But kl more than July again, ppkm, sorry2, sir, my fortune is in the event at the hands of you</v>
      </c>
    </row>
    <row r="928" ht="15.75" customHeight="1">
      <c r="A928" s="2">
        <v>927.0</v>
      </c>
      <c r="B928" s="5" t="s">
        <v>1671</v>
      </c>
      <c r="C928" s="6">
        <v>1.0</v>
      </c>
      <c r="D928" s="9" t="s">
        <v>1672</v>
      </c>
      <c r="E928" s="8" t="str">
        <f>IFERROR(__xludf.DUMMYFUNCTION("googletranslate(D928,""id"",""en"")"),"Actually, if you see it, now the people aren't very anti2, very sm ""lockdown"". In fact, it can be a total lockdown, not the PPKM or the policy of ""under"". Because KL Lockdown refers to the Government Law responsible for feeding etc. According to Msy's"&amp;" demands")</f>
        <v>Actually, if you see it, now the people aren't very anti2, very sm "lockdown". In fact, it can be a total lockdown, not the PPKM or the policy of "under". Because KL Lockdown refers to the Government Law responsible for feeding etc. According to Msy's demands</v>
      </c>
    </row>
    <row r="929" ht="15.75" customHeight="1">
      <c r="A929" s="2">
        <v>928.0</v>
      </c>
      <c r="B929" s="5" t="s">
        <v>1673</v>
      </c>
      <c r="C929" s="6">
        <v>1.0</v>
      </c>
      <c r="D929" s="9" t="s">
        <v>1674</v>
      </c>
      <c r="E929" s="8" t="str">
        <f>IFERROR(__xludf.DUMMYFUNCTION("googletranslate(D929,""id"",""en"")"),"The first thousandth salary yesterday before PPKM, just once based on the GRG PPKM")</f>
        <v>The first thousandth salary yesterday before PPKM, just once based on the GRG PPKM</v>
      </c>
    </row>
    <row r="930" ht="15.75" customHeight="1">
      <c r="A930" s="2">
        <v>929.0</v>
      </c>
      <c r="B930" s="5" t="s">
        <v>1675</v>
      </c>
      <c r="C930" s="6">
        <v>1.0</v>
      </c>
      <c r="D930" s="7" t="s">
        <v>1676</v>
      </c>
      <c r="E930" s="8" t="str">
        <f>IFERROR(__xludf.DUMMYFUNCTION("googletranslate(D930,""id"",""en"")"),"I am more disappointed by Mr. Extend PPKM, it's just it")</f>
        <v>I am more disappointed by Mr. Extend PPKM, it's just it</v>
      </c>
    </row>
    <row r="931" ht="15.75" customHeight="1">
      <c r="A931" s="2">
        <v>930.0</v>
      </c>
      <c r="B931" s="5" t="s">
        <v>1677</v>
      </c>
      <c r="C931" s="6">
        <v>1.0</v>
      </c>
      <c r="D931" s="7" t="s">
        <v>1678</v>
      </c>
      <c r="E931" s="8" t="str">
        <f>IFERROR(__xludf.DUMMYFUNCTION("googletranslate(D931,""id"",""en"")"),"PPKM will only be effective if the economy is subject to the same, not the lower economy that makes the coar the lower economy")</f>
        <v>PPKM will only be effective if the economy is subject to the same, not the lower economy that makes the coar the lower economy</v>
      </c>
    </row>
    <row r="932" ht="15.75" customHeight="1">
      <c r="A932" s="2">
        <v>931.0</v>
      </c>
      <c r="B932" s="5" t="s">
        <v>1679</v>
      </c>
      <c r="C932" s="6">
        <v>1.0</v>
      </c>
      <c r="D932" s="9" t="s">
        <v>1680</v>
      </c>
      <c r="E932" s="8" t="str">
        <f>IFERROR(__xludf.DUMMYFUNCTION("googletranslate(D932,""id"",""en"")"),"Effective days in the period of PPKM are the pubgan pubgan bastard")</f>
        <v>Effective days in the period of PPKM are the pubgan pubgan bastard</v>
      </c>
    </row>
    <row r="933" ht="15.75" customHeight="1">
      <c r="A933" s="2">
        <v>932.0</v>
      </c>
      <c r="B933" s="5" t="s">
        <v>1681</v>
      </c>
      <c r="C933" s="6">
        <v>2.0</v>
      </c>
      <c r="D933" s="7" t="s">
        <v>1681</v>
      </c>
      <c r="E933" s="8" t="str">
        <f>IFERROR(__xludf.DUMMYFUNCTION("googletranslate(D933,""id"",""en"")"),"PPKM = never attention later disappeared.")</f>
        <v>PPKM = never attention later disappeared.</v>
      </c>
    </row>
    <row r="934" ht="15.75" customHeight="1">
      <c r="A934" s="2">
        <v>933.0</v>
      </c>
      <c r="B934" s="5" t="s">
        <v>1682</v>
      </c>
      <c r="C934" s="6">
        <v>1.0</v>
      </c>
      <c r="D934" s="7" t="s">
        <v>1683</v>
      </c>
      <c r="E934" s="8" t="str">
        <f>IFERROR(__xludf.DUMMYFUNCTION("googletranslate(D934,""id"",""en"")"),"PPKM is less effective Prevent Covid's spreading. His meaning upholds the discipline of public awareness, with the PPKM policy, less supported. Maybe it's better, let the ""yourself"" each who chose how to secure it in covid. His meaning: Building the awa"&amp;"reness of his discipline.")</f>
        <v>PPKM is less effective Prevent Covid's spreading. His meaning upholds the discipline of public awareness, with the PPKM policy, less supported. Maybe it's better, let the "yourself" each who chose how to secure it in covid. His meaning: Building the awareness of his discipline.</v>
      </c>
    </row>
    <row r="935" ht="15.75" customHeight="1">
      <c r="A935" s="2">
        <v>934.0</v>
      </c>
      <c r="B935" s="5" t="s">
        <v>1684</v>
      </c>
      <c r="C935" s="6">
        <v>1.0</v>
      </c>
      <c r="D935" s="9" t="s">
        <v>1685</v>
      </c>
      <c r="E935" s="8" t="str">
        <f>IFERROR(__xludf.DUMMYFUNCTION("googletranslate(D935,""id"",""en"")"),"The country has forgotten the doubt in the PPKM, it can only manage the people and beg for the people")</f>
        <v>The country has forgotten the doubt in the PPKM, it can only manage the people and beg for the people</v>
      </c>
    </row>
    <row r="936" ht="15.75" customHeight="1">
      <c r="A936" s="2">
        <v>935.0</v>
      </c>
      <c r="B936" s="5" t="s">
        <v>1686</v>
      </c>
      <c r="C936" s="6">
        <v>2.0</v>
      </c>
      <c r="D936" s="7" t="s">
        <v>1687</v>
      </c>
      <c r="E936" s="8" t="str">
        <f>IFERROR(__xludf.DUMMYFUNCTION("googletranslate(D936,""id"",""en"")"),"Also a ban on watching Indian Pelm or soap operas when the PPKM community")</f>
        <v>Also a ban on watching Indian Pelm or soap operas when the PPKM community</v>
      </c>
    </row>
    <row r="937" ht="15.75" customHeight="1">
      <c r="A937" s="2">
        <v>936.0</v>
      </c>
      <c r="B937" s="5" t="s">
        <v>1688</v>
      </c>
      <c r="C937" s="6">
        <v>2.0</v>
      </c>
      <c r="D937" s="7" t="s">
        <v>1689</v>
      </c>
      <c r="E937" s="8" t="str">
        <f>IFERROR(__xludf.DUMMYFUNCTION("googletranslate(D937,""id"",""en"")"),"PPKMPAGI morning thought married ...!")</f>
        <v>PPKMPAGI morning thought married ...!</v>
      </c>
    </row>
    <row r="938" ht="15.75" customHeight="1">
      <c r="A938" s="2">
        <v>937.0</v>
      </c>
      <c r="B938" s="5" t="s">
        <v>1690</v>
      </c>
      <c r="C938" s="6">
        <v>1.0</v>
      </c>
      <c r="D938" s="7" t="s">
        <v>1691</v>
      </c>
      <c r="E938" s="8" t="str">
        <f>IFERROR(__xludf.DUMMYFUNCTION("googletranslate(D938,""id"",""en"")"),"Thank you for making me hoream streaming video. Really a tense PPKM day.")</f>
        <v>Thank you for making me hoream streaming video. Really a tense PPKM day.</v>
      </c>
    </row>
    <row r="939" ht="15.75" customHeight="1">
      <c r="A939" s="2">
        <v>938.0</v>
      </c>
      <c r="B939" s="5" t="s">
        <v>1692</v>
      </c>
      <c r="C939" s="6">
        <v>2.0</v>
      </c>
      <c r="D939" s="7" t="s">
        <v>1692</v>
      </c>
      <c r="E939" s="8" t="str">
        <f>IFERROR(__xludf.DUMMYFUNCTION("googletranslate(D939,""id"",""en"")"),"PPKM finished, can you just go to Merapi?: ')")</f>
        <v>PPKM finished, can you just go to Merapi?: ')</v>
      </c>
    </row>
    <row r="940" ht="15.75" customHeight="1">
      <c r="A940" s="2">
        <v>939.0</v>
      </c>
      <c r="B940" s="5" t="s">
        <v>1693</v>
      </c>
      <c r="C940" s="6">
        <v>1.0</v>
      </c>
      <c r="D940" s="7" t="s">
        <v>1693</v>
      </c>
      <c r="E940" s="8" t="str">
        <f>IFERROR(__xludf.DUMMYFUNCTION("googletranslate(D940,""id"",""en"")"),"The shopee package is ppkm, it doesn't arrive at the day.")</f>
        <v>The shopee package is ppkm, it doesn't arrive at the day.</v>
      </c>
    </row>
    <row r="941" ht="15.75" customHeight="1">
      <c r="A941" s="2">
        <v>940.0</v>
      </c>
      <c r="B941" s="5" t="s">
        <v>1694</v>
      </c>
      <c r="C941" s="6">
        <v>1.0</v>
      </c>
      <c r="D941" s="7" t="s">
        <v>1695</v>
      </c>
      <c r="E941" s="8" t="str">
        <f>IFERROR(__xludf.DUMMYFUNCTION("googletranslate(D941,""id"",""en"")"),"Hopefully the community is obedient, supports &amp; amp; there is no one who is nyinyir.Apa if during a pandemic &amp; amp; Government Emergency PPKM policy guarantees: -The community who stopped his efforts were given the help of their needs. Vaccination program"&amp;"s, rapid test earrings &amp; free ampcr")</f>
        <v>Hopefully the community is obedient, supports &amp; amp; there is no one who is nyinyir.Apa if during a pandemic &amp; amp; Government Emergency PPKM policy guarantees: -The community who stopped his efforts were given the help of their needs. Vaccination programs, rapid test earrings &amp; free ampcr</v>
      </c>
    </row>
    <row r="942" ht="15.75" customHeight="1">
      <c r="A942" s="2">
        <v>941.0</v>
      </c>
      <c r="B942" s="5" t="s">
        <v>1696</v>
      </c>
      <c r="C942" s="6">
        <v>2.0</v>
      </c>
      <c r="D942" s="9" t="s">
        <v>1697</v>
      </c>
      <c r="E942" s="8" t="str">
        <f>IFERROR(__xludf.DUMMYFUNCTION("googletranslate(D942,""id"",""en"")"),"It's been a bit of this late ... * photo before Emergency PPKM")</f>
        <v>It's been a bit of this late ... * photo before Emergency PPKM</v>
      </c>
    </row>
    <row r="943" ht="15.75" customHeight="1">
      <c r="A943" s="2">
        <v>942.0</v>
      </c>
      <c r="B943" s="5" t="s">
        <v>1698</v>
      </c>
      <c r="C943" s="6">
        <v>2.0</v>
      </c>
      <c r="D943" s="9" t="s">
        <v>1699</v>
      </c>
      <c r="E943" s="8" t="str">
        <f>IFERROR(__xludf.DUMMYFUNCTION("googletranslate(D943,""id"",""en"")"),"PPKM: Want to Hug MU Kelonin")</f>
        <v>PPKM: Want to Hug MU Kelonin</v>
      </c>
    </row>
    <row r="944" ht="15.75" customHeight="1">
      <c r="A944" s="2">
        <v>943.0</v>
      </c>
      <c r="B944" s="5" t="s">
        <v>1700</v>
      </c>
      <c r="C944" s="6">
        <v>2.0</v>
      </c>
      <c r="D944" s="7" t="s">
        <v>1701</v>
      </c>
      <c r="E944" s="8" t="str">
        <f>IFERROR(__xludf.DUMMYFUNCTION("googletranslate(D944,""id"",""en"")"),"Now PPKM. So it wants a height of not invented like an Inikma. Alias ​​want to go to Miss, but PPKM. Alias ​​thought of thinking back, so PPKM. Aka slow me down")</f>
        <v>Now PPKM. So it wants a height of not invented like an Inikma. Alias ​​want to go to Miss, but PPKM. Alias ​​thought of thinking back, so PPKM. Aka slow me down</v>
      </c>
    </row>
    <row r="945" ht="15.75" customHeight="1">
      <c r="A945" s="2">
        <v>944.0</v>
      </c>
      <c r="B945" s="5" t="s">
        <v>1702</v>
      </c>
      <c r="C945" s="6">
        <v>1.0</v>
      </c>
      <c r="D945" s="7" t="s">
        <v>1703</v>
      </c>
      <c r="E945" s="8" t="str">
        <f>IFERROR(__xludf.DUMMYFUNCTION("googletranslate(D945,""id"",""en"")"),"Hahaha your brain until no? PPKM is not given to eating the government failed this, how did the story.")</f>
        <v>Hahaha your brain until no? PPKM is not given to eating the government failed this, how did the story.</v>
      </c>
    </row>
    <row r="946" ht="15.75" customHeight="1">
      <c r="A946" s="2">
        <v>945.0</v>
      </c>
      <c r="B946" s="5" t="s">
        <v>1704</v>
      </c>
      <c r="C946" s="6">
        <v>1.0</v>
      </c>
      <c r="D946" s="7" t="s">
        <v>1705</v>
      </c>
      <c r="E946" s="8" t="str">
        <f>IFERROR(__xludf.DUMMYFUNCTION("googletranslate(D946,""id"",""en"")"),"The government should not apply PPKM just, think of the people, also self-employed thoughts are affected because they can't sell in the PPKM period, remember they are looking for food, not to enrich themselves")</f>
        <v>The government should not apply PPKM just, think of the people, also self-employed thoughts are affected because they can't sell in the PPKM period, remember they are looking for food, not to enrich themselves</v>
      </c>
    </row>
    <row r="947" ht="15.75" customHeight="1">
      <c r="A947" s="2">
        <v>946.0</v>
      </c>
      <c r="B947" s="5" t="s">
        <v>1706</v>
      </c>
      <c r="C947" s="6">
        <v>2.0</v>
      </c>
      <c r="D947" s="7" t="s">
        <v>1706</v>
      </c>
      <c r="E947" s="8" t="str">
        <f>IFERROR(__xludf.DUMMYFUNCTION("googletranslate(D947,""id"",""en"")"),"Jog Period PPKM Gini Transportation of passenger carriers like buses that operate or not? Thanks.")</f>
        <v>Jog Period PPKM Gini Transportation of passenger carriers like buses that operate or not? Thanks.</v>
      </c>
    </row>
    <row r="948" ht="15.75" customHeight="1">
      <c r="A948" s="2">
        <v>947.0</v>
      </c>
      <c r="B948" s="5" t="s">
        <v>1707</v>
      </c>
      <c r="C948" s="6">
        <v>2.0</v>
      </c>
      <c r="D948" s="9" t="s">
        <v>1707</v>
      </c>
      <c r="E948" s="8" t="str">
        <f>IFERROR(__xludf.DUMMYFUNCTION("googletranslate(D948,""id"",""en"")"),"Gais, right, if you want the ppkm if you want a vaccine, you can pass it?")</f>
        <v>Gais, right, if you want the ppkm if you want a vaccine, you can pass it?</v>
      </c>
    </row>
    <row r="949" ht="15.75" customHeight="1">
      <c r="A949" s="2">
        <v>948.0</v>
      </c>
      <c r="B949" s="5" t="s">
        <v>1708</v>
      </c>
      <c r="C949" s="6">
        <v>1.0</v>
      </c>
      <c r="D949" s="9" t="s">
        <v>1709</v>
      </c>
      <c r="E949" s="8" t="str">
        <f>IFERROR(__xludf.DUMMYFUNCTION("googletranslate(D949,""id"",""en"")"),"Every day there are always news that there will be a Ngaco news since I applied for PPKM, which was taken, deprived of his merchandise, in Sirem Aer Rich in his shop")</f>
        <v>Every day there are always news that there will be a Ngaco news since I applied for PPKM, which was taken, deprived of his merchandise, in Sirem Aer Rich in his shop</v>
      </c>
    </row>
    <row r="950" ht="15.75" customHeight="1">
      <c r="A950" s="2">
        <v>949.0</v>
      </c>
      <c r="B950" s="5" t="s">
        <v>1710</v>
      </c>
      <c r="C950" s="6">
        <v>2.0</v>
      </c>
      <c r="D950" s="7" t="s">
        <v>1711</v>
      </c>
      <c r="E950" s="8" t="str">
        <f>IFERROR(__xludf.DUMMYFUNCTION("googletranslate(D950,""id"",""en"")"),"TGL July after PPKM")</f>
        <v>TGL July after PPKM</v>
      </c>
    </row>
    <row r="951" ht="15.75" customHeight="1">
      <c r="A951" s="2">
        <v>950.0</v>
      </c>
      <c r="B951" s="5" t="s">
        <v>1712</v>
      </c>
      <c r="C951" s="6">
        <v>1.0</v>
      </c>
      <c r="D951" s="9" t="s">
        <v>1713</v>
      </c>
      <c r="E951" s="8" t="str">
        <f>IFERROR(__xludf.DUMMYFUNCTION("googletranslate(D951,""id"",""en"")"),"Must be re-evaluated the application of the PPKM. In various areas of SDH began to flare up the PPKM impact")</f>
        <v>Must be re-evaluated the application of the PPKM. In various areas of SDH began to flare up the PPKM impact</v>
      </c>
    </row>
    <row r="952" ht="15.75" customHeight="1">
      <c r="A952" s="2">
        <v>951.0</v>
      </c>
      <c r="B952" s="5" t="s">
        <v>1714</v>
      </c>
      <c r="C952" s="6">
        <v>2.0</v>
      </c>
      <c r="D952" s="7" t="s">
        <v>1714</v>
      </c>
      <c r="E952" s="8" t="str">
        <f>IFERROR(__xludf.DUMMYFUNCTION("googletranslate(D952,""id"",""en"")"),"PPKM slowly you walk away")</f>
        <v>PPKM slowly you walk away</v>
      </c>
    </row>
    <row r="953" ht="15.75" customHeight="1">
      <c r="A953" s="2">
        <v>952.0</v>
      </c>
      <c r="B953" s="5" t="s">
        <v>1715</v>
      </c>
      <c r="C953" s="6">
        <v>1.0</v>
      </c>
      <c r="D953" s="7" t="s">
        <v>1716</v>
      </c>
      <c r="E953" s="8" t="str">
        <f>IFERROR(__xludf.DUMMYFUNCTION("googletranslate(D953,""id"",""en"")"),"Knp hrs dperanjang ppkm mr. president, g luck with the people who klaparnan? Kl bpk dg pre-official seh pny salary sdgkn us g a ad what kl kl is not looking for sndiri")</f>
        <v>Knp hrs dperanjang ppkm mr. president, g luck with the people who klaparnan? Kl bpk dg pre-official seh pny salary sdgkn us g a ad what kl kl is not looking for sndiri</v>
      </c>
    </row>
    <row r="954" ht="15.75" customHeight="1">
      <c r="A954" s="2">
        <v>953.0</v>
      </c>
      <c r="B954" s="5" t="s">
        <v>1717</v>
      </c>
      <c r="C954" s="6">
        <v>1.0</v>
      </c>
      <c r="D954" s="7" t="s">
        <v>1718</v>
      </c>
      <c r="E954" s="8" t="str">
        <f>IFERROR(__xludf.DUMMYFUNCTION("googletranslate(D954,""id"",""en"")"),"Just set up what people can and no, but the state forgets its obligations ... SPT is normal ...")</f>
        <v>Just set up what people can and no, but the state forgets its obligations ... SPT is normal ...</v>
      </c>
    </row>
    <row r="955" ht="15.75" customHeight="1">
      <c r="A955" s="2">
        <v>954.0</v>
      </c>
      <c r="B955" s="5" t="s">
        <v>1719</v>
      </c>
      <c r="C955" s="6">
        <v>1.0</v>
      </c>
      <c r="D955" s="9" t="s">
        <v>1720</v>
      </c>
      <c r="E955" s="8" t="str">
        <f>IFERROR(__xludf.DUMMYFUNCTION("googletranslate(D955,""id"",""en"")"),"I'm not just out of the house, you can't go anywhere because the road on the close location is closed too: """)</f>
        <v>I'm not just out of the house, you can't go anywhere because the road on the close location is closed too: "</v>
      </c>
    </row>
    <row r="956" ht="15.75" customHeight="1">
      <c r="A956" s="2">
        <v>955.0</v>
      </c>
      <c r="B956" s="5" t="s">
        <v>1721</v>
      </c>
      <c r="C956" s="6">
        <v>2.0</v>
      </c>
      <c r="D956" s="7" t="s">
        <v>1721</v>
      </c>
      <c r="E956" s="8" t="str">
        <f>IFERROR(__xludf.DUMMYFUNCTION("googletranslate(D956,""id"",""en"")"),"Greetings in the morning of PPKM __ last night there was still a volunteer who came for medicine and basic necessities ... ??")</f>
        <v>Greetings in the morning of PPKM __ last night there was still a volunteer who came for medicine and basic necessities ... ??</v>
      </c>
    </row>
    <row r="957" ht="15.75" customHeight="1">
      <c r="A957" s="2">
        <v>956.0</v>
      </c>
      <c r="B957" s="5" t="s">
        <v>1722</v>
      </c>
      <c r="C957" s="6">
        <v>1.0</v>
      </c>
      <c r="D957" s="9" t="s">
        <v>1723</v>
      </c>
      <c r="E957" s="8" t="str">
        <f>IFERROR(__xludf.DUMMYFUNCTION("googletranslate(D957,""id"",""en"")"),"It's strange, people ... always shows less fitting examples. Make your own rules for PPKM, eh ... violated by their own rules. Other people told to be quiet at home, uh ... he even relaxed to the village. Imaging may still be obeyed by rules.")</f>
        <v>It's strange, people ... always shows less fitting examples. Make your own rules for PPKM, eh ... violated by their own rules. Other people told to be quiet at home, uh ... he even relaxed to the village. Imaging may still be obeyed by rules.</v>
      </c>
    </row>
    <row r="958" ht="15.75" customHeight="1">
      <c r="A958" s="2">
        <v>957.0</v>
      </c>
      <c r="B958" s="5" t="s">
        <v>1724</v>
      </c>
      <c r="C958" s="6">
        <v>3.0</v>
      </c>
      <c r="D958" s="9" t="s">
        <v>1725</v>
      </c>
      <c r="E958" s="8" t="str">
        <f>IFERROR(__xludf.DUMMYFUNCTION("googletranslate(D958,""id"",""en"")"),"If all org obedient rules, PPKM does not need to be closely guarded by the authorities. If it takes a break, is also susceptible to vovid.ayo, all self-conscious. Covid-19 indiscriminately.")</f>
        <v>If all org obedient rules, PPKM does not need to be closely guarded by the authorities. If it takes a break, is also susceptible to vovid.ayo, all self-conscious. Covid-19 indiscriminately.</v>
      </c>
    </row>
    <row r="959" ht="15.75" customHeight="1">
      <c r="A959" s="2">
        <v>958.0</v>
      </c>
      <c r="B959" s="5" t="s">
        <v>1726</v>
      </c>
      <c r="C959" s="6">
        <v>1.0</v>
      </c>
      <c r="D959" s="7" t="s">
        <v>1727</v>
      </c>
      <c r="E959" s="8" t="str">
        <f>IFERROR(__xludf.DUMMYFUNCTION("googletranslate(D959,""id"",""en"")"),"PPKM: Mr. President when to retreat ...")</f>
        <v>PPKM: Mr. President when to retreat ...</v>
      </c>
    </row>
    <row r="960" ht="15.75" customHeight="1">
      <c r="A960" s="2">
        <v>959.0</v>
      </c>
      <c r="B960" s="5" t="s">
        <v>1728</v>
      </c>
      <c r="C960" s="6">
        <v>1.0</v>
      </c>
      <c r="D960" s="9" t="s">
        <v>1729</v>
      </c>
      <c r="E960" s="8" t="str">
        <f>IFERROR(__xludf.DUMMYFUNCTION("googletranslate(D960,""id"",""en"")"),"According to me boss, who incidentally the neighborhood of my house% daily work, they left the house indeed to find food. Imagine, there are many people around my house, morning work for breakfast, work malem to eat malem? Ppkm for mreka sm just told to d"&amp;"eath to death")</f>
        <v>According to me boss, who incidentally the neighborhood of my house% daily work, they left the house indeed to find food. Imagine, there are many people around my house, morning work for breakfast, work malem to eat malem? Ppkm for mreka sm just told to death to death</v>
      </c>
    </row>
    <row r="961" ht="15.75" customHeight="1">
      <c r="A961" s="2">
        <v>960.0</v>
      </c>
      <c r="B961" s="5" t="s">
        <v>1730</v>
      </c>
      <c r="C961" s="6">
        <v>2.0</v>
      </c>
      <c r="D961" s="7" t="s">
        <v>1731</v>
      </c>
      <c r="E961" s="8" t="str">
        <f>IFERROR(__xludf.DUMMYFUNCTION("googletranslate(D961,""id"",""en"")"),"I'm PPKM again, early in the morning Markli")</f>
        <v>I'm PPKM again, early in the morning Markli</v>
      </c>
    </row>
    <row r="962" ht="15.75" customHeight="1">
      <c r="A962" s="2">
        <v>961.0</v>
      </c>
      <c r="B962" s="5" t="s">
        <v>1732</v>
      </c>
      <c r="C962" s="6">
        <v>2.0</v>
      </c>
      <c r="D962" s="7" t="s">
        <v>1733</v>
      </c>
      <c r="E962" s="8" t="str">
        <f>IFERROR(__xludf.DUMMYFUNCTION("googletranslate(D962,""id"",""en"")"),"Ppkm ginipen looking for work lgi")</f>
        <v>Ppkm ginipen looking for work lgi</v>
      </c>
    </row>
    <row r="963" ht="15.75" customHeight="1">
      <c r="A963" s="2">
        <v>962.0</v>
      </c>
      <c r="B963" s="5" t="s">
        <v>1734</v>
      </c>
      <c r="C963" s="6">
        <v>1.0</v>
      </c>
      <c r="D963" s="7" t="s">
        <v>1735</v>
      </c>
      <c r="E963" s="8" t="str">
        <f>IFERROR(__xludf.DUMMYFUNCTION("googletranslate(D963,""id"",""en"")"),"Well, so, the writing is very contrary to what he doesn't like the circle for a while anymore holidays he finished PPKM")</f>
        <v>Well, so, the writing is very contrary to what he doesn't like the circle for a while anymore holidays he finished PPKM</v>
      </c>
    </row>
    <row r="964" ht="15.75" customHeight="1">
      <c r="A964" s="2">
        <v>963.0</v>
      </c>
      <c r="B964" s="5" t="s">
        <v>1736</v>
      </c>
      <c r="C964" s="6">
        <v>1.0</v>
      </c>
      <c r="D964" s="9" t="s">
        <v>1737</v>
      </c>
      <c r="E964" s="8" t="str">
        <f>IFERROR(__xludf.DUMMYFUNCTION("googletranslate(D964,""id"",""en"")"),"Early pandemic in Indo around March, there are people can consistently stay at home until July (around $ number $ moon) I doubt especially before the PPKM is really loose, even the government gives tourist options for those who don't go home.")</f>
        <v>Early pandemic in Indo around March, there are people can consistently stay at home until July (around $ number $ moon) I doubt especially before the PPKM is really loose, even the government gives tourist options for those who don't go home.</v>
      </c>
    </row>
    <row r="965" ht="15.75" customHeight="1">
      <c r="A965" s="2">
        <v>964.0</v>
      </c>
      <c r="B965" s="5" t="s">
        <v>1738</v>
      </c>
      <c r="C965" s="6">
        <v>1.0</v>
      </c>
      <c r="D965" s="7" t="s">
        <v>1738</v>
      </c>
      <c r="E965" s="8" t="str">
        <f>IFERROR(__xludf.DUMMYFUNCTION("googletranslate(D965,""id"",""en"")"),"Ppkm ngahan yuk, native to suffocate for the selling one.")</f>
        <v>Ppkm ngahan yuk, native to suffocate for the selling one.</v>
      </c>
    </row>
    <row r="966" ht="15.75" customHeight="1">
      <c r="A966" s="2">
        <v>965.0</v>
      </c>
      <c r="B966" s="5" t="s">
        <v>1739</v>
      </c>
      <c r="C966" s="6">
        <v>1.0</v>
      </c>
      <c r="D966" s="7" t="s">
        <v>1740</v>
      </c>
      <c r="E966" s="8" t="str">
        <f>IFERROR(__xludf.DUMMYFUNCTION("googletranslate(D966,""id"",""en"")"),"After the emergency PPKM was applyed in Java and Bali ... finally the decline was already there ... the economic downturn")</f>
        <v>After the emergency PPKM was applyed in Java and Bali ... finally the decline was already there ... the economic downturn</v>
      </c>
    </row>
    <row r="967" ht="15.75" customHeight="1">
      <c r="A967" s="2">
        <v>966.0</v>
      </c>
      <c r="B967" s="5" t="s">
        <v>1741</v>
      </c>
      <c r="C967" s="6">
        <v>2.0</v>
      </c>
      <c r="D967" s="7" t="s">
        <v>1742</v>
      </c>
      <c r="E967" s="8" t="str">
        <f>IFERROR(__xludf.DUMMYFUNCTION("googletranslate(D967,""id"",""en"")"),"What is the ppkm?")</f>
        <v>What is the ppkm?</v>
      </c>
    </row>
    <row r="968" ht="15.75" customHeight="1">
      <c r="A968" s="2">
        <v>967.0</v>
      </c>
      <c r="B968" s="5" t="s">
        <v>1743</v>
      </c>
      <c r="C968" s="6">
        <v>1.0</v>
      </c>
      <c r="D968" s="9" t="s">
        <v>1743</v>
      </c>
      <c r="E968" s="8" t="str">
        <f>IFERROR(__xludf.DUMMYFUNCTION("googletranslate(D968,""id"",""en"")"),"The PPKM is when we are the people back to become mkpp, ... against the crime of the traitor.")</f>
        <v>The PPKM is when we are the people back to become mkpp, ... against the crime of the traitor.</v>
      </c>
    </row>
    <row r="969" ht="15.75" customHeight="1">
      <c r="A969" s="2">
        <v>968.0</v>
      </c>
      <c r="B969" s="5" t="s">
        <v>1744</v>
      </c>
      <c r="C969" s="6">
        <v>2.0</v>
      </c>
      <c r="D969" s="7" t="s">
        <v>1745</v>
      </c>
      <c r="E969" s="8" t="str">
        <f>IFERROR(__xludf.DUMMYFUNCTION("googletranslate(D969,""id"",""en"")"),"asking to tell the indo language using indo aje: ')) nitip yaa sp know there is bored ppkm, there is a mola package too yaaa")</f>
        <v>asking to tell the indo language using indo aje: ')) nitip yaa sp know there is bored ppkm, there is a mola package too yaaa</v>
      </c>
    </row>
    <row r="970" ht="15.75" customHeight="1">
      <c r="A970" s="2">
        <v>969.0</v>
      </c>
      <c r="B970" s="5" t="s">
        <v>1746</v>
      </c>
      <c r="C970" s="6">
        <v>2.0</v>
      </c>
      <c r="D970" s="7" t="s">
        <v>1747</v>
      </c>
      <c r="E970" s="8" t="str">
        <f>IFERROR(__xludf.DUMMYFUNCTION("googletranslate(D970,""id"",""en"")"),"PPKM caused many women to be loyal to their partners. yes, just love the dick. * Ngakap rolls *")</f>
        <v>PPKM caused many women to be loyal to their partners. yes, just love the dick. * Ngakap rolls *</v>
      </c>
    </row>
    <row r="971" ht="15.75" customHeight="1">
      <c r="A971" s="2">
        <v>970.0</v>
      </c>
      <c r="B971" s="5" t="s">
        <v>1748</v>
      </c>
      <c r="C971" s="6">
        <v>2.0</v>
      </c>
      <c r="D971" s="7" t="s">
        <v>1749</v>
      </c>
      <c r="E971" s="8" t="str">
        <f>IFERROR(__xludf.DUMMYFUNCTION("googletranslate(D971,""id"",""en"")"),"I want to confide in tp gamau telephone, pen meet tp tp far sm there ppkm")</f>
        <v>I want to confide in tp gamau telephone, pen meet tp tp far sm there ppkm</v>
      </c>
    </row>
    <row r="972" ht="15.75" customHeight="1">
      <c r="A972" s="2">
        <v>971.0</v>
      </c>
      <c r="B972" s="5" t="s">
        <v>1750</v>
      </c>
      <c r="C972" s="6">
        <v>1.0</v>
      </c>
      <c r="D972" s="7" t="s">
        <v>1751</v>
      </c>
      <c r="E972" s="8" t="str">
        <f>IFERROR(__xludf.DUMMYFUNCTION("googletranslate(D972,""id"",""en"")"),"Bukak Sosmed Isiny, it makes the immune down ... Kabr sorrow, Covid is getting worse, PPKM is extended ..")</f>
        <v>Bukak Sosmed Isiny, it makes the immune down ... Kabr sorrow, Covid is getting worse, PPKM is extended ..</v>
      </c>
    </row>
    <row r="973" ht="15.75" customHeight="1">
      <c r="A973" s="2">
        <v>972.0</v>
      </c>
      <c r="B973" s="5" t="s">
        <v>1752</v>
      </c>
      <c r="C973" s="6">
        <v>2.0</v>
      </c>
      <c r="D973" s="7" t="s">
        <v>1753</v>
      </c>
      <c r="E973" s="8" t="str">
        <f>IFERROR(__xludf.DUMMYFUNCTION("googletranslate(D973,""id"",""en"")"),"Hr Milano Online School Via Video Call. The first day of the blg ""want to get home to grandmother"" because the teacher's teacher is her grandmother (Milano already missed her grandmother) huhu ppkm separating the distance from kid")</f>
        <v>Hr Milano Online School Via Video Call. The first day of the blg "want to get home to grandmother" because the teacher's teacher is her grandmother (Milano already missed her grandmother) huhu ppkm separating the distance from kid</v>
      </c>
    </row>
    <row r="974" ht="15.75" customHeight="1">
      <c r="A974" s="2">
        <v>973.0</v>
      </c>
      <c r="B974" s="5" t="s">
        <v>1754</v>
      </c>
      <c r="C974" s="6">
        <v>1.0</v>
      </c>
      <c r="D974" s="7" t="s">
        <v>1755</v>
      </c>
      <c r="E974" s="8" t="str">
        <f>IFERROR(__xludf.DUMMYFUNCTION("googletranslate(D974,""id"",""en"")"),"The only day Mas today the marriage contract but I can join the PPKM")</f>
        <v>The only day Mas today the marriage contract but I can join the PPKM</v>
      </c>
    </row>
    <row r="975" ht="15.75" customHeight="1">
      <c r="A975" s="2">
        <v>974.0</v>
      </c>
      <c r="B975" s="5" t="s">
        <v>1756</v>
      </c>
      <c r="C975" s="6">
        <v>1.0</v>
      </c>
      <c r="D975" s="9" t="s">
        <v>1757</v>
      </c>
      <c r="E975" s="8" t="str">
        <f>IFERROR(__xludf.DUMMYFUNCTION("googletranslate(D975,""id"",""en"")"),"As good as anything you makeup, polish it is useless, it's still that much capacity, blusukan tonight, meaning that he doesn't understand what emergency ppkm, digital trail is clear, he plg bylabu breaking the rules during this controlled covid")</f>
        <v>As good as anything you makeup, polish it is useless, it's still that much capacity, blusukan tonight, meaning that he doesn't understand what emergency ppkm, digital trail is clear, he plg bylabu breaking the rules during this controlled covid</v>
      </c>
    </row>
    <row r="976" ht="15.75" customHeight="1">
      <c r="A976" s="2">
        <v>975.0</v>
      </c>
      <c r="B976" s="5" t="s">
        <v>1758</v>
      </c>
      <c r="C976" s="6">
        <v>2.0</v>
      </c>
      <c r="D976" s="7" t="s">
        <v>1759</v>
      </c>
      <c r="E976" s="8" t="str">
        <f>IFERROR(__xludf.DUMMYFUNCTION("googletranslate(D976,""id"",""en"")"),"Mengumah Dong PPKM.")</f>
        <v>Mengumah Dong PPKM.</v>
      </c>
    </row>
    <row r="977" ht="15.75" customHeight="1">
      <c r="A977" s="2">
        <v>976.0</v>
      </c>
      <c r="B977" s="5" t="s">
        <v>1760</v>
      </c>
      <c r="C977" s="6">
        <v>1.0</v>
      </c>
      <c r="D977" s="7" t="s">
        <v>1760</v>
      </c>
      <c r="E977" s="8" t="str">
        <f>IFERROR(__xludf.DUMMYFUNCTION("googletranslate(D977,""id"",""en"")"),"PPKM org on the demo instead of a virus, it also increases positive")</f>
        <v>PPKM org on the demo instead of a virus, it also increases positive</v>
      </c>
    </row>
    <row r="978" ht="15.75" customHeight="1">
      <c r="A978" s="2">
        <v>977.0</v>
      </c>
      <c r="B978" s="5" t="s">
        <v>1761</v>
      </c>
      <c r="C978" s="6">
        <v>1.0</v>
      </c>
      <c r="D978" s="9" t="s">
        <v>1762</v>
      </c>
      <c r="E978" s="8" t="str">
        <f>IFERROR(__xludf.DUMMYFUNCTION("googletranslate(D978,""id"",""en"")"),"This is how the Kades PKI acts, just as violating the PPKM.")</f>
        <v>This is how the Kades PKI acts, just as violating the PPKM.</v>
      </c>
    </row>
    <row r="979" ht="15.75" customHeight="1">
      <c r="A979" s="2">
        <v>978.0</v>
      </c>
      <c r="B979" s="5" t="s">
        <v>1763</v>
      </c>
      <c r="C979" s="6">
        <v>2.0</v>
      </c>
      <c r="D979" s="7" t="s">
        <v>1764</v>
      </c>
      <c r="E979" s="8" t="str">
        <f>IFERROR(__xludf.DUMMYFUNCTION("googletranslate(D979,""id"",""en"")"),"Solehpati, Host ghost ppkm hunter event")</f>
        <v>Solehpati, Host ghost ppkm hunter event</v>
      </c>
    </row>
    <row r="980" ht="15.75" customHeight="1">
      <c r="A980" s="2">
        <v>979.0</v>
      </c>
      <c r="B980" s="5" t="s">
        <v>1765</v>
      </c>
      <c r="C980" s="6">
        <v>3.0</v>
      </c>
      <c r="D980" s="7" t="s">
        <v>1765</v>
      </c>
      <c r="E980" s="8" t="str">
        <f>IFERROR(__xludf.DUMMYFUNCTION("googletranslate(D980,""id"",""en"")"),"Hopefully still strong in the middle of this PPKM.")</f>
        <v>Hopefully still strong in the middle of this PPKM.</v>
      </c>
    </row>
    <row r="981" ht="15.75" customHeight="1">
      <c r="A981" s="2">
        <v>980.0</v>
      </c>
      <c r="B981" s="5" t="s">
        <v>1766</v>
      </c>
      <c r="C981" s="6">
        <v>1.0</v>
      </c>
      <c r="D981" s="7" t="s">
        <v>1767</v>
      </c>
      <c r="E981" s="8" t="str">
        <f>IFERROR(__xludf.DUMMYFUNCTION("googletranslate(D981,""id"",""en"")"),"Now this, when the PPKM regulation is not ignored, where is the police officer? .C:")</f>
        <v>Now this, when the PPKM regulation is not ignored, where is the police officer? .C:</v>
      </c>
    </row>
    <row r="982" ht="15.75" customHeight="1">
      <c r="A982" s="2">
        <v>981.0</v>
      </c>
      <c r="B982" s="5" t="s">
        <v>1768</v>
      </c>
      <c r="C982" s="6">
        <v>1.0</v>
      </c>
      <c r="D982" s="9" t="s">
        <v>1769</v>
      </c>
      <c r="E982" s="8" t="str">
        <f>IFERROR(__xludf.DUMMYFUNCTION("googletranslate(D982,""id"",""en"")"),"It has not been able to be narrated by the people, pretentious SOAN ngatur PPKM Jing. We work for the boss family, the burden of the office of the office. Bejibun debt is then corrupted with the help of stupid programs.")</f>
        <v>It has not been able to be narrated by the people, pretentious SOAN ngatur PPKM Jing. We work for the boss family, the burden of the office of the office. Bejibun debt is then corrupted with the help of stupid programs.</v>
      </c>
    </row>
    <row r="983" ht="15.75" customHeight="1">
      <c r="A983" s="2">
        <v>982.0</v>
      </c>
      <c r="B983" s="5" t="s">
        <v>1770</v>
      </c>
      <c r="C983" s="6">
        <v>1.0</v>
      </c>
      <c r="D983" s="9" t="s">
        <v>1771</v>
      </c>
      <c r="E983" s="8" t="str">
        <f>IFERROR(__xludf.DUMMYFUNCTION("googletranslate(D983,""id"",""en"")"),"Blusukan if conditions are getting worse for what? The leadership is quite a policy that can be useful for the people. The substance is not blusukan but the right policy. If there is a PPKM, the policy that accompanies is to provide people's lives in all "&amp;"locations, not only on JKT")</f>
        <v>Blusukan if conditions are getting worse for what? The leadership is quite a policy that can be useful for the people. The substance is not blusukan but the right policy. If there is a PPKM, the policy that accompanies is to provide people's lives in all locations, not only on JKT</v>
      </c>
    </row>
    <row r="984" ht="15.75" customHeight="1">
      <c r="A984" s="2">
        <v>983.0</v>
      </c>
      <c r="B984" s="5" t="s">
        <v>1772</v>
      </c>
      <c r="C984" s="6">
        <v>1.0</v>
      </c>
      <c r="D984" s="7" t="s">
        <v>1773</v>
      </c>
      <c r="E984" s="8" t="str">
        <f>IFERROR(__xludf.DUMMYFUNCTION("googletranslate(D984,""id"",""en"")"),"Sontoloyo is emanging. Emergency PPKM. Tka China just entered. Wonder I ... How come there are foreigners desperate to the country that has a tsunami covid.What there they are very poor to work in the country that has a covid tsunami. My common sense is e"&amp;"verywhere thinking about it.")</f>
        <v>Sontoloyo is emanging. Emergency PPKM. Tka China just entered. Wonder I ... How come there are foreigners desperate to the country that has a tsunami covid.What there they are very poor to work in the country that has a covid tsunami. My common sense is everywhere thinking about it.</v>
      </c>
    </row>
    <row r="985" ht="15.75" customHeight="1">
      <c r="A985" s="2">
        <v>984.0</v>
      </c>
      <c r="B985" s="5" t="s">
        <v>1774</v>
      </c>
      <c r="C985" s="6">
        <v>2.0</v>
      </c>
      <c r="D985" s="9" t="s">
        <v>1775</v>
      </c>
      <c r="E985" s="8" t="str">
        <f>IFERROR(__xludf.DUMMYFUNCTION("googletranslate(D985,""id"",""en"")"),"the new one has been sent by the week, it is even onhold, I think it's grgr, but how come this can, even though smsm from Jakarta")</f>
        <v>the new one has been sent by the week, it is even onhold, I think it's grgr, but how come this can, even though smsm from Jakarta</v>
      </c>
    </row>
    <row r="986" ht="15.75" customHeight="1">
      <c r="A986" s="2">
        <v>985.0</v>
      </c>
      <c r="B986" s="5" t="s">
        <v>1776</v>
      </c>
      <c r="C986" s="6">
        <v>1.0</v>
      </c>
      <c r="D986" s="9" t="s">
        <v>1777</v>
      </c>
      <c r="E986" s="8" t="str">
        <f>IFERROR(__xludf.DUMMYFUNCTION("googletranslate(D986,""id"",""en"")"),"Gapapa, the PPKM is extended, but don't close the streets, I'm mutered if you want to go to the office")</f>
        <v>Gapapa, the PPKM is extended, but don't close the streets, I'm mutered if you want to go to the office</v>
      </c>
    </row>
    <row r="987" ht="15.75" customHeight="1">
      <c r="A987" s="2">
        <v>986.0</v>
      </c>
      <c r="B987" s="5" t="s">
        <v>1778</v>
      </c>
      <c r="C987" s="6">
        <v>1.0</v>
      </c>
      <c r="D987" s="7" t="s">
        <v>1778</v>
      </c>
      <c r="E987" s="8" t="str">
        <f>IFERROR(__xludf.DUMMYFUNCTION("googletranslate(D987,""id"",""en"")"),"Panjangiiaaaaaaaa, start your day with extended ppkm aaaaahh")</f>
        <v>Panjangiiaaaaaaaa, start your day with extended ppkm aaaaahh</v>
      </c>
    </row>
    <row r="988" ht="15.75" customHeight="1">
      <c r="A988" s="2">
        <v>987.0</v>
      </c>
      <c r="B988" s="5" t="s">
        <v>1779</v>
      </c>
      <c r="C988" s="6">
        <v>1.0</v>
      </c>
      <c r="D988" s="9" t="s">
        <v>1779</v>
      </c>
      <c r="E988" s="8" t="str">
        <f>IFERROR(__xludf.DUMMYFUNCTION("googletranslate(D988,""id"",""en"")"),"[ASKRL] Guys Info Part Time Locker Jakarta Jabodeta Dong. Huhu sedi gada income because of PPKM")</f>
        <v>[ASKRL] Guys Info Part Time Locker Jakarta Jabodeta Dong. Huhu sedi gada income because of PPKM</v>
      </c>
    </row>
    <row r="989" ht="15.75" customHeight="1">
      <c r="A989" s="2">
        <v>988.0</v>
      </c>
      <c r="B989" s="5" t="s">
        <v>1780</v>
      </c>
      <c r="C989" s="6">
        <v>1.0</v>
      </c>
      <c r="D989" s="7" t="s">
        <v>1781</v>
      </c>
      <c r="E989" s="8" t="str">
        <f>IFERROR(__xludf.DUMMYFUNCTION("googletranslate(D989,""id"",""en"")"),"Look ??? Having troubled the other people, this one, where is the ppkm, how come it looks for money, where do you try ??? it doesn't just die")</f>
        <v>Look ??? Having troubled the other people, this one, where is the ppkm, how come it looks for money, where do you try ??? it doesn't just die</v>
      </c>
    </row>
    <row r="990" ht="15.75" customHeight="1">
      <c r="A990" s="2">
        <v>989.0</v>
      </c>
      <c r="B990" s="5" t="s">
        <v>1782</v>
      </c>
      <c r="C990" s="6">
        <v>1.0</v>
      </c>
      <c r="D990" s="7" t="s">
        <v>1783</v>
      </c>
      <c r="E990" s="8" t="str">
        <f>IFERROR(__xludf.DUMMYFUNCTION("googletranslate(D990,""id"",""en"")"),"PPKM restores the country? Do not ngayal deh tong.mending salary of ASN employees cut by a percent percent to be divided into those who should not go anywhere. For the Issoman, to buy fruits, vitamins, nutritious foods and others.")</f>
        <v>PPKM restores the country? Do not ngayal deh tong.mending salary of ASN employees cut by a percent percent to be divided into those who should not go anywhere. For the Issoman, to buy fruits, vitamins, nutritious foods and others.</v>
      </c>
    </row>
    <row r="991" ht="15.75" customHeight="1">
      <c r="A991" s="2">
        <v>990.0</v>
      </c>
      <c r="B991" s="5" t="s">
        <v>1784</v>
      </c>
      <c r="C991" s="6">
        <v>1.0</v>
      </c>
      <c r="D991" s="7" t="s">
        <v>1785</v>
      </c>
      <c r="E991" s="8" t="str">
        <f>IFERROR(__xludf.DUMMYFUNCTION("googletranslate(D991,""id"",""en"")"),"PPKM (indigenous residents lack eating)")</f>
        <v>PPKM (indigenous residents lack eating)</v>
      </c>
    </row>
    <row r="992" ht="15.75" customHeight="1">
      <c r="A992" s="2">
        <v>991.0</v>
      </c>
      <c r="B992" s="5" t="s">
        <v>1786</v>
      </c>
      <c r="C992" s="6">
        <v>1.0</v>
      </c>
      <c r="D992" s="7" t="s">
        <v>1787</v>
      </c>
      <c r="E992" s="8" t="str">
        <f>IFERROR(__xludf.DUMMYFUNCTION("googletranslate(D992,""id"",""en"")"),"Sir ... the impact of the PPKM for the people of small people like me is very felt sir. There is no help, work in Opyak. The streets want to work on being covered. The appeal was told at home, but the government did not want to be underestimated.")</f>
        <v>Sir ... the impact of the PPKM for the people of small people like me is very felt sir. There is no help, work in Opyak. The streets want to work on being covered. The appeal was told at home, but the government did not want to be underestimated.</v>
      </c>
    </row>
    <row r="993" ht="15.75" customHeight="1">
      <c r="A993" s="2">
        <v>992.0</v>
      </c>
      <c r="B993" s="5" t="s">
        <v>1788</v>
      </c>
      <c r="C993" s="6">
        <v>2.0</v>
      </c>
      <c r="D993" s="7" t="s">
        <v>1789</v>
      </c>
      <c r="E993" s="8" t="str">
        <f>IFERROR(__xludf.DUMMYFUNCTION("googletranslate(D993,""id"",""en"")"),"Didalem, because again Emergency PPKM")</f>
        <v>Didalem, because again Emergency PPKM</v>
      </c>
    </row>
    <row r="994" ht="15.75" customHeight="1">
      <c r="A994" s="2">
        <v>993.0</v>
      </c>
      <c r="B994" s="5" t="s">
        <v>1790</v>
      </c>
      <c r="C994" s="6">
        <v>2.0</v>
      </c>
      <c r="D994" s="9" t="s">
        <v>1791</v>
      </c>
      <c r="E994" s="8" t="str">
        <f>IFERROR(__xludf.DUMMYFUNCTION("googletranslate(D994,""id"",""en"")"),"The enactment of the restriction of the Javanese Emergency Community Activities or Emergency PPKM is now entering the fourteenth day. That is, this PPKM has lasted almost two weeks since last July. So how does Islam solve this problem? Check at the MMC ch"&amp;"annel!")</f>
        <v>The enactment of the restriction of the Javanese Emergency Community Activities or Emergency PPKM is now entering the fourteenth day. That is, this PPKM has lasted almost two weeks since last July. So how does Islam solve this problem? Check at the MMC channel!</v>
      </c>
    </row>
    <row r="995" ht="15.75" customHeight="1">
      <c r="A995" s="2">
        <v>994.0</v>
      </c>
      <c r="B995" s="5" t="s">
        <v>1792</v>
      </c>
      <c r="C995" s="6">
        <v>1.0</v>
      </c>
      <c r="D995" s="7" t="s">
        <v>1793</v>
      </c>
      <c r="E995" s="8" t="str">
        <f>IFERROR(__xludf.DUMMYFUNCTION("googletranslate(D995,""id"",""en"")"),"PPKM rules are government rules. Cover the road can do not give permission, the demo is driving to dragging because it violates PPKM, Selasai !!!")</f>
        <v>PPKM rules are government rules. Cover the road can do not give permission, the demo is driving to dragging because it violates PPKM, Selasai !!!</v>
      </c>
    </row>
    <row r="996" ht="15.75" customHeight="1">
      <c r="A996" s="2">
        <v>995.0</v>
      </c>
      <c r="B996" s="5" t="s">
        <v>1794</v>
      </c>
      <c r="C996" s="6">
        <v>2.0</v>
      </c>
      <c r="D996" s="7" t="s">
        <v>1795</v>
      </c>
      <c r="E996" s="8" t="str">
        <f>IFERROR(__xludf.DUMMYFUNCTION("googletranslate(D996,""id"",""en"")"),"PPKM is extended")</f>
        <v>PPKM is extended</v>
      </c>
    </row>
    <row r="997" ht="15.75" customHeight="1">
      <c r="A997" s="2">
        <v>996.0</v>
      </c>
      <c r="B997" s="5" t="s">
        <v>1796</v>
      </c>
      <c r="C997" s="6">
        <v>2.0</v>
      </c>
      <c r="D997" s="7" t="s">
        <v>1796</v>
      </c>
      <c r="E997" s="8" t="str">
        <f>IFERROR(__xludf.DUMMYFUNCTION("googletranslate(D997,""id"",""en"")"),"Ppkm with psbb what is the difference")</f>
        <v>Ppkm with psbb what is the difference</v>
      </c>
    </row>
    <row r="998" ht="15.75" customHeight="1">
      <c r="A998" s="2">
        <v>997.0</v>
      </c>
      <c r="B998" s="5" t="s">
        <v>1797</v>
      </c>
      <c r="C998" s="6">
        <v>2.0</v>
      </c>
      <c r="D998" s="7" t="s">
        <v>1797</v>
      </c>
      <c r="E998" s="8" t="str">
        <f>IFERROR(__xludf.DUMMYFUNCTION("googletranslate(D998,""id"",""en"")"),"Ppkm mixed with rice with good onion sauce ...")</f>
        <v>Ppkm mixed with rice with good onion sauce ...</v>
      </c>
    </row>
    <row r="999" ht="15.75" customHeight="1">
      <c r="A999" s="2">
        <v>998.0</v>
      </c>
      <c r="B999" s="5" t="s">
        <v>1798</v>
      </c>
      <c r="C999" s="6">
        <v>3.0</v>
      </c>
      <c r="D999" s="7" t="s">
        <v>1799</v>
      </c>
      <c r="E999" s="8" t="str">
        <f>IFERROR(__xludf.DUMMYFUNCTION("googletranslate(D999,""id"",""en"")"),"Good morning coffee, don't sag with PPKM")</f>
        <v>Good morning coffee, don't sag with PPKM</v>
      </c>
    </row>
    <row r="1000" ht="15.75" customHeight="1">
      <c r="A1000" s="2">
        <v>999.0</v>
      </c>
      <c r="B1000" s="5" t="s">
        <v>1800</v>
      </c>
      <c r="C1000" s="6">
        <v>2.0</v>
      </c>
      <c r="D1000" s="7" t="s">
        <v>1801</v>
      </c>
      <c r="E1000" s="8" t="str">
        <f>IFERROR(__xludf.DUMMYFUNCTION("googletranslate(D1000,""id"",""en"")"),"how do you find it, right, ppkm")</f>
        <v>how do you find it, right, ppkm</v>
      </c>
    </row>
    <row r="1001" ht="15.75" customHeight="1">
      <c r="A1001" s="2">
        <v>1000.0</v>
      </c>
      <c r="B1001" s="5" t="s">
        <v>1802</v>
      </c>
      <c r="C1001" s="6">
        <v>1.0</v>
      </c>
      <c r="D1001" s="7" t="s">
        <v>1803</v>
      </c>
      <c r="E1001" s="8" t="str">
        <f>IFERROR(__xludf.DUMMYFUNCTION("googletranslate(D1001,""id"",""en"")"),"How do you like to close the road and tell people to muter2 with the pretext of PPKM, hopefully your life is complicated with the Almighty.")</f>
        <v>How do you like to close the road and tell people to muter2 with the pretext of PPKM, hopefully your life is complicated with the Almighty.</v>
      </c>
    </row>
    <row r="1002" ht="15.75" customHeight="1">
      <c r="A1002" s="2">
        <v>1001.0</v>
      </c>
      <c r="B1002" s="5" t="s">
        <v>1804</v>
      </c>
      <c r="C1002" s="6">
        <v>2.0</v>
      </c>
      <c r="D1002" s="7" t="s">
        <v>1805</v>
      </c>
      <c r="E1002" s="8" t="str">
        <f>IFERROR(__xludf.DUMMYFUNCTION("googletranslate(D1002,""id"",""en"")"),"PPKM: Slowly you slowly disappear")</f>
        <v>PPKM: Slowly you slowly disappear</v>
      </c>
    </row>
    <row r="1003" ht="15.75" customHeight="1">
      <c r="A1003" s="2">
        <v>1002.0</v>
      </c>
      <c r="B1003" s="5" t="s">
        <v>1806</v>
      </c>
      <c r="C1003" s="6">
        <v>1.0</v>
      </c>
      <c r="D1003" s="7" t="s">
        <v>1806</v>
      </c>
      <c r="E1003" s="8" t="str">
        <f>IFERROR(__xludf.DUMMYFUNCTION("googletranslate(D1003,""id"",""en"")"),"Extended again PPKM can't work ... Bosen at home continues to want to do it ...")</f>
        <v>Extended again PPKM can't work ... Bosen at home continues to want to do it ...</v>
      </c>
    </row>
    <row r="1004" ht="15.75" customHeight="1">
      <c r="A1004" s="2">
        <v>1003.0</v>
      </c>
      <c r="B1004" s="5" t="s">
        <v>1807</v>
      </c>
      <c r="C1004" s="6">
        <v>1.0</v>
      </c>
      <c r="D1004" s="7" t="s">
        <v>1808</v>
      </c>
      <c r="E1004" s="8" t="str">
        <f>IFERROR(__xludf.DUMMYFUNCTION("googletranslate(D1004,""id"",""en"")"),"Criminals in the PPKM can be predicted by those who just survive, the indication of the informal sector bankrupt which is not until the day. PPKM extended weeks, the worst thing can happen. Exodus WNA returned to his country, because of this rotten planni"&amp;"ng.")</f>
        <v>Criminals in the PPKM can be predicted by those who just survive, the indication of the informal sector bankrupt which is not until the day. PPKM extended weeks, the worst thing can happen. Exodus WNA returned to his country, because of this rotten planning.</v>
      </c>
    </row>
    <row r="1005" ht="15.75" customHeight="1">
      <c r="A1005" s="2">
        <v>1004.0</v>
      </c>
      <c r="B1005" s="5" t="s">
        <v>1809</v>
      </c>
      <c r="C1005" s="6">
        <v>1.0</v>
      </c>
      <c r="D1005" s="9" t="s">
        <v>1810</v>
      </c>
      <c r="E1005" s="8" t="str">
        <f>IFERROR(__xludf.DUMMYFUNCTION("googletranslate(D1005,""id"",""en"")"),"Work decade, just this time it was made jobless with a pandemic. Uring, Goblog every minute, the work of Ngebeer alone, Netlix Randoom. Hopefully August can work. Because this month is full of PPKM and I believe there will be no company opening vacancies.")</f>
        <v>Work decade, just this time it was made jobless with a pandemic. Uring, Goblog every minute, the work of Ngebeer alone, Netlix Randoom. Hopefully August can work. Because this month is full of PPKM and I believe there will be no company opening vacancies.</v>
      </c>
    </row>
    <row r="1006" ht="15.75" customHeight="1">
      <c r="A1006" s="2">
        <v>1005.0</v>
      </c>
      <c r="B1006" s="5" t="s">
        <v>1811</v>
      </c>
      <c r="C1006" s="6">
        <v>2.0</v>
      </c>
      <c r="D1006" s="9" t="s">
        <v>1811</v>
      </c>
      <c r="E1006" s="8" t="str">
        <f>IFERROR(__xludf.DUMMYFUNCTION("googletranslate(D1006,""id"",""en"")"),"Jog buy a dried flower, which is open, where is the shop, where is this?")</f>
        <v>Jog buy a dried flower, which is open, where is the shop, where is this?</v>
      </c>
    </row>
    <row r="1007" ht="15.75" customHeight="1">
      <c r="A1007" s="2">
        <v>1006.0</v>
      </c>
      <c r="B1007" s="5" t="s">
        <v>1812</v>
      </c>
      <c r="C1007" s="6">
        <v>2.0</v>
      </c>
      <c r="D1007" s="7" t="s">
        <v>1813</v>
      </c>
      <c r="E1007" s="8" t="str">
        <f>IFERROR(__xludf.DUMMYFUNCTION("googletranslate(D1007,""id"",""en"")"),"PPKM is extended")</f>
        <v>PPKM is extended</v>
      </c>
    </row>
    <row r="1008" ht="15.75" customHeight="1">
      <c r="A1008" s="2">
        <v>1007.0</v>
      </c>
      <c r="B1008" s="5" t="s">
        <v>1814</v>
      </c>
      <c r="C1008" s="6">
        <v>2.0</v>
      </c>
      <c r="D1008" s="7" t="s">
        <v>1814</v>
      </c>
      <c r="E1008" s="8" t="str">
        <f>IFERROR(__xludf.DUMMYFUNCTION("googletranslate(D1008,""id"",""en"")"),"PPKM stops with all overvacted notes ...")</f>
        <v>PPKM stops with all overvacted notes ...</v>
      </c>
    </row>
    <row r="1009" ht="15.75" customHeight="1">
      <c r="A1009" s="2">
        <v>1008.0</v>
      </c>
      <c r="B1009" s="5" t="s">
        <v>1815</v>
      </c>
      <c r="C1009" s="6">
        <v>2.0</v>
      </c>
      <c r="D1009" s="9" t="s">
        <v>1816</v>
      </c>
      <c r="E1009" s="8" t="str">
        <f>IFERROR(__xludf.DUMMYFUNCTION("googletranslate(D1009,""id"",""en"")"),"Ppkm = morning morning into your mouth")</f>
        <v>Ppkm = morning morning into your mouth</v>
      </c>
    </row>
    <row r="1010" ht="15.75" customHeight="1">
      <c r="A1010" s="2">
        <v>1009.0</v>
      </c>
      <c r="B1010" s="5" t="s">
        <v>1817</v>
      </c>
      <c r="C1010" s="6">
        <v>3.0</v>
      </c>
      <c r="D1010" s="9" t="s">
        <v>1818</v>
      </c>
      <c r="E1010" s="8" t="str">
        <f>IFERROR(__xludf.DUMMYFUNCTION("googletranslate(D1010,""id"",""en"")"),"Love to Mrs. because during the PPKM, just Mrs. WFH. Jd bs auxiliary the wife bought the need for my child's need for my child. I also want to be like the sugar that is responsible for the trhdp angel of heaven")</f>
        <v>Love to Mrs. because during the PPKM, just Mrs. WFH. Jd bs auxiliary the wife bought the need for my child's need for my child. I also want to be like the sugar that is responsible for the trhdp angel of heaven</v>
      </c>
    </row>
    <row r="1011" ht="15.75" customHeight="1">
      <c r="A1011" s="2">
        <v>1010.0</v>
      </c>
      <c r="B1011" s="5" t="s">
        <v>1819</v>
      </c>
      <c r="C1011" s="6">
        <v>1.0</v>
      </c>
      <c r="D1011" s="7" t="s">
        <v>1820</v>
      </c>
      <c r="E1011" s="8" t="str">
        <f>IFERROR(__xludf.DUMMYFUNCTION("googletranslate(D1011,""id"",""en"")"),"This is a person who commented all what the government made was wrong, the vaccine was wrongly then spy prevention measures were infectious in the way PPKM was blamed on the grounds of the people hungry. Wis Bacotmu TP You Yourself Does Nothing Does.")</f>
        <v>This is a person who commented all what the government made was wrong, the vaccine was wrongly then spy prevention measures were infectious in the way PPKM was blamed on the grounds of the people hungry. Wis Bacotmu TP You Yourself Does Nothing Does.</v>
      </c>
    </row>
    <row r="1012" ht="15.75" customHeight="1">
      <c r="A1012" s="2">
        <v>1011.0</v>
      </c>
      <c r="B1012" s="5" t="s">
        <v>1821</v>
      </c>
      <c r="C1012" s="6">
        <v>1.0</v>
      </c>
      <c r="D1012" s="7" t="s">
        <v>1822</v>
      </c>
      <c r="E1012" s="8" t="str">
        <f>IFERROR(__xludf.DUMMYFUNCTION("googletranslate(D1012,""id"",""en"")"),"PPKM is proven to fail to reduce Covid infection. Covid Control HRS is calculated to the local government by applying the spy PSBB of the Country Don't Chaos")</f>
        <v>PPKM is proven to fail to reduce Covid infection. Covid Control HRS is calculated to the local government by applying the spy PSBB of the Country Don't Chaos</v>
      </c>
    </row>
    <row r="1013" ht="15.75" customHeight="1">
      <c r="A1013" s="2">
        <v>1012.0</v>
      </c>
      <c r="B1013" s="5" t="s">
        <v>1823</v>
      </c>
      <c r="C1013" s="6">
        <v>2.0</v>
      </c>
      <c r="D1013" s="7" t="s">
        <v>1824</v>
      </c>
      <c r="E1013" s="8" t="str">
        <f>IFERROR(__xludf.DUMMYFUNCTION("googletranslate(D1013,""id"",""en"")"),"Really want a ppkm like sir. How do you do it so that the PPKM still can be JT every month?")</f>
        <v>Really want a ppkm like sir. How do you do it so that the PPKM still can be JT every month?</v>
      </c>
    </row>
    <row r="1014" ht="15.75" customHeight="1">
      <c r="A1014" s="2">
        <v>1013.0</v>
      </c>
      <c r="B1014" s="5" t="s">
        <v>1825</v>
      </c>
      <c r="C1014" s="6">
        <v>2.0</v>
      </c>
      <c r="D1014" s="9" t="s">
        <v>1826</v>
      </c>
      <c r="E1014" s="8" t="str">
        <f>IFERROR(__xludf.DUMMYFUNCTION("googletranslate(D1014,""id"",""en"")"),"if the ppkm has finished gasssss")</f>
        <v>if the ppkm has finished gasssss</v>
      </c>
    </row>
    <row r="1015" ht="15.75" customHeight="1">
      <c r="A1015" s="2">
        <v>1014.0</v>
      </c>
      <c r="B1015" s="5" t="s">
        <v>1827</v>
      </c>
      <c r="C1015" s="6">
        <v>1.0</v>
      </c>
      <c r="D1015" s="7" t="s">
        <v>1828</v>
      </c>
      <c r="E1015" s="8" t="str">
        <f>IFERROR(__xludf.DUMMYFUNCTION("googletranslate(D1015,""id"",""en"")"),"Vegetable selling is now quiet. Especially now PPKM is extended. But the spirit of the bastard can't give up")</f>
        <v>Vegetable selling is now quiet. Especially now PPKM is extended. But the spirit of the bastard can't give up</v>
      </c>
    </row>
    <row r="1016" ht="15.75" customHeight="1">
      <c r="A1016" s="2">
        <v>1015.0</v>
      </c>
      <c r="B1016" s="5" t="s">
        <v>1829</v>
      </c>
      <c r="C1016" s="6">
        <v>1.0</v>
      </c>
      <c r="D1016" s="9" t="s">
        <v>1830</v>
      </c>
      <c r="E1016" s="8" t="str">
        <f>IFERROR(__xludf.DUMMYFUNCTION("googletranslate(D1016,""id"",""en"")"),"Lu who is stupid nand school is not clear, my mind is cupet because of the ppkm not paid gajih lu, why don't you think you think you have a stupid award")</f>
        <v>Lu who is stupid nand school is not clear, my mind is cupet because of the ppkm not paid gajih lu, why don't you think you think you have a stupid award</v>
      </c>
    </row>
    <row r="1017" ht="15.75" customHeight="1">
      <c r="A1017" s="2">
        <v>1016.0</v>
      </c>
      <c r="B1017" s="5" t="s">
        <v>1831</v>
      </c>
      <c r="C1017" s="6">
        <v>2.0</v>
      </c>
      <c r="D1017" s="9" t="s">
        <v>1832</v>
      </c>
      <c r="E1017" s="8" t="str">
        <f>IFERROR(__xludf.DUMMYFUNCTION("googletranslate(D1017,""id"",""en"")"),"Let's go ppkm .. hug hug how come ...")</f>
        <v>Let's go ppkm .. hug hug how come ...</v>
      </c>
    </row>
    <row r="1018" ht="15.75" customHeight="1">
      <c r="A1018" s="2">
        <v>1017.0</v>
      </c>
      <c r="B1018" s="5" t="s">
        <v>1833</v>
      </c>
      <c r="C1018" s="6">
        <v>1.0</v>
      </c>
      <c r="D1018" s="7" t="s">
        <v>1834</v>
      </c>
      <c r="E1018" s="8" t="str">
        <f>IFERROR(__xludf.DUMMYFUNCTION("googletranslate(D1018,""id"",""en"")"),"It's not a lot of positive, every day it doesn't use a mask. There is no difference with PPKM and GA PPKM D Kircon mah")</f>
        <v>It's not a lot of positive, every day it doesn't use a mask. There is no difference with PPKM and GA PPKM D Kircon mah</v>
      </c>
    </row>
    <row r="1019" ht="15.75" customHeight="1">
      <c r="A1019" s="2">
        <v>1018.0</v>
      </c>
      <c r="B1019" s="5" t="s">
        <v>1835</v>
      </c>
      <c r="C1019" s="6">
        <v>2.0</v>
      </c>
      <c r="D1019" s="7" t="s">
        <v>1835</v>
      </c>
      <c r="E1019" s="8" t="str">
        <f>IFERROR(__xludf.DUMMYFUNCTION("googletranslate(D1019,""id"",""en"")"),"PPKM, once borrowed then disappeared")</f>
        <v>PPKM, once borrowed then disappeared</v>
      </c>
    </row>
    <row r="1020" ht="15.75" customHeight="1">
      <c r="A1020" s="2">
        <v>1019.0</v>
      </c>
      <c r="B1020" s="5" t="s">
        <v>1836</v>
      </c>
      <c r="C1020" s="6">
        <v>1.0</v>
      </c>
      <c r="D1020" s="9" t="s">
        <v>1836</v>
      </c>
      <c r="E1020" s="8" t="str">
        <f>IFERROR(__xludf.DUMMYFUNCTION("googletranslate(D1020,""id"",""en"")"),"I'm gakakuka ppkm if your ppk i like it")</f>
        <v>I'm gakakuka ppkm if your ppk i like it</v>
      </c>
    </row>
    <row r="1021" ht="15.75" customHeight="1">
      <c r="A1021" s="2">
        <v>1020.0</v>
      </c>
      <c r="B1021" s="5" t="s">
        <v>1837</v>
      </c>
      <c r="C1021" s="6">
        <v>2.0</v>
      </c>
      <c r="D1021" s="9" t="s">
        <v>1838</v>
      </c>
      <c r="E1021" s="8" t="str">
        <f>IFERROR(__xludf.DUMMYFUNCTION("googletranslate(D1021,""id"",""en"")"),"Heloooooo ... ppkm")</f>
        <v>Heloooooo ... ppkm</v>
      </c>
    </row>
    <row r="1022" ht="15.75" customHeight="1">
      <c r="A1022" s="2">
        <v>1021.0</v>
      </c>
      <c r="B1022" s="5" t="s">
        <v>1839</v>
      </c>
      <c r="C1022" s="6">
        <v>2.0</v>
      </c>
      <c r="D1022" s="7" t="s">
        <v>1840</v>
      </c>
      <c r="E1022" s="8" t="str">
        <f>IFERROR(__xludf.DUMMYFUNCTION("googletranslate(D1022,""id"",""en"")"),"He said that because he got covid it wasn't because of PPKM")</f>
        <v>He said that because he got covid it wasn't because of PPKM</v>
      </c>
    </row>
    <row r="1023" ht="15.75" customHeight="1">
      <c r="A1023" s="2">
        <v>1022.0</v>
      </c>
      <c r="B1023" s="5" t="s">
        <v>1841</v>
      </c>
      <c r="C1023" s="6">
        <v>2.0</v>
      </c>
      <c r="D1023" s="9" t="s">
        <v>1842</v>
      </c>
      <c r="E1023" s="8" t="str">
        <f>IFERROR(__xludf.DUMMYFUNCTION("googletranslate(D1023,""id"",""en"")"),"Ppkm right curfew, soap operas also night, don't it be good where is it ??? out of the house during the ppkm can't, watching soap operas during the ppkm at home it's not allowed, what can we do it during the ppkm ?? Make a baby???")</f>
        <v>Ppkm right curfew, soap operas also night, don't it be good where is it ??? out of the house during the ppkm can't, watching soap operas during the ppkm at home it's not allowed, what can we do it during the ppkm ?? Make a baby???</v>
      </c>
    </row>
    <row r="1024" ht="15.75" customHeight="1">
      <c r="A1024" s="2">
        <v>1023.0</v>
      </c>
      <c r="B1024" s="5" t="s">
        <v>1843</v>
      </c>
      <c r="C1024" s="6">
        <v>1.0</v>
      </c>
      <c r="D1024" s="7" t="s">
        <v>1844</v>
      </c>
      <c r="E1024" s="8" t="str">
        <f>IFERROR(__xludf.DUMMYFUNCTION("googletranslate(D1024,""id"",""en"")"),"PPKM is indeed ineffective.")</f>
        <v>PPKM is indeed ineffective.</v>
      </c>
    </row>
    <row r="1025" ht="15.75" customHeight="1">
      <c r="A1025" s="2">
        <v>1024.0</v>
      </c>
      <c r="B1025" s="5" t="s">
        <v>1845</v>
      </c>
      <c r="C1025" s="6">
        <v>1.0</v>
      </c>
      <c r="D1025" s="7" t="s">
        <v>1846</v>
      </c>
      <c r="E1025" s="8" t="str">
        <f>IFERROR(__xludf.DUMMYFUNCTION("googletranslate(D1025,""id"",""en"")"),"Finally, he sold Malem for the PPKM groceries that were not like PSBB yesterday, the SBNR community was aware of Covid-19 there, every day there was a news of sorrow from Toa Mosques.")</f>
        <v>Finally, he sold Malem for the PPKM groceries that were not like PSBB yesterday, the SBNR community was aware of Covid-19 there, every day there was a news of sorrow from Toa Mosques.</v>
      </c>
    </row>
    <row r="1026" ht="15.75" customHeight="1">
      <c r="A1026" s="2">
        <v>1025.0</v>
      </c>
      <c r="B1026" s="5" t="s">
        <v>1847</v>
      </c>
      <c r="C1026" s="6">
        <v>1.0</v>
      </c>
      <c r="D1026" s="7" t="s">
        <v>1848</v>
      </c>
      <c r="E1026" s="8" t="str">
        <f>IFERROR(__xludf.DUMMYFUNCTION("googletranslate(D1026,""id"",""en"")"),"ppkm becomes mace that you can sell")</f>
        <v>ppkm becomes mace that you can sell</v>
      </c>
    </row>
    <row r="1027" ht="15.75" customHeight="1">
      <c r="A1027" s="2">
        <v>1026.0</v>
      </c>
      <c r="B1027" s="5" t="s">
        <v>1849</v>
      </c>
      <c r="C1027" s="6">
        <v>2.0</v>
      </c>
      <c r="D1027" s="7" t="s">
        <v>1849</v>
      </c>
      <c r="E1027" s="8" t="str">
        <f>IFERROR(__xludf.DUMMYFUNCTION("googletranslate(D1027,""id"",""en"")"),"More Madura stalls with pharmacies even though again Emergency PPKM ... hahaha")</f>
        <v>More Madura stalls with pharmacies even though again Emergency PPKM ... hahaha</v>
      </c>
    </row>
    <row r="1028" ht="15.75" customHeight="1">
      <c r="A1028" s="2">
        <v>1027.0</v>
      </c>
      <c r="B1028" s="5" t="s">
        <v>1850</v>
      </c>
      <c r="C1028" s="6">
        <v>1.0</v>
      </c>
      <c r="D1028" s="7" t="s">
        <v>1851</v>
      </c>
      <c r="E1028" s="8" t="str">
        <f>IFERROR(__xludf.DUMMYFUNCTION("googletranslate(D1028,""id"",""en"")"),"On Indo, the help of PPKM is not realized, especially the car prize of the car")</f>
        <v>On Indo, the help of PPKM is not realized, especially the car prize of the car</v>
      </c>
    </row>
    <row r="1029" ht="15.75" customHeight="1">
      <c r="A1029" s="2">
        <v>1028.0</v>
      </c>
      <c r="B1029" s="5" t="s">
        <v>1852</v>
      </c>
      <c r="C1029" s="6">
        <v>2.0</v>
      </c>
      <c r="D1029" s="9" t="s">
        <v>1853</v>
      </c>
      <c r="E1029" s="8" t="str">
        <f>IFERROR(__xludf.DUMMYFUNCTION("googletranslate(D1029,""id"",""en"")"),"Only we often found it, just because again the ppkm became gabisa again, uh yesterday was sick then he was trying to make it after that it couldn't meet lgi, tasting ldr")</f>
        <v>Only we often found it, just because again the ppkm became gabisa again, uh yesterday was sick then he was trying to make it after that it couldn't meet lgi, tasting ldr</v>
      </c>
    </row>
    <row r="1030" ht="15.75" customHeight="1">
      <c r="A1030" s="2">
        <v>1029.0</v>
      </c>
      <c r="B1030" s="5" t="s">
        <v>1854</v>
      </c>
      <c r="C1030" s="6">
        <v>1.0</v>
      </c>
      <c r="D1030" s="7" t="s">
        <v>1855</v>
      </c>
      <c r="E1030" s="8" t="str">
        <f>IFERROR(__xludf.DUMMYFUNCTION("googletranslate(D1030,""id"",""en"")"),"Residents were shocked, because it was filled in basic necessities just enough for the day while PPKM was more than Sunday. Bhak.")</f>
        <v>Residents were shocked, because it was filled in basic necessities just enough for the day while PPKM was more than Sunday. Bhak.</v>
      </c>
    </row>
    <row r="1031" ht="15.75" customHeight="1">
      <c r="A1031" s="2">
        <v>1030.0</v>
      </c>
      <c r="B1031" s="5" t="s">
        <v>1856</v>
      </c>
      <c r="C1031" s="6">
        <v>3.0</v>
      </c>
      <c r="D1031" s="7" t="s">
        <v>1857</v>
      </c>
      <c r="E1031" s="8" t="str">
        <f>IFERROR(__xludf.DUMMYFUNCTION("googletranslate(D1031,""id"",""en"")"),"Hopefully it's really until the end of July it's not extended lagiso hope the citizens also obey this PPKM rule so that the Covid case decreases")</f>
        <v>Hopefully it's really until the end of July it's not extended lagiso hope the citizens also obey this PPKM rule so that the Covid case decreases</v>
      </c>
    </row>
    <row r="1032" ht="15.75" customHeight="1">
      <c r="A1032" s="2">
        <v>1031.0</v>
      </c>
      <c r="B1032" s="5" t="s">
        <v>1858</v>
      </c>
      <c r="C1032" s="6">
        <v>1.0</v>
      </c>
      <c r="D1032" s="7" t="s">
        <v>1859</v>
      </c>
      <c r="E1032" s="8" t="str">
        <f>IFERROR(__xludf.DUMMYFUNCTION("googletranslate(D1032,""id"",""en"")"),"PEM Capable Handles Emergency PPKM Because HRS It is gradual and consistent in educating MASY and fostering the awareness of MRK Min Prokes and encouraging MRK to adapt to the current conditions for the good of MrK himself")</f>
        <v>PEM Capable Handles Emergency PPKM Because HRS It is gradual and consistent in educating MASY and fostering the awareness of MRK Min Prokes and encouraging MRK to adapt to the current conditions for the good of MrK himself</v>
      </c>
    </row>
    <row r="1033" ht="15.75" customHeight="1">
      <c r="A1033" s="2">
        <v>1032.0</v>
      </c>
      <c r="B1033" s="5" t="s">
        <v>1860</v>
      </c>
      <c r="C1033" s="6">
        <v>1.0</v>
      </c>
      <c r="D1033" s="9" t="s">
        <v>1861</v>
      </c>
      <c r="E1033" s="8" t="str">
        <f>IFERROR(__xludf.DUMMYFUNCTION("googletranslate(D1033,""id"",""en"")"),"According to information from Medsos, it is logically why the people themselves are locked up (PPKM) while TKA from China is free of entry, and the possibility of China's purpose leaking into the country is only the stupid government we are too easy to lu"&amp;"re with loans.")</f>
        <v>According to information from Medsos, it is logically why the people themselves are locked up (PPKM) while TKA from China is free of entry, and the possibility of China's purpose leaking into the country is only the stupid government we are too easy to lure with loans.</v>
      </c>
    </row>
    <row r="1034" ht="15.75" customHeight="1">
      <c r="A1034" s="2">
        <v>1033.0</v>
      </c>
      <c r="B1034" s="5" t="s">
        <v>1862</v>
      </c>
      <c r="C1034" s="6">
        <v>2.0</v>
      </c>
      <c r="D1034" s="7" t="s">
        <v>1863</v>
      </c>
      <c r="E1034" s="8" t="str">
        <f>IFERROR(__xludf.DUMMYFUNCTION("googletranslate(D1034,""id"",""en"")"),"Different province mak wkwk again ppkm also road on closed")</f>
        <v>Different province mak wkwk again ppkm also road on closed</v>
      </c>
    </row>
    <row r="1035" ht="15.75" customHeight="1">
      <c r="A1035" s="2">
        <v>1034.0</v>
      </c>
      <c r="B1035" s="5" t="s">
        <v>1864</v>
      </c>
      <c r="C1035" s="6">
        <v>2.0</v>
      </c>
      <c r="D1035" s="9" t="s">
        <v>1865</v>
      </c>
      <c r="E1035" s="8" t="str">
        <f>IFERROR(__xludf.DUMMYFUNCTION("googletranslate(D1035,""id"",""en"")"),"ppkm (want to hug kang masjeemin)")</f>
        <v>ppkm (want to hug kang masjeemin)</v>
      </c>
    </row>
    <row r="1036" ht="15.75" customHeight="1">
      <c r="A1036" s="2">
        <v>1035.0</v>
      </c>
      <c r="B1036" s="5" t="s">
        <v>1866</v>
      </c>
      <c r="C1036" s="6">
        <v>1.0</v>
      </c>
      <c r="D1036" s="9" t="s">
        <v>1867</v>
      </c>
      <c r="E1036" s="8" t="str">
        <f>IFERROR(__xludf.DUMMYFUNCTION("googletranslate(D1036,""id"",""en"")"),"Ppkm in Indonesia but I attempt, because with the ppkm my mother can't sell, why my family can help, even though we are the middle class down Loo, if you sell what you want to eat sir ??")</f>
        <v>Ppkm in Indonesia but I attempt, because with the ppkm my mother can't sell, why my family can help, even though we are the middle class down Loo, if you sell what you want to eat sir ??</v>
      </c>
    </row>
    <row r="1037" ht="15.75" customHeight="1">
      <c r="A1037" s="2">
        <v>1036.0</v>
      </c>
      <c r="B1037" s="5" t="s">
        <v>1868</v>
      </c>
      <c r="C1037" s="6">
        <v>2.0</v>
      </c>
      <c r="D1037" s="7" t="s">
        <v>1869</v>
      </c>
      <c r="E1037" s="8" t="str">
        <f>IFERROR(__xludf.DUMMYFUNCTION("googletranslate(D1037,""id"",""en"")"),"CPKM Elan softly we stride")</f>
        <v>CPKM Elan softly we stride</v>
      </c>
    </row>
    <row r="1038" ht="15.75" customHeight="1">
      <c r="A1038" s="2">
        <v>1037.0</v>
      </c>
      <c r="B1038" s="5" t="s">
        <v>1870</v>
      </c>
      <c r="C1038" s="6">
        <v>1.0</v>
      </c>
      <c r="D1038" s="9" t="s">
        <v>1871</v>
      </c>
      <c r="E1038" s="8" t="str">
        <f>IFERROR(__xludf.DUMMYFUNCTION("googletranslate(D1038,""id"",""en"")"),"Bro, I'm looking for a pharmacy, how come the pharmacy is not open? He said, the emergency ppkm is still on the close, the pharmacy, which is just closed ... it's open, it means that if this is the one until it's up to it ... just arrived at the time of t"&amp;"he problem. . usually if you get it until it's clock")</f>
        <v>Bro, I'm looking for a pharmacy, how come the pharmacy is not open? He said, the emergency ppkm is still on the close, the pharmacy, which is just closed ... it's open, it means that if this is the one until it's up to it ... just arrived at the time of the problem. . usually if you get it until it's clock</v>
      </c>
    </row>
    <row r="1039" ht="15.75" customHeight="1">
      <c r="A1039" s="2">
        <v>1038.0</v>
      </c>
      <c r="B1039" s="5" t="s">
        <v>1872</v>
      </c>
      <c r="C1039" s="6">
        <v>1.0</v>
      </c>
      <c r="D1039" s="7" t="s">
        <v>1873</v>
      </c>
      <c r="E1039" s="8" t="str">
        <f>IFERROR(__xludf.DUMMYFUNCTION("googletranslate(D1039,""id"",""en"")"),"The impact of the climber finally I felt too ... hours of night, looking for medicine ... huh, because there was no one who opened ... in Neu Jelen, he said again, the emergency ppkm..helah muter2 finally got a pharmacy open")</f>
        <v>The impact of the climber finally I felt too ... hours of night, looking for medicine ... huh, because there was no one who opened ... in Neu Jelen, he said again, the emergency ppkm..helah muter2 finally got a pharmacy open</v>
      </c>
    </row>
    <row r="1040" ht="15.75" customHeight="1">
      <c r="A1040" s="2">
        <v>1039.0</v>
      </c>
      <c r="B1040" s="5" t="s">
        <v>1874</v>
      </c>
      <c r="C1040" s="6">
        <v>2.0</v>
      </c>
      <c r="D1040" s="7" t="s">
        <v>1875</v>
      </c>
      <c r="E1040" s="8" t="str">
        <f>IFERROR(__xludf.DUMMYFUNCTION("googletranslate(D1040,""id"",""en"")"),"Fined or a prison like a PPKM violator?")</f>
        <v>Fined or a prison like a PPKM violator?</v>
      </c>
    </row>
    <row r="1041" ht="15.75" customHeight="1">
      <c r="A1041" s="2">
        <v>1040.0</v>
      </c>
      <c r="B1041" s="5" t="s">
        <v>1876</v>
      </c>
      <c r="C1041" s="6">
        <v>1.0</v>
      </c>
      <c r="D1041" s="7" t="s">
        <v>1877</v>
      </c>
      <c r="E1041" s="8" t="str">
        <f>IFERROR(__xludf.DUMMYFUNCTION("googletranslate(D1041,""id"",""en"")"),"Symbolic fuck. Immatal emergency conditions create strategic policies, policies that can have a big impact on the community. This PPKM is extended if the handling of the model is still not finished.")</f>
        <v>Symbolic fuck. Immatal emergency conditions create strategic policies, policies that can have a big impact on the community. This PPKM is extended if the handling of the model is still not finished.</v>
      </c>
    </row>
    <row r="1042" ht="15.75" customHeight="1">
      <c r="A1042" s="2">
        <v>1041.0</v>
      </c>
      <c r="B1042" s="5" t="s">
        <v>1878</v>
      </c>
      <c r="C1042" s="6">
        <v>1.0</v>
      </c>
      <c r="D1042" s="9" t="s">
        <v>1879</v>
      </c>
      <c r="E1042" s="8" t="str">
        <f>IFERROR(__xludf.DUMMYFUNCTION("googletranslate(D1042,""id"",""en"")"),"If you know this is why the PPKM is extended ?? How do you want to help go together if there are many who are unemployed ?? Payday also kagak boss .... the people are asked to mutual cooperation but the ""representatives of the people"" to help me ??")</f>
        <v>If you know this is why the PPKM is extended ?? How do you want to help go together if there are many who are unemployed ?? Payday also kagak boss .... the people are asked to mutual cooperation but the "representatives of the people" to help me ??</v>
      </c>
    </row>
    <row r="1043" ht="15.75" customHeight="1">
      <c r="A1043" s="2">
        <v>1042.0</v>
      </c>
      <c r="B1043" s="5" t="s">
        <v>1880</v>
      </c>
      <c r="C1043" s="6">
        <v>2.0</v>
      </c>
      <c r="D1043" s="7" t="s">
        <v>1881</v>
      </c>
      <c r="E1043" s="8" t="str">
        <f>IFERROR(__xludf.DUMMYFUNCTION("googletranslate(D1043,""id"",""en"")"),"What are the contents of the GoodieBag PPKM? You can know the kbrnya goodiebag ppkm, sorry Keepooo")</f>
        <v>What are the contents of the GoodieBag PPKM? You can know the kbrnya goodiebag ppkm, sorry Keepooo</v>
      </c>
    </row>
    <row r="1044" ht="15.75" customHeight="1">
      <c r="A1044" s="2">
        <v>1043.0</v>
      </c>
      <c r="B1044" s="5" t="s">
        <v>1882</v>
      </c>
      <c r="C1044" s="6">
        <v>1.0</v>
      </c>
      <c r="D1044" s="7" t="s">
        <v>1883</v>
      </c>
      <c r="E1044" s="8" t="str">
        <f>IFERROR(__xludf.DUMMYFUNCTION("googletranslate(D1044,""id"",""en"")"),"You are a doctor. Covid doesn't make a stress that makes the stress that economically chaotic ...!")</f>
        <v>You are a doctor. Covid doesn't make a stress that makes the stress that economically chaotic ...!</v>
      </c>
    </row>
    <row r="1045" ht="15.75" customHeight="1">
      <c r="A1045" s="2">
        <v>1044.0</v>
      </c>
      <c r="B1045" s="5" t="s">
        <v>1884</v>
      </c>
      <c r="C1045" s="6">
        <v>1.0</v>
      </c>
      <c r="D1045" s="9" t="s">
        <v>1885</v>
      </c>
      <c r="E1045" s="8" t="str">
        <f>IFERROR(__xludf.DUMMYFUNCTION("googletranslate(D1045,""id"",""en"")"),"I'll ask for this year, he said again PPKM")</f>
        <v>I'll ask for this year, he said again PPKM</v>
      </c>
    </row>
    <row r="1046" ht="15.75" customHeight="1">
      <c r="A1046" s="2">
        <v>1045.0</v>
      </c>
      <c r="B1046" s="5" t="s">
        <v>1886</v>
      </c>
      <c r="C1046" s="6">
        <v>2.0</v>
      </c>
      <c r="D1046" s="9" t="s">
        <v>1886</v>
      </c>
      <c r="E1046" s="8" t="str">
        <f>IFERROR(__xludf.DUMMYFUNCTION("googletranslate(D1046,""id"",""en"")"),"Because of the many who ngjoke abbreviation PPKM instead so forget themselves meaning of the ori ppkm")</f>
        <v>Because of the many who ngjoke abbreviation PPKM instead so forget themselves meaning of the ori ppkm</v>
      </c>
    </row>
    <row r="1047" ht="15.75" customHeight="1">
      <c r="A1047" s="2">
        <v>1046.0</v>
      </c>
      <c r="B1047" s="5" t="s">
        <v>1887</v>
      </c>
      <c r="C1047" s="6">
        <v>1.0</v>
      </c>
      <c r="D1047" s="9" t="s">
        <v>1888</v>
      </c>
      <c r="E1047" s="8" t="str">
        <f>IFERROR(__xludf.DUMMYFUNCTION("googletranslate(D1047,""id"",""en"")"),"the pandemic ends when? The new wong variant can appear again and who has warning there will be a wave, an example of Singapore, strengthens the symptom system, enforce the proces, don't need the PPKM PSBB, which violates the Kakan Dice Law")</f>
        <v>the pandemic ends when? The new wong variant can appear again and who has warning there will be a wave, an example of Singapore, strengthens the symptom system, enforce the proces, don't need the PPKM PSBB, which violates the Kakan Dice Law</v>
      </c>
    </row>
    <row r="1048" ht="15.75" customHeight="1">
      <c r="A1048" s="2">
        <v>1047.0</v>
      </c>
      <c r="B1048" s="5" t="s">
        <v>1889</v>
      </c>
      <c r="C1048" s="6">
        <v>1.0</v>
      </c>
      <c r="D1048" s="7" t="s">
        <v>1890</v>
      </c>
      <c r="E1048" s="8" t="str">
        <f>IFERROR(__xludf.DUMMYFUNCTION("googletranslate(D1048,""id"",""en"")"),"Here it's been a black zone, bro, it's here, it's here, the one who is about the mask, the PPKM blm that makes it emotional ...")</f>
        <v>Here it's been a black zone, bro, it's here, it's here, the one who is about the mask, the PPKM blm that makes it emotional ...</v>
      </c>
    </row>
    <row r="1049" ht="15.75" customHeight="1">
      <c r="A1049" s="2">
        <v>1048.0</v>
      </c>
      <c r="B1049" s="5" t="s">
        <v>1891</v>
      </c>
      <c r="C1049" s="6">
        <v>1.0</v>
      </c>
      <c r="D1049" s="9" t="s">
        <v>1892</v>
      </c>
      <c r="E1049" s="8" t="str">
        <f>IFERROR(__xludf.DUMMYFUNCTION("googletranslate(D1049,""id"",""en"")"),"Even though PPKM is yes because he walks mulu yahh hadeugh")</f>
        <v>Even though PPKM is yes because he walks mulu yahh hadeugh</v>
      </c>
    </row>
    <row r="1050" ht="15.75" customHeight="1">
      <c r="A1050" s="2">
        <v>1049.0</v>
      </c>
      <c r="B1050" s="5" t="s">
        <v>1893</v>
      </c>
      <c r="C1050" s="6">
        <v>1.0</v>
      </c>
      <c r="D1050" s="7" t="s">
        <v>1894</v>
      </c>
      <c r="E1050" s="8" t="str">
        <f>IFERROR(__xludf.DUMMYFUNCTION("googletranslate(D1050,""id"",""en"")"),"PPKM in an extended hungry increasingly angry, not extended and exposed to the severe Zholim regime dilemma")</f>
        <v>PPKM in an extended hungry increasingly angry, not extended and exposed to the severe Zholim regime dilemma</v>
      </c>
    </row>
    <row r="1051" ht="15.75" customHeight="1">
      <c r="A1051" s="2">
        <v>1050.0</v>
      </c>
      <c r="B1051" s="5" t="s">
        <v>1895</v>
      </c>
      <c r="C1051" s="6">
        <v>2.0</v>
      </c>
      <c r="D1051" s="7" t="s">
        <v>1896</v>
      </c>
      <c r="E1051" s="8" t="str">
        <f>IFERROR(__xludf.DUMMYFUNCTION("googletranslate(D1051,""id"",""en"")"),"PPKM slowly you disappear")</f>
        <v>PPKM slowly you disappear</v>
      </c>
    </row>
    <row r="1052" ht="15.75" customHeight="1">
      <c r="A1052" s="2">
        <v>1051.0</v>
      </c>
      <c r="B1052" s="5" t="s">
        <v>1897</v>
      </c>
      <c r="C1052" s="6">
        <v>2.0</v>
      </c>
      <c r="D1052" s="9" t="s">
        <v>1898</v>
      </c>
      <c r="E1052" s="8" t="str">
        <f>IFERROR(__xludf.DUMMYFUNCTION("googletranslate(D1052,""id"",""en"")"),"PPKM Mulu How are you a boarding house? Safe gastric?")</f>
        <v>PPKM Mulu How are you a boarding house? Safe gastric?</v>
      </c>
    </row>
    <row r="1053" ht="15.75" customHeight="1">
      <c r="A1053" s="2">
        <v>1052.0</v>
      </c>
      <c r="B1053" s="5" t="s">
        <v>1899</v>
      </c>
      <c r="C1053" s="6">
        <v>1.0</v>
      </c>
      <c r="D1053" s="9" t="s">
        <v>1900</v>
      </c>
      <c r="E1053" s="8" t="str">
        <f>IFERROR(__xludf.DUMMYFUNCTION("googletranslate(D1053,""id"",""en"")"),"Lokdon or ppkm ...? If Lokdon means the Pemerti under the leadership loses class by the regional head ...")</f>
        <v>Lokdon or ppkm ...? If Lokdon means the Pemerti under the leadership loses class by the regional head ...</v>
      </c>
    </row>
    <row r="1054" ht="15.75" customHeight="1">
      <c r="A1054" s="2">
        <v>1053.0</v>
      </c>
      <c r="B1054" s="5" t="s">
        <v>1901</v>
      </c>
      <c r="C1054" s="6">
        <v>2.0</v>
      </c>
      <c r="D1054" s="7" t="s">
        <v>1902</v>
      </c>
      <c r="E1054" s="8" t="str">
        <f>IFERROR(__xludf.DUMMYFUNCTION("googletranslate(D1054,""id"",""en"")"),"Nnti after ppkm yuk")</f>
        <v>Nnti after ppkm yuk</v>
      </c>
    </row>
    <row r="1055" ht="15.75" customHeight="1">
      <c r="A1055" s="2">
        <v>1054.0</v>
      </c>
      <c r="B1055" s="5" t="s">
        <v>1903</v>
      </c>
      <c r="C1055" s="6">
        <v>1.0</v>
      </c>
      <c r="D1055" s="7" t="s">
        <v>1904</v>
      </c>
      <c r="E1055" s="8" t="str">
        <f>IFERROR(__xludf.DUMMYFUNCTION("googletranslate(D1055,""id"",""en"")"),"Agree ppkm but still hang out here and there")</f>
        <v>Agree ppkm but still hang out here and there</v>
      </c>
    </row>
    <row r="1056" ht="15.75" customHeight="1">
      <c r="A1056" s="2">
        <v>1055.0</v>
      </c>
      <c r="B1056" s="5" t="s">
        <v>1905</v>
      </c>
      <c r="C1056" s="6">
        <v>2.0</v>
      </c>
      <c r="D1056" s="7" t="s">
        <v>1906</v>
      </c>
      <c r="E1056" s="8" t="str">
        <f>IFERROR(__xludf.DUMMYFUNCTION("googletranslate(D1056,""id"",""en"")"),"Yeah, PPKM to the end of July")</f>
        <v>Yeah, PPKM to the end of July</v>
      </c>
    </row>
    <row r="1057" ht="15.75" customHeight="1">
      <c r="A1057" s="2">
        <v>1056.0</v>
      </c>
      <c r="B1057" s="5" t="s">
        <v>1907</v>
      </c>
      <c r="C1057" s="6">
        <v>2.0</v>
      </c>
      <c r="D1057" s="7" t="s">
        <v>1908</v>
      </c>
      <c r="E1057" s="8" t="str">
        <f>IFERROR(__xludf.DUMMYFUNCTION("googletranslate(D1057,""id"",""en"")"),"Ppkmpanlan soft you leave me")</f>
        <v>Ppkmpanlan soft you leave me</v>
      </c>
    </row>
    <row r="1058" ht="15.75" customHeight="1">
      <c r="A1058" s="2">
        <v>1057.0</v>
      </c>
      <c r="B1058" s="5" t="s">
        <v>1909</v>
      </c>
      <c r="C1058" s="6">
        <v>1.0</v>
      </c>
      <c r="D1058" s="7" t="s">
        <v>1910</v>
      </c>
      <c r="E1058" s="8" t="str">
        <f>IFERROR(__xludf.DUMMYFUNCTION("googletranslate(D1058,""id"",""en"")"),"But listen to the kua closed the PPKM suru onlen just said")</f>
        <v>But listen to the kua closed the PPKM suru onlen just said</v>
      </c>
    </row>
    <row r="1059" ht="15.75" customHeight="1">
      <c r="A1059" s="2">
        <v>1058.0</v>
      </c>
      <c r="B1059" s="5" t="s">
        <v>1911</v>
      </c>
      <c r="C1059" s="6">
        <v>1.0</v>
      </c>
      <c r="D1059" s="9" t="s">
        <v>1912</v>
      </c>
      <c r="E1059" s="8" t="str">
        <f>IFERROR(__xludf.DUMMYFUNCTION("googletranslate(D1059,""id"",""en"")"),"Ni, people are busy talking to PPKM you are busy troubling anies just ... mslh anies and there are those who are handled, people's problems that impact from PPKM who are taking care of")</f>
        <v>Ni, people are busy talking to PPKM you are busy troubling anies just ... mslh anies and there are those who are handled, people's problems that impact from PPKM who are taking care of</v>
      </c>
    </row>
    <row r="1060" ht="15.75" customHeight="1">
      <c r="A1060" s="2">
        <v>1059.0</v>
      </c>
      <c r="B1060" s="5" t="s">
        <v>1913</v>
      </c>
      <c r="C1060" s="6">
        <v>1.0</v>
      </c>
      <c r="D1060" s="7" t="s">
        <v>1913</v>
      </c>
      <c r="E1060" s="8" t="str">
        <f>IFERROR(__xludf.DUMMYFUNCTION("googletranslate(D1060,""id"",""en"")"),"Short just make a noasion especially in the extension ... (ppkm)")</f>
        <v>Short just make a noasion especially in the extension ... (ppkm)</v>
      </c>
    </row>
    <row r="1061" ht="15.75" customHeight="1">
      <c r="A1061" s="2">
        <v>1060.0</v>
      </c>
      <c r="B1061" s="5" t="s">
        <v>1914</v>
      </c>
      <c r="C1061" s="6">
        <v>1.0</v>
      </c>
      <c r="D1061" s="9" t="s">
        <v>1915</v>
      </c>
      <c r="E1061" s="8" t="str">
        <f>IFERROR(__xludf.DUMMYFUNCTION("googletranslate(D1061,""id"",""en"")"),"Don't make this, how do you want PPKM? I don't think it's funny ...")</f>
        <v>Don't make this, how do you want PPKM? I don't think it's funny ...</v>
      </c>
    </row>
    <row r="1062" ht="15.75" customHeight="1">
      <c r="A1062" s="2">
        <v>1061.0</v>
      </c>
      <c r="B1062" s="5" t="s">
        <v>1916</v>
      </c>
      <c r="C1062" s="6">
        <v>2.0</v>
      </c>
      <c r="D1062" s="7" t="s">
        <v>1917</v>
      </c>
      <c r="E1062" s="8" t="str">
        <f>IFERROR(__xludf.DUMMYFUNCTION("googletranslate(D1062,""id"",""en"")"),"""As happened now, the PPKM"" (first cared then disappeared) Karawang, July")</f>
        <v>"As happened now, the PPKM" (first cared then disappeared) Karawang, July</v>
      </c>
    </row>
    <row r="1063" ht="15.75" customHeight="1">
      <c r="A1063" s="2">
        <v>1062.0</v>
      </c>
      <c r="B1063" s="5" t="s">
        <v>1918</v>
      </c>
      <c r="C1063" s="6">
        <v>1.0</v>
      </c>
      <c r="D1063" s="9" t="s">
        <v>1919</v>
      </c>
      <c r="E1063" s="8" t="str">
        <f>IFERROR(__xludf.DUMMYFUNCTION("googletranslate(D1063,""id"",""en"")"),"Yes, agree once! With the extension of the PPKM Inshaaallah, it will accelerate the setting of the regime ... then buzzerp fate? The kitchen can not bangle!")</f>
        <v>Yes, agree once! With the extension of the PPKM Inshaaallah, it will accelerate the setting of the regime ... then buzzerp fate? The kitchen can not bangle!</v>
      </c>
    </row>
    <row r="1064" ht="15.75" customHeight="1">
      <c r="A1064" s="2">
        <v>1063.0</v>
      </c>
      <c r="B1064" s="5" t="s">
        <v>1920</v>
      </c>
      <c r="C1064" s="6">
        <v>2.0</v>
      </c>
      <c r="D1064" s="9" t="s">
        <v>1921</v>
      </c>
      <c r="E1064" s="8" t="str">
        <f>IFERROR(__xludf.DUMMYFUNCTION("googletranslate(D1064,""id"",""en"")"),"It turns out the account can be caught in PPKM, extraordinary")</f>
        <v>It turns out the account can be caught in PPKM, extraordinary</v>
      </c>
    </row>
    <row r="1065" ht="15.75" customHeight="1">
      <c r="A1065" s="2">
        <v>1064.0</v>
      </c>
      <c r="B1065" s="5" t="s">
        <v>1922</v>
      </c>
      <c r="C1065" s="6">
        <v>2.0</v>
      </c>
      <c r="D1065" s="7" t="s">
        <v>1922</v>
      </c>
      <c r="E1065" s="8" t="str">
        <f>IFERROR(__xludf.DUMMYFUNCTION("googletranslate(D1065,""id"",""en"")"),"""As long as the PPKM doesn't need to cook, just snack"" - husband")</f>
        <v>"As long as the PPKM doesn't need to cook, just snack" - husband</v>
      </c>
    </row>
    <row r="1066" ht="15.75" customHeight="1">
      <c r="A1066" s="2">
        <v>1065.0</v>
      </c>
      <c r="B1066" s="5" t="s">
        <v>1923</v>
      </c>
      <c r="C1066" s="6">
        <v>1.0</v>
      </c>
      <c r="D1066" s="7" t="s">
        <v>1924</v>
      </c>
      <c r="E1066" s="8" t="str">
        <f>IFERROR(__xludf.DUMMYFUNCTION("googletranslate(D1066,""id"",""en"")"),"For the sake of anything, it can eat Kebon Sirih fried rice, PPKM when it is anniversary")</f>
        <v>For the sake of anything, it can eat Kebon Sirih fried rice, PPKM when it is anniversary</v>
      </c>
    </row>
    <row r="1067" ht="15.75" customHeight="1">
      <c r="A1067" s="2">
        <v>1066.0</v>
      </c>
      <c r="B1067" s="5" t="s">
        <v>1925</v>
      </c>
      <c r="C1067" s="6">
        <v>1.0</v>
      </c>
      <c r="D1067" s="9" t="s">
        <v>1926</v>
      </c>
      <c r="E1067" s="8" t="str">
        <f>IFERROR(__xludf.DUMMYFUNCTION("googletranslate(D1067,""id"",""en"")"),"Does it be like this honorable father of the President ??? The man covered in blood at the Solok-Padang PPKM insulation post, admitted his eyes stabbed by officers and blind")</f>
        <v>Does it be like this honorable father of the President ??? The man covered in blood at the Solok-Padang PPKM insulation post, admitted his eyes stabbed by officers and blind</v>
      </c>
    </row>
    <row r="1068" ht="15.75" customHeight="1">
      <c r="A1068" s="2">
        <v>1067.0</v>
      </c>
      <c r="B1068" s="5" t="s">
        <v>1927</v>
      </c>
      <c r="C1068" s="6">
        <v>3.0</v>
      </c>
      <c r="D1068" s="9" t="s">
        <v>1928</v>
      </c>
      <c r="E1068" s="8" t="str">
        <f>IFERROR(__xludf.DUMMYFUNCTION("googletranslate(D1068,""id"",""en"")"),"Curcol 'I obey the PPKM hoped this Pademi was quickly finished, so that I could work again (Eo), it feels like to cry to see people who arbitrarily violate PPKM, Prames, etc. Help a water sister, let's compact so that this Pademi is quick to finish.")</f>
        <v>Curcol 'I obey the PPKM hoped this Pademi was quickly finished, so that I could work again (Eo), it feels like to cry to see people who arbitrarily violate PPKM, Prames, etc. Help a water sister, let's compact so that this Pademi is quick to finish.</v>
      </c>
    </row>
    <row r="1069" ht="15.75" customHeight="1">
      <c r="A1069" s="2">
        <v>1068.0</v>
      </c>
      <c r="B1069" s="5" t="s">
        <v>1929</v>
      </c>
      <c r="C1069" s="6">
        <v>2.0</v>
      </c>
      <c r="D1069" s="10" t="s">
        <v>1930</v>
      </c>
      <c r="E1069" s="8" t="str">
        <f>IFERROR(__xludf.DUMMYFUNCTION("googletranslate(D1069,""id"",""en"")"),"Abis PPKM.")</f>
        <v>Abis PPKM.</v>
      </c>
    </row>
    <row r="1070" ht="15.75" customHeight="1">
      <c r="A1070" s="2">
        <v>1069.0</v>
      </c>
      <c r="B1070" s="5" t="s">
        <v>1931</v>
      </c>
      <c r="C1070" s="6">
        <v>2.0</v>
      </c>
      <c r="D1070" s="7" t="s">
        <v>1932</v>
      </c>
      <c r="E1070" s="8" t="str">
        <f>IFERROR(__xludf.DUMMYFUNCTION("googletranslate(D1070,""id"",""en"")"),"ok later Hbis ppkm")</f>
        <v>ok later Hbis ppkm</v>
      </c>
    </row>
    <row r="1071" ht="15.75" customHeight="1">
      <c r="A1071" s="2">
        <v>1070.0</v>
      </c>
      <c r="B1071" s="5" t="s">
        <v>1933</v>
      </c>
      <c r="C1071" s="6">
        <v>2.0</v>
      </c>
      <c r="D1071" s="7" t="s">
        <v>1933</v>
      </c>
      <c r="E1071" s="8" t="str">
        <f>IFERROR(__xludf.DUMMYFUNCTION("googletranslate(D1071,""id"",""en"")"),"ppkm - slowly you put it down")</f>
        <v>ppkm - slowly you put it down</v>
      </c>
    </row>
    <row r="1072" ht="15.75" customHeight="1">
      <c r="A1072" s="2">
        <v>1071.0</v>
      </c>
      <c r="B1072" s="5" t="s">
        <v>1934</v>
      </c>
      <c r="C1072" s="6">
        <v>2.0</v>
      </c>
      <c r="D1072" s="7" t="s">
        <v>1935</v>
      </c>
      <c r="E1072" s="8" t="str">
        <f>IFERROR(__xludf.DUMMYFUNCTION("googletranslate(D1072,""id"",""en"")"),"Still waiting for a package that is very eagerly wait for extended extended orz")</f>
        <v>Still waiting for a package that is very eagerly wait for extended extended orz</v>
      </c>
    </row>
    <row r="1073" ht="15.75" customHeight="1">
      <c r="A1073" s="2">
        <v>1072.0</v>
      </c>
      <c r="B1073" s="5" t="s">
        <v>1936</v>
      </c>
      <c r="C1073" s="6">
        <v>1.0</v>
      </c>
      <c r="D1073" s="7" t="s">
        <v>1936</v>
      </c>
      <c r="E1073" s="8" t="str">
        <f>IFERROR(__xludf.DUMMYFUNCTION("googletranslate(D1073,""id"",""en"")"),"Want Kariii Kuah Porridge, but LG PPKM is sure to don't pass the front of Huffft's house")</f>
        <v>Want Kariii Kuah Porridge, but LG PPKM is sure to don't pass the front of Huffft's house</v>
      </c>
    </row>
    <row r="1074" ht="15.75" customHeight="1">
      <c r="A1074" s="2">
        <v>1073.0</v>
      </c>
      <c r="B1074" s="5" t="s">
        <v>1937</v>
      </c>
      <c r="C1074" s="6">
        <v>1.0</v>
      </c>
      <c r="D1074" s="7" t="s">
        <v>1938</v>
      </c>
      <c r="E1074" s="8" t="str">
        <f>IFERROR(__xludf.DUMMYFUNCTION("googletranslate(D1074,""id"",""en"")"),"Our slow PPKmpanlan modyar")</f>
        <v>Our slow PPKmpanlan modyar</v>
      </c>
    </row>
    <row r="1075" ht="15.75" customHeight="1">
      <c r="A1075" s="2">
        <v>1074.0</v>
      </c>
      <c r="B1075" s="5" t="s">
        <v>1939</v>
      </c>
      <c r="C1075" s="6">
        <v>2.0</v>
      </c>
      <c r="D1075" s="9" t="s">
        <v>1940</v>
      </c>
      <c r="E1075" s="8" t="str">
        <f>IFERROR(__xludf.DUMMYFUNCTION("googletranslate(D1075,""id"",""en"")"),"PPKM effect ""Please keep this eye away from the temptation of discount, promo, free postage, vouchers and friends"" are ngambit, God")</f>
        <v>PPKM effect "Please keep this eye away from the temptation of discount, promo, free postage, vouchers and friends" are ngambit, God</v>
      </c>
    </row>
    <row r="1076" ht="15.75" customHeight="1">
      <c r="A1076" s="2">
        <v>1075.0</v>
      </c>
      <c r="B1076" s="5" t="s">
        <v>1941</v>
      </c>
      <c r="C1076" s="6">
        <v>1.0</v>
      </c>
      <c r="D1076" s="7" t="s">
        <v>1942</v>
      </c>
      <c r="E1076" s="8" t="str">
        <f>IFERROR(__xludf.DUMMYFUNCTION("googletranslate(D1076,""id"",""en"")"),"Don't extend the PPKM again, sir, afraid there is a demo again in another city city")</f>
        <v>Don't extend the PPKM again, sir, afraid there is a demo again in another city city</v>
      </c>
    </row>
    <row r="1077" ht="15.75" customHeight="1">
      <c r="A1077" s="2">
        <v>1076.0</v>
      </c>
      <c r="B1077" s="5" t="s">
        <v>1943</v>
      </c>
      <c r="C1077" s="6">
        <v>1.0</v>
      </c>
      <c r="D1077" s="7" t="s">
        <v>1944</v>
      </c>
      <c r="E1077" s="8" t="str">
        <f>IFERROR(__xludf.DUMMYFUNCTION("googletranslate(D1077,""id"",""en"")"),"War training in the pandemic period? Is this a true purpose of PPKM? Poisoning People Through Vaxxxxsin continues to hand over the country to foreign &amp; amp; Aseng ????!")</f>
        <v>War training in the pandemic period? Is this a true purpose of PPKM? Poisoning People Through Vaxxxxsin continues to hand over the country to foreign &amp; amp; Aseng ????!</v>
      </c>
    </row>
    <row r="1078" ht="15.75" customHeight="1">
      <c r="A1078" s="2">
        <v>1077.0</v>
      </c>
      <c r="B1078" s="5" t="s">
        <v>1945</v>
      </c>
      <c r="C1078" s="6">
        <v>1.0</v>
      </c>
      <c r="D1078" s="9" t="s">
        <v>1946</v>
      </c>
      <c r="E1078" s="8" t="str">
        <f>IFERROR(__xludf.DUMMYFUNCTION("googletranslate(D1078,""id"",""en"")"),"Lahh emang emergency working ppkm solution? I just apologized because the stakeholder was not effective.")</f>
        <v>Lahh emang emergency working ppkm solution? I just apologized because the stakeholder was not effective.</v>
      </c>
    </row>
    <row r="1079" ht="15.75" customHeight="1">
      <c r="A1079" s="2">
        <v>1078.0</v>
      </c>
      <c r="B1079" s="5" t="s">
        <v>1947</v>
      </c>
      <c r="C1079" s="6">
        <v>1.0</v>
      </c>
      <c r="D1079" s="9" t="s">
        <v>1948</v>
      </c>
      <c r="E1079" s="8" t="str">
        <f>IFERROR(__xludf.DUMMYFUNCTION("googletranslate(D1079,""id"",""en"")"),"I don't care about you, but bring the ppkm, my word is really crazy. yes, just think about how much you don't eat because of this damn PPKM")</f>
        <v>I don't care about you, but bring the ppkm, my word is really crazy. yes, just think about how much you don't eat because of this damn PPKM</v>
      </c>
    </row>
    <row r="1080" ht="15.75" customHeight="1">
      <c r="A1080" s="2">
        <v>1079.0</v>
      </c>
      <c r="B1080" s="5" t="s">
        <v>1949</v>
      </c>
      <c r="C1080" s="6">
        <v>1.0</v>
      </c>
      <c r="D1080" s="9" t="s">
        <v>1949</v>
      </c>
      <c r="E1080" s="8" t="str">
        <f>IFERROR(__xludf.DUMMYFUNCTION("googletranslate(D1080,""id"",""en"")"),"Poor communication is ugly bangeeet. Tibang said ""the stabbed goods of PPKM"" should be brought first. Even then those who say they must be represented by others. Even though it was from the beginning to say that JG W would be ngertiin. This is mah even "&amp;"though I haven't clearly certainly certainty.")</f>
        <v>Poor communication is ugly bangeeet. Tibang said "the stabbed goods of PPKM" should be brought first. Even then those who say they must be represented by others. Even though it was from the beginning to say that JG W would be ngertiin. This is mah even though I haven't clearly certainly certainty.</v>
      </c>
    </row>
    <row r="1081" ht="15.75" customHeight="1">
      <c r="A1081" s="2">
        <v>1080.0</v>
      </c>
      <c r="B1081" s="5" t="s">
        <v>1950</v>
      </c>
      <c r="C1081" s="6">
        <v>1.0</v>
      </c>
      <c r="D1081" s="7" t="s">
        <v>1951</v>
      </c>
      <c r="E1081" s="8" t="str">
        <f>IFERROR(__xludf.DUMMYFUNCTION("googletranslate(D1081,""id"",""en"")"),"NS. Lha yesterday, Mr. Anoes already said. Adin PPKM a week. Rejected with the center. Who is the center. Know my own chairman and his president and whose minister of business? Wkwkwkkw.")</f>
        <v>NS. Lha yesterday, Mr. Anoes already said. Adin PPKM a week. Rejected with the center. Who is the center. Know my own chairman and his president and whose minister of business? Wkwkwkkw.</v>
      </c>
    </row>
    <row r="1082" ht="15.75" customHeight="1">
      <c r="A1082" s="2">
        <v>1081.0</v>
      </c>
      <c r="B1082" s="5" t="s">
        <v>1952</v>
      </c>
      <c r="C1082" s="6">
        <v>2.0</v>
      </c>
      <c r="D1082" s="9" t="s">
        <v>1953</v>
      </c>
      <c r="E1082" s="8" t="str">
        <f>IFERROR(__xludf.DUMMYFUNCTION("googletranslate(D1082,""id"",""en"")"),", I have the 1st Sinovac vaccine in South Jakarta on Jun then, so because now again PPKM and WFH I am in Bandung, I have a Bandung KTP if you can do the 2nd vaccine in Bandung? I tried contacting one of the Bandung cllys that provided vaccines, but couldn"&amp;"'t.")</f>
        <v>, I have the 1st Sinovac vaccine in South Jakarta on Jun then, so because now again PPKM and WFH I am in Bandung, I have a Bandung KTP if you can do the 2nd vaccine in Bandung? I tried contacting one of the Bandung cllys that provided vaccines, but couldn't.</v>
      </c>
    </row>
    <row r="1083" ht="15.75" customHeight="1">
      <c r="A1083" s="2">
        <v>1082.0</v>
      </c>
      <c r="B1083" s="5" t="s">
        <v>1954</v>
      </c>
      <c r="C1083" s="6">
        <v>2.0</v>
      </c>
      <c r="D1083" s="10" t="s">
        <v>1955</v>
      </c>
      <c r="E1083" s="8" t="str">
        <f>IFERROR(__xludf.DUMMYFUNCTION("googletranslate(D1083,""id"",""en"")"),"PPKM KI,")</f>
        <v>PPKM KI,</v>
      </c>
    </row>
    <row r="1084" ht="15.75" customHeight="1">
      <c r="A1084" s="2">
        <v>1083.0</v>
      </c>
      <c r="B1084" s="5" t="s">
        <v>1956</v>
      </c>
      <c r="C1084" s="6">
        <v>1.0</v>
      </c>
      <c r="D1084" s="7" t="s">
        <v>1957</v>
      </c>
      <c r="E1084" s="8" t="str">
        <f>IFERROR(__xludf.DUMMYFUNCTION("googletranslate(D1084,""id"",""en"")"),"Already know PPKM is troublesome, but told to the prokes just make a mask, it's hard, so, that's it, it's still the one to blame each other, it's only possible to be set.")</f>
        <v>Already know PPKM is troublesome, but told to the prokes just make a mask, it's hard, so, that's it, it's still the one to blame each other, it's only possible to be set.</v>
      </c>
    </row>
    <row r="1085" ht="15.75" customHeight="1">
      <c r="A1085" s="2">
        <v>1084.0</v>
      </c>
      <c r="B1085" s="5" t="s">
        <v>1958</v>
      </c>
      <c r="C1085" s="6">
        <v>2.0</v>
      </c>
      <c r="D1085" s="7" t="s">
        <v>1959</v>
      </c>
      <c r="E1085" s="8" t="str">
        <f>IFERROR(__xludf.DUMMYFUNCTION("googletranslate(D1085,""id"",""en"")"),"Malming PPKM Week, falling asleu of wake up in the morning. The stomach hurts between wants boker / eating.then it's both bruh")</f>
        <v>Malming PPKM Week, falling asleu of wake up in the morning. The stomach hurts between wants boker / eating.then it's both bruh</v>
      </c>
    </row>
    <row r="1086" ht="15.75" customHeight="1">
      <c r="A1086" s="2">
        <v>1085.0</v>
      </c>
      <c r="B1086" s="5" t="s">
        <v>1960</v>
      </c>
      <c r="C1086" s="6">
        <v>2.0</v>
      </c>
      <c r="D1086" s="7" t="s">
        <v>1961</v>
      </c>
      <c r="E1086" s="8" t="str">
        <f>IFERROR(__xludf.DUMMYFUNCTION("googletranslate(D1086,""id"",""en"")"),"Finished ppkm nongs in chicken noodles aldi taher capt")</f>
        <v>Finished ppkm nongs in chicken noodles aldi taher capt</v>
      </c>
    </row>
    <row r="1087" ht="15.75" customHeight="1">
      <c r="A1087" s="2">
        <v>1086.0</v>
      </c>
      <c r="B1087" s="5" t="s">
        <v>1962</v>
      </c>
      <c r="C1087" s="6">
        <v>1.0</v>
      </c>
      <c r="D1087" s="9" t="s">
        <v>1963</v>
      </c>
      <c r="E1087" s="8" t="str">
        <f>IFERROR(__xludf.DUMMYFUNCTION("googletranslate(D1087,""id"",""en"")"),"I think it's not first, but it's like that, it's another government, the needs of the people's needs during the PPKM, let alone watch soap operas that are not the use of the people ...")</f>
        <v>I think it's not first, but it's like that, it's another government, the needs of the people's needs during the PPKM, let alone watch soap operas that are not the use of the people ...</v>
      </c>
    </row>
    <row r="1088" ht="15.75" customHeight="1">
      <c r="A1088" s="2">
        <v>1087.0</v>
      </c>
      <c r="B1088" s="5" t="s">
        <v>1964</v>
      </c>
      <c r="C1088" s="6">
        <v>1.0</v>
      </c>
      <c r="D1088" s="7" t="s">
        <v>1965</v>
      </c>
      <c r="E1088" s="8" t="str">
        <f>IFERROR(__xludf.DUMMYFUNCTION("googletranslate(D1088,""id"",""en"")"),"Why is there a lot of Indonesian people who can't succeed in the regulation during the PPKM period? Then how come the Indonesian people are really naughty during the pandemic? Let me explain.")</f>
        <v>Why is there a lot of Indonesian people who can't succeed in the regulation during the PPKM period? Then how come the Indonesian people are really naughty during the pandemic? Let me explain.</v>
      </c>
    </row>
    <row r="1089" ht="15.75" customHeight="1">
      <c r="A1089" s="2">
        <v>1088.0</v>
      </c>
      <c r="B1089" s="5" t="s">
        <v>1966</v>
      </c>
      <c r="C1089" s="6">
        <v>1.0</v>
      </c>
      <c r="D1089" s="7" t="s">
        <v>1967</v>
      </c>
      <c r="E1089" s="8" t="str">
        <f>IFERROR(__xludf.DUMMYFUNCTION("googletranslate(D1089,""id"",""en"")"),"This means that PPKM is not effective. Applying the origin of the origin, instead of bothering the people")</f>
        <v>This means that PPKM is not effective. Applying the origin of the origin, instead of bothering the people</v>
      </c>
    </row>
    <row r="1090" ht="15.75" customHeight="1">
      <c r="A1090" s="2">
        <v>1089.0</v>
      </c>
      <c r="B1090" s="5" t="s">
        <v>1968</v>
      </c>
      <c r="C1090" s="6">
        <v>1.0</v>
      </c>
      <c r="D1090" s="7" t="s">
        <v>1969</v>
      </c>
      <c r="E1090" s="8" t="str">
        <f>IFERROR(__xludf.DUMMYFUNCTION("googletranslate(D1090,""id"",""en"")"),"If the community wants to be set, maybe the PPKM extension will not occur.")</f>
        <v>If the community wants to be set, maybe the PPKM extension will not occur.</v>
      </c>
    </row>
    <row r="1091" ht="15.75" customHeight="1">
      <c r="A1091" s="2">
        <v>1090.0</v>
      </c>
      <c r="B1091" s="5" t="s">
        <v>1970</v>
      </c>
      <c r="C1091" s="6">
        <v>2.0</v>
      </c>
      <c r="D1091" s="7" t="s">
        <v>1971</v>
      </c>
      <c r="E1091" s="8" t="str">
        <f>IFERROR(__xludf.DUMMYFUNCTION("googletranslate(D1091,""id"",""en"")"),"Like PPKM without PP")</f>
        <v>Like PPKM without PP</v>
      </c>
    </row>
    <row r="1092" ht="15.75" customHeight="1">
      <c r="A1092" s="2">
        <v>1091.0</v>
      </c>
      <c r="B1092" s="5" t="s">
        <v>1972</v>
      </c>
      <c r="C1092" s="6">
        <v>2.0</v>
      </c>
      <c r="D1092" s="7" t="s">
        <v>1973</v>
      </c>
      <c r="E1092" s="8" t="str">
        <f>IFERROR(__xludf.DUMMYFUNCTION("googletranslate(D1092,""id"",""en"")"),"Sampean account is still hit by PPKM X...Sabar ... what don't be a custainer, bro, bring hate")</f>
        <v>Sampean account is still hit by PPKM X...Sabar ... what don't be a custainer, bro, bring hate</v>
      </c>
    </row>
    <row r="1093" ht="15.75" customHeight="1">
      <c r="A1093" s="2">
        <v>1092.0</v>
      </c>
      <c r="B1093" s="5" t="s">
        <v>1974</v>
      </c>
      <c r="C1093" s="6">
        <v>2.0</v>
      </c>
      <c r="D1093" s="7" t="s">
        <v>1975</v>
      </c>
      <c r="E1093" s="8" t="str">
        <f>IFERROR(__xludf.DUMMYFUNCTION("googletranslate(D1093,""id"",""en"")"),"Still online until the ppkm is like, are you offline?")</f>
        <v>Still online until the ppkm is like, are you offline?</v>
      </c>
    </row>
    <row r="1094" ht="15.75" customHeight="1">
      <c r="A1094" s="2">
        <v>1093.0</v>
      </c>
      <c r="B1094" s="5" t="s">
        <v>1976</v>
      </c>
      <c r="C1094" s="6">
        <v>2.0</v>
      </c>
      <c r="D1094" s="9" t="s">
        <v>1977</v>
      </c>
      <c r="E1094" s="8" t="str">
        <f>IFERROR(__xludf.DUMMYFUNCTION("googletranslate(D1094,""id"",""en"")"),"Plus PPKM, eating increasingly controlled this seems. And I already feel really hard this body but I'm comfortable. Comfortable the mager is also comfortable, it doesn't need to be a healthy workout that is important like that ... and I feel I'm already r"&amp;"ich in pigs now")</f>
        <v>Plus PPKM, eating increasingly controlled this seems. And I already feel really hard this body but I'm comfortable. Comfortable the mager is also comfortable, it doesn't need to be a healthy workout that is important like that ... and I feel I'm already rich in pigs now</v>
      </c>
    </row>
    <row r="1095" ht="15.75" customHeight="1">
      <c r="A1095" s="2">
        <v>1094.0</v>
      </c>
      <c r="B1095" s="5" t="s">
        <v>1978</v>
      </c>
      <c r="C1095" s="6">
        <v>3.0</v>
      </c>
      <c r="D1095" s="9" t="s">
        <v>1979</v>
      </c>
      <c r="E1095" s="8" t="str">
        <f>IFERROR(__xludf.DUMMYFUNCTION("googletranslate(D1095,""id"",""en"")"),"All no one wants this PPKM to extend, let's all the health protocol discipline, don't be stubborn to Covid-19's turn to surge by the government. Johnny Plate.")</f>
        <v>All no one wants this PPKM to extend, let's all the health protocol discipline, don't be stubborn to Covid-19's turn to surge by the government. Johnny Plate.</v>
      </c>
    </row>
    <row r="1096" ht="15.75" customHeight="1">
      <c r="A1096" s="2">
        <v>1095.0</v>
      </c>
      <c r="B1096" s="5" t="s">
        <v>1980</v>
      </c>
      <c r="C1096" s="6">
        <v>1.0</v>
      </c>
      <c r="D1096" s="7" t="s">
        <v>1981</v>
      </c>
      <c r="E1096" s="8" t="str">
        <f>IFERROR(__xludf.DUMMYFUNCTION("googletranslate(D1096,""id"",""en"")"),"The one who received the assistance like the bansos and the person was LG, even though those who got the PPKM impact the number added and the average was not recorded as any assistance receiver from the government")</f>
        <v>The one who received the assistance like the bansos and the person was LG, even though those who got the PPKM impact the number added and the average was not recorded as any assistance receiver from the government</v>
      </c>
    </row>
    <row r="1097" ht="15.75" customHeight="1">
      <c r="A1097" s="2">
        <v>1096.0</v>
      </c>
      <c r="B1097" s="5" t="s">
        <v>1982</v>
      </c>
      <c r="C1097" s="6">
        <v>1.0</v>
      </c>
      <c r="D1097" s="9" t="s">
        <v>1983</v>
      </c>
      <c r="E1097" s="8" t="str">
        <f>IFERROR(__xludf.DUMMYFUNCTION("googletranslate(D1097,""id"",""en"")"),"Praofin pack but please stop PPKM")</f>
        <v>Praofin pack but please stop PPKM</v>
      </c>
    </row>
    <row r="1098" ht="15.75" customHeight="1">
      <c r="A1098" s="2">
        <v>1097.0</v>
      </c>
      <c r="B1098" s="5" t="s">
        <v>1984</v>
      </c>
      <c r="C1098" s="6">
        <v>1.0</v>
      </c>
      <c r="D1098" s="7" t="s">
        <v>1985</v>
      </c>
      <c r="E1098" s="8" t="str">
        <f>IFERROR(__xludf.DUMMYFUNCTION("googletranslate(D1098,""id"",""en"")"),"Maybe because ASN, whose vote is not affected by PPKM, is different from small entrepreneurs, so it just won't like it")</f>
        <v>Maybe because ASN, whose vote is not affected by PPKM, is different from small entrepreneurs, so it just won't like it</v>
      </c>
    </row>
    <row r="1099" ht="15.75" customHeight="1">
      <c r="A1099" s="2">
        <v>1098.0</v>
      </c>
      <c r="B1099" s="5" t="s">
        <v>1986</v>
      </c>
      <c r="C1099" s="6">
        <v>2.0</v>
      </c>
      <c r="D1099" s="9" t="s">
        <v>1987</v>
      </c>
      <c r="E1099" s="8" t="str">
        <f>IFERROR(__xludf.DUMMYFUNCTION("googletranslate(D1099,""id"",""en"")"),"Don't forget PPKM ""Morning Morning Morning"" Meruya Selatan, Kembangan, West Jakarta")</f>
        <v>Don't forget PPKM "Morning Morning Morning" Meruya Selatan, Kembangan, West Jakarta</v>
      </c>
    </row>
    <row r="1100" ht="15.75" customHeight="1">
      <c r="A1100" s="2">
        <v>1099.0</v>
      </c>
      <c r="B1100" s="5" t="s">
        <v>1988</v>
      </c>
      <c r="C1100" s="6">
        <v>2.0</v>
      </c>
      <c r="D1100" s="7" t="s">
        <v>1989</v>
      </c>
      <c r="E1100" s="8" t="str">
        <f>IFERROR(__xludf.DUMMYFUNCTION("googletranslate(D1100,""id"",""en"")"),"Ppkm ndak extended, the emergency response is extended")</f>
        <v>Ppkm ndak extended, the emergency response is extended</v>
      </c>
    </row>
    <row r="1101" ht="15.75" customHeight="1">
      <c r="A1101" s="2">
        <v>1100.0</v>
      </c>
      <c r="B1101" s="5" t="s">
        <v>1990</v>
      </c>
      <c r="C1101" s="6">
        <v>2.0</v>
      </c>
      <c r="D1101" s="7" t="s">
        <v>1991</v>
      </c>
      <c r="E1101" s="8" t="str">
        <f>IFERROR(__xludf.DUMMYFUNCTION("googletranslate(D1101,""id"",""en"")"),"After PPKM Staycation again (?)")</f>
        <v>After PPKM Staycation again (?)</v>
      </c>
    </row>
    <row r="1102" ht="15.75" customHeight="1">
      <c r="A1102" s="2">
        <v>1101.0</v>
      </c>
      <c r="B1102" s="5" t="s">
        <v>1992</v>
      </c>
      <c r="C1102" s="6">
        <v>1.0</v>
      </c>
      <c r="D1102" s="7" t="s">
        <v>1993</v>
      </c>
      <c r="E1102" s="8" t="str">
        <f>IFERROR(__xludf.DUMMYFUNCTION("googletranslate(D1102,""id"",""en"")"),"New income land, fine ppkm")</f>
        <v>New income land, fine ppkm</v>
      </c>
    </row>
    <row r="1103" ht="15.75" customHeight="1">
      <c r="A1103" s="2">
        <v>1102.0</v>
      </c>
      <c r="B1103" s="5" t="s">
        <v>1994</v>
      </c>
      <c r="C1103" s="6">
        <v>2.0</v>
      </c>
      <c r="D1103" s="9" t="s">
        <v>1995</v>
      </c>
      <c r="E1103" s="8" t="str">
        <f>IFERROR(__xludf.DUMMYFUNCTION("googletranslate(D1103,""id"",""en"")"),"mak cave talking ppkm to be ppkn")</f>
        <v>mak cave talking ppkm to be ppkn</v>
      </c>
    </row>
    <row r="1104" ht="15.75" customHeight="1">
      <c r="A1104" s="2">
        <v>1103.0</v>
      </c>
      <c r="B1104" s="5" t="s">
        <v>1996</v>
      </c>
      <c r="C1104" s="6">
        <v>1.0</v>
      </c>
      <c r="D1104" s="9" t="s">
        <v>1997</v>
      </c>
      <c r="E1104" s="8" t="str">
        <f>IFERROR(__xludf.DUMMYFUNCTION("googletranslate(D1104,""id"",""en"")"),"I have never been to the beach. it was closed in PPKM")</f>
        <v>I have never been to the beach. it was closed in PPKM</v>
      </c>
    </row>
    <row r="1105" ht="15.75" customHeight="1">
      <c r="A1105" s="2">
        <v>1104.0</v>
      </c>
      <c r="B1105" s="5" t="s">
        <v>1998</v>
      </c>
      <c r="C1105" s="6">
        <v>1.0</v>
      </c>
      <c r="D1105" s="9" t="s">
        <v>1998</v>
      </c>
      <c r="E1105" s="8" t="str">
        <f>IFERROR(__xludf.DUMMYFUNCTION("googletranslate(D1105,""id"",""en"")"),"PPKM Play Puter Self-departure ... This is what I face when my father is sick looking for Rs. The end was my musty died in a trip. Hopefully it wisingly in the hospital in handling patients who are critical. Not just rejecting but d first.")</f>
        <v>PPKM Play Puter Self-departure ... This is what I face when my father is sick looking for Rs. The end was my musty died in a trip. Hopefully it wisingly in the hospital in handling patients who are critical. Not just rejecting but d first.</v>
      </c>
    </row>
    <row r="1106" ht="15.75" customHeight="1">
      <c r="A1106" s="2">
        <v>1105.0</v>
      </c>
      <c r="B1106" s="5" t="s">
        <v>1999</v>
      </c>
      <c r="C1106" s="6">
        <v>2.0</v>
      </c>
      <c r="D1106" s="7" t="s">
        <v>2000</v>
      </c>
      <c r="E1106" s="8" t="str">
        <f>IFERROR(__xludf.DUMMYFUNCTION("googletranslate(D1106,""id"",""en"")"),"So you want to corndog but yes ppkm")</f>
        <v>So you want to corndog but yes ppkm</v>
      </c>
    </row>
    <row r="1107" ht="15.75" customHeight="1">
      <c r="A1107" s="2">
        <v>1106.0</v>
      </c>
      <c r="B1107" s="5" t="s">
        <v>2001</v>
      </c>
      <c r="C1107" s="6">
        <v>2.0</v>
      </c>
      <c r="D1107" s="7" t="s">
        <v>2001</v>
      </c>
      <c r="E1107" s="8" t="str">
        <f>IFERROR(__xludf.DUMMYFUNCTION("googletranslate(D1107,""id"",""en"")"),"PPKM: Pande Pande You Mandar")</f>
        <v>PPKM: Pande Pande You Mandar</v>
      </c>
    </row>
    <row r="1108" ht="15.75" customHeight="1">
      <c r="A1108" s="2">
        <v>1107.0</v>
      </c>
      <c r="B1108" s="5" t="s">
        <v>2002</v>
      </c>
      <c r="C1108" s="6">
        <v>1.0</v>
      </c>
      <c r="D1108" s="9" t="s">
        <v>2002</v>
      </c>
      <c r="E1108" s="8" t="str">
        <f>IFERROR(__xludf.DUMMYFUNCTION("googletranslate(D1108,""id"",""en"")"),"Fines for traders in the PPKM period for what I want to use the apparatus or what snacks are what ... Some people are still lacking. This stupid country")</f>
        <v>Fines for traders in the PPKM period for what I want to use the apparatus or what snacks are what ... Some people are still lacking. This stupid country</v>
      </c>
    </row>
    <row r="1109" ht="15.75" customHeight="1">
      <c r="A1109" s="2">
        <v>1108.0</v>
      </c>
      <c r="B1109" s="5" t="s">
        <v>2003</v>
      </c>
      <c r="C1109" s="6">
        <v>1.0</v>
      </c>
      <c r="D1109" s="7" t="s">
        <v>2004</v>
      </c>
      <c r="E1109" s="8" t="str">
        <f>IFERROR(__xludf.DUMMYFUNCTION("googletranslate(D1109,""id"",""en"")"),"Agree like this is glow of emergency ppkm whose small pedagers, where do scholars want to send donations for them? It's the turn of Palestine proudly today's gathering day. How come ????")</f>
        <v>Agree like this is glow of emergency ppkm whose small pedagers, where do scholars want to send donations for them? It's the turn of Palestine proudly today's gathering day. How come ????</v>
      </c>
    </row>
    <row r="1110" ht="15.75" customHeight="1">
      <c r="A1110" s="2">
        <v>1109.0</v>
      </c>
      <c r="B1110" s="5" t="s">
        <v>2005</v>
      </c>
      <c r="C1110" s="6">
        <v>1.0</v>
      </c>
      <c r="D1110" s="9" t="s">
        <v>2006</v>
      </c>
      <c r="E1110" s="8" t="str">
        <f>IFERROR(__xludf.DUMMYFUNCTION("googletranslate(D1110,""id"",""en"")"),"Asu. People who have to work at the time of the PPKM because they don't have savings even to eat a day hard to finish RB. It's a big money in nominal. Really stupid")</f>
        <v>Asu. People who have to work at the time of the PPKM because they don't have savings even to eat a day hard to finish RB. It's a big money in nominal. Really stupid</v>
      </c>
    </row>
    <row r="1111" ht="15.75" customHeight="1">
      <c r="A1111" s="2">
        <v>1110.0</v>
      </c>
      <c r="B1111" s="5" t="s">
        <v>2007</v>
      </c>
      <c r="C1111" s="6">
        <v>1.0</v>
      </c>
      <c r="D1111" s="9" t="s">
        <v>2008</v>
      </c>
      <c r="E1111" s="8" t="str">
        <f>IFERROR(__xludf.DUMMYFUNCTION("googletranslate(D1111,""id"",""en"")"),"Emergency PPKM in my opinion is the Lockdown version of the country that doesn't want to get out of money for the people according to the quarantine law.")</f>
        <v>Emergency PPKM in my opinion is the Lockdown version of the country that doesn't want to get out of money for the people according to the quarantine law.</v>
      </c>
    </row>
    <row r="1112" ht="15.75" customHeight="1">
      <c r="A1112" s="2">
        <v>1111.0</v>
      </c>
      <c r="B1112" s="5" t="s">
        <v>2009</v>
      </c>
      <c r="C1112" s="6">
        <v>1.0</v>
      </c>
      <c r="D1112" s="7" t="s">
        <v>2010</v>
      </c>
      <c r="E1112" s="8" t="str">
        <f>IFERROR(__xludf.DUMMYFUNCTION("googletranslate(D1112,""id"",""en"")"),"Proven ... planning &amp; amp; Coordination of chaosity or not even exist. At the time of breaking the emergency PPKM, of course it should have been thought of &amp; amp; Coordinate for implementing BST &amp; amp; Bansos.")</f>
        <v>Proven ... planning &amp; amp; Coordination of chaosity or not even exist. At the time of breaking the emergency PPKM, of course it should have been thought of &amp; amp; Coordinate for implementing BST &amp; amp; Bansos.</v>
      </c>
    </row>
    <row r="1113" ht="15.75" customHeight="1">
      <c r="A1113" s="2">
        <v>1112.0</v>
      </c>
      <c r="B1113" s="5" t="s">
        <v>2011</v>
      </c>
      <c r="C1113" s="6">
        <v>2.0</v>
      </c>
      <c r="D1113" s="7" t="s">
        <v>2012</v>
      </c>
      <c r="E1113" s="8" t="str">
        <f>IFERROR(__xludf.DUMMYFUNCTION("googletranslate(D1113,""id"",""en"")"),"Maybe yaa abis ppkm hopefully there is time")</f>
        <v>Maybe yaa abis ppkm hopefully there is time</v>
      </c>
    </row>
    <row r="1114" ht="15.75" customHeight="1">
      <c r="A1114" s="2">
        <v>1113.0</v>
      </c>
      <c r="B1114" s="5" t="s">
        <v>2013</v>
      </c>
      <c r="C1114" s="6">
        <v>1.0</v>
      </c>
      <c r="D1114" s="7" t="s">
        <v>2014</v>
      </c>
      <c r="E1114" s="8" t="str">
        <f>IFERROR(__xludf.DUMMYFUNCTION("googletranslate(D1114,""id"",""en"")"),"Reported, continue to be able to follow it in Indonesia ?? But there is not known Lockdown, not the term PSBB or PPKM ... understand ?? cc:")</f>
        <v>Reported, continue to be able to follow it in Indonesia ?? But there is not known Lockdown, not the term PSBB or PPKM ... understand ?? cc:</v>
      </c>
    </row>
    <row r="1115" ht="15.75" customHeight="1">
      <c r="A1115" s="2">
        <v>1114.0</v>
      </c>
      <c r="B1115" s="5" t="s">
        <v>2015</v>
      </c>
      <c r="C1115" s="6">
        <v>2.0</v>
      </c>
      <c r="D1115" s="7" t="s">
        <v>2015</v>
      </c>
      <c r="E1115" s="8" t="str">
        <f>IFERROR(__xludf.DUMMYFUNCTION("googletranslate(D1115,""id"",""en"")"),"PPKM (Slowly you stay away)")</f>
        <v>PPKM (Slowly you stay away)</v>
      </c>
    </row>
    <row r="1116" ht="15.75" customHeight="1">
      <c r="A1116" s="2">
        <v>1115.0</v>
      </c>
      <c r="B1116" s="5" t="s">
        <v>2016</v>
      </c>
      <c r="C1116" s="6">
        <v>2.0</v>
      </c>
      <c r="D1116" s="9" t="s">
        <v>2017</v>
      </c>
      <c r="E1116" s="8" t="str">
        <f>IFERROR(__xludf.DUMMYFUNCTION("googletranslate(D1116,""id"",""en"")"),"PPKM at home Dlu")</f>
        <v>PPKM at home Dlu</v>
      </c>
    </row>
    <row r="1117" ht="15.75" customHeight="1">
      <c r="A1117" s="2">
        <v>1116.0</v>
      </c>
      <c r="B1117" s="5" t="s">
        <v>2018</v>
      </c>
      <c r="C1117" s="6">
        <v>1.0</v>
      </c>
      <c r="D1117" s="7" t="s">
        <v>2019</v>
      </c>
      <c r="E1117" s="8" t="str">
        <f>IFERROR(__xludf.DUMMYFUNCTION("googletranslate(D1117,""id"",""en"")"),"Who in Lumajang? Maybe people have a benefit of the issue. Don't add panic. In the pandemic time this demit just dizzy getting ppkm ..")</f>
        <v>Who in Lumajang? Maybe people have a benefit of the issue. Don't add panic. In the pandemic time this demit just dizzy getting ppkm ..</v>
      </c>
    </row>
    <row r="1118" ht="15.75" customHeight="1">
      <c r="A1118" s="2">
        <v>1117.0</v>
      </c>
      <c r="B1118" s="5" t="s">
        <v>2020</v>
      </c>
      <c r="C1118" s="6">
        <v>2.0</v>
      </c>
      <c r="D1118" s="7" t="s">
        <v>2021</v>
      </c>
      <c r="E1118" s="8" t="str">
        <f>IFERROR(__xludf.DUMMYFUNCTION("googletranslate(D1118,""id"",""en"")"),"BRP Many hate the extended PPKM? Write the contents of his heart commented")</f>
        <v>BRP Many hate the extended PPKM? Write the contents of his heart commented</v>
      </c>
    </row>
    <row r="1119" ht="15.75" customHeight="1">
      <c r="A1119" s="2">
        <v>1118.0</v>
      </c>
      <c r="B1119" s="5" t="s">
        <v>2022</v>
      </c>
      <c r="C1119" s="6">
        <v>2.0</v>
      </c>
      <c r="D1119" s="7" t="s">
        <v>2022</v>
      </c>
      <c r="E1119" s="8" t="str">
        <f>IFERROR(__xludf.DUMMYFUNCTION("googletranslate(D1119,""id"",""en"")"),"I used PPKM to be extended until Hitler's grave in Garut was found")</f>
        <v>I used PPKM to be extended until Hitler's grave in Garut was found</v>
      </c>
    </row>
    <row r="1120" ht="15.75" customHeight="1">
      <c r="A1120" s="2">
        <v>1119.0</v>
      </c>
      <c r="B1120" s="5" t="s">
        <v>2023</v>
      </c>
      <c r="C1120" s="6">
        <v>1.0</v>
      </c>
      <c r="D1120" s="7" t="s">
        <v>2024</v>
      </c>
      <c r="E1120" s="8" t="str">
        <f>IFERROR(__xludf.DUMMYFUNCTION("googletranslate(D1120,""id"",""en"")"),"EVALUATION OF PPKM ... Refuse the Extension of PPKM ... Stop the power approach, open aspiration to overcome pandemic ... Note Apek Saiman:")</f>
        <v>EVALUATION OF PPKM ... Refuse the Extension of PPKM ... Stop the power approach, open aspiration to overcome pandemic ... Note Apek Saiman:</v>
      </c>
    </row>
    <row r="1121" ht="15.75" customHeight="1">
      <c r="A1121" s="2">
        <v>1120.0</v>
      </c>
      <c r="B1121" s="5" t="s">
        <v>2025</v>
      </c>
      <c r="C1121" s="6">
        <v>2.0</v>
      </c>
      <c r="D1121" s="7" t="s">
        <v>2025</v>
      </c>
      <c r="E1121" s="8" t="str">
        <f>IFERROR(__xludf.DUMMYFUNCTION("googletranslate(D1121,""id"",""en"")"),"emergency ppkm extended until don't go anywhere in OVJ")</f>
        <v>emergency ppkm extended until don't go anywhere in OVJ</v>
      </c>
    </row>
    <row r="1122" ht="15.75" customHeight="1">
      <c r="A1122" s="2">
        <v>1121.0</v>
      </c>
      <c r="B1122" s="5" t="s">
        <v>2026</v>
      </c>
      <c r="C1122" s="6">
        <v>2.0</v>
      </c>
      <c r="D1122" s="9" t="s">
        <v>2026</v>
      </c>
      <c r="E1122" s="8" t="str">
        <f>IFERROR(__xludf.DUMMYFUNCTION("googletranslate(D1122,""id"",""en"")"),"If it's offline + not ppkm on SBY, morning ""yes it's already in the bungkul park just")</f>
        <v>If it's offline + not ppkm on SBY, morning "yes it's already in the bungkul park just</v>
      </c>
    </row>
    <row r="1123" ht="15.75" customHeight="1">
      <c r="A1123" s="2">
        <v>1122.0</v>
      </c>
      <c r="B1123" s="5" t="s">
        <v>2027</v>
      </c>
      <c r="C1123" s="6">
        <v>2.0</v>
      </c>
      <c r="D1123" s="7" t="s">
        <v>2028</v>
      </c>
      <c r="E1123" s="8" t="str">
        <f>IFERROR(__xludf.DUMMYFUNCTION("googletranslate(D1123,""id"",""en"")"),"Last night at the video of the Dewi Tanjung who begged Jokowi to not extend the PPKM ... * Regardless of this just what drama doesn't just say it's not angry, good and polite talk looks pretty too, but the reverse ... hhhmm")</f>
        <v>Last night at the video of the Dewi Tanjung who begged Jokowi to not extend the PPKM ... * Regardless of this just what drama doesn't just say it's not angry, good and polite talk looks pretty too, but the reverse ... hhhmm</v>
      </c>
    </row>
    <row r="1124" ht="15.75" customHeight="1">
      <c r="A1124" s="2">
        <v>1123.0</v>
      </c>
      <c r="B1124" s="5" t="s">
        <v>2029</v>
      </c>
      <c r="C1124" s="6">
        <v>3.0</v>
      </c>
      <c r="D1124" s="9" t="s">
        <v>2030</v>
      </c>
      <c r="E1124" s="8" t="str">
        <f>IFERROR(__xludf.DUMMYFUNCTION("googletranslate(D1124,""id"",""en"")"),"Try Pak LBP consultation to ""Indonesian Coral Integrity"" Mr. Surya Paloh. Perhaps there is a solution to overcome a covid-19 pandemic which is better than either the emergency ppkm. Or sowan to the traditional leader of Baduy in Kanekes there, it could "&amp;"be that God shows ""Simple is a sign of truth"".")</f>
        <v>Try Pak LBP consultation to "Indonesian Coral Integrity" Mr. Surya Paloh. Perhaps there is a solution to overcome a covid-19 pandemic which is better than either the emergency ppkm. Or sowan to the traditional leader of Baduy in Kanekes there, it could be that God shows "Simple is a sign of truth".</v>
      </c>
    </row>
    <row r="1125" ht="15.75" customHeight="1">
      <c r="A1125" s="2">
        <v>1124.0</v>
      </c>
      <c r="B1125" s="5" t="s">
        <v>2031</v>
      </c>
      <c r="C1125" s="6">
        <v>2.0</v>
      </c>
      <c r="D1125" s="7" t="s">
        <v>2031</v>
      </c>
      <c r="E1125" s="8" t="str">
        <f>IFERROR(__xludf.DUMMYFUNCTION("googletranslate(D1125,""id"",""en"")"),"Wa isn't done what else to do the PPKM?")</f>
        <v>Wa isn't done what else to do the PPKM?</v>
      </c>
    </row>
    <row r="1126" ht="15.75" customHeight="1">
      <c r="A1126" s="2">
        <v>1125.0</v>
      </c>
      <c r="B1126" s="5" t="s">
        <v>2032</v>
      </c>
      <c r="C1126" s="6">
        <v>3.0</v>
      </c>
      <c r="D1126" s="9" t="s">
        <v>2033</v>
      </c>
      <c r="E1126" s="8" t="str">
        <f>IFERROR(__xludf.DUMMYFUNCTION("googletranslate(D1126,""id"",""en"")"),"Morning before breakfast made coffee, don't forget to make it for your father.pkm always happy because it can be able to shop for your heart's content in Bukalapak")</f>
        <v>Morning before breakfast made coffee, don't forget to make it for your father.pkm always happy because it can be able to shop for your heart's content in Bukalapak</v>
      </c>
    </row>
    <row r="1127" ht="15.75" customHeight="1">
      <c r="A1127" s="2">
        <v>1126.0</v>
      </c>
      <c r="B1127" s="5" t="s">
        <v>2034</v>
      </c>
      <c r="C1127" s="6">
        <v>1.0</v>
      </c>
      <c r="D1127" s="7" t="s">
        <v>2034</v>
      </c>
      <c r="E1127" s="8" t="str">
        <f>IFERROR(__xludf.DUMMYFUNCTION("googletranslate(D1127,""id"",""en"")"),"ppkm: slowly we slowly modier")</f>
        <v>ppkm: slowly we slowly modier</v>
      </c>
    </row>
    <row r="1128" ht="15.75" customHeight="1">
      <c r="A1128" s="2">
        <v>1127.0</v>
      </c>
      <c r="B1128" s="5" t="s">
        <v>2035</v>
      </c>
      <c r="C1128" s="6">
        <v>1.0</v>
      </c>
      <c r="D1128" s="7" t="s">
        <v>2036</v>
      </c>
      <c r="E1128" s="8" t="str">
        <f>IFERROR(__xludf.DUMMYFUNCTION("googletranslate(D1128,""id"",""en"")"),"Duhh pegel back bgtweekend the pool is delicious times yaehh ppkm has been canceled")</f>
        <v>Duhh pegel back bgtweekend the pool is delicious times yaehh ppkm has been canceled</v>
      </c>
    </row>
    <row r="1129" ht="15.75" customHeight="1">
      <c r="A1129" s="2">
        <v>1128.0</v>
      </c>
      <c r="B1129" s="5" t="s">
        <v>2037</v>
      </c>
      <c r="C1129" s="6">
        <v>3.0</v>
      </c>
      <c r="D1129" s="7" t="s">
        <v>2038</v>
      </c>
      <c r="E1129" s="8" t="str">
        <f>IFERROR(__xludf.DUMMYFUNCTION("googletranslate(D1129,""id"",""en"")"),"This morning because the partner jogging can't return to the PPKM, finally decided on a morning road alone around the city forest BDG. Sometimes it feels like it's lucky to live in this city on Sunday morning. Does anyone accompany it?")</f>
        <v>This morning because the partner jogging can't return to the PPKM, finally decided on a morning road alone around the city forest BDG. Sometimes it feels like it's lucky to live in this city on Sunday morning. Does anyone accompany it?</v>
      </c>
    </row>
    <row r="1130" ht="15.75" customHeight="1">
      <c r="A1130" s="2">
        <v>1129.0</v>
      </c>
      <c r="B1130" s="5" t="s">
        <v>2039</v>
      </c>
      <c r="C1130" s="6">
        <v>1.0</v>
      </c>
      <c r="D1130" s="9" t="s">
        <v>2040</v>
      </c>
      <c r="E1130" s="8" t="str">
        <f>IFERROR(__xludf.DUMMYFUNCTION("googletranslate(D1130,""id"",""en"")"),"It's really opacity asking for lockdown to use the quarantine law, it's getting ngamuk2. Now the emergency ppkm that doesn't get ape2 on the misuse. Mamam ...!")</f>
        <v>It's really opacity asking for lockdown to use the quarantine law, it's getting ngamuk2. Now the emergency ppkm that doesn't get ape2 on the misuse. Mamam ...!</v>
      </c>
    </row>
    <row r="1131" ht="15.75" customHeight="1">
      <c r="A1131" s="2">
        <v>1130.0</v>
      </c>
      <c r="B1131" s="5" t="s">
        <v>2041</v>
      </c>
      <c r="C1131" s="6">
        <v>2.0</v>
      </c>
      <c r="D1131" s="10" t="s">
        <v>2042</v>
      </c>
      <c r="E1131" s="8" t="str">
        <f>IFERROR(__xludf.DUMMYFUNCTION("googletranslate(D1131,""id"",""en"")"),"PPKM Mbak.")</f>
        <v>PPKM Mbak.</v>
      </c>
    </row>
    <row r="1132" ht="15.75" customHeight="1">
      <c r="A1132" s="2">
        <v>1131.0</v>
      </c>
      <c r="B1132" s="5" t="s">
        <v>2043</v>
      </c>
      <c r="C1132" s="6">
        <v>1.0</v>
      </c>
      <c r="D1132" s="9" t="s">
        <v>2043</v>
      </c>
      <c r="E1132" s="8" t="str">
        <f>IFERROR(__xludf.DUMMYFUNCTION("googletranslate(D1132,""id"",""en"")"),"Oh, someone apologizes PPKM failed. Can it sorry it turned on them, the victims? And converted to bear the burden of the family left behind?")</f>
        <v>Oh, someone apologizes PPKM failed. Can it sorry it turned on them, the victims? And converted to bear the burden of the family left behind?</v>
      </c>
    </row>
    <row r="1133" ht="15.75" customHeight="1">
      <c r="A1133" s="2">
        <v>1132.0</v>
      </c>
      <c r="B1133" s="5" t="s">
        <v>2044</v>
      </c>
      <c r="C1133" s="6">
        <v>1.0</v>
      </c>
      <c r="D1133" s="9" t="s">
        <v>2045</v>
      </c>
      <c r="E1133" s="8" t="str">
        <f>IFERROR(__xludf.DUMMYFUNCTION("googletranslate(D1133,""id"",""en"")"),"And surely ... Mark will be rejected after emergency PPKM on the ground. Even then it can't be supported and in the motory the dedengkot commands.")</f>
        <v>And surely ... Mark will be rejected after emergency PPKM on the ground. Even then it can't be supported and in the motory the dedengkot commands.</v>
      </c>
    </row>
    <row r="1134" ht="15.75" customHeight="1">
      <c r="A1134" s="2">
        <v>1133.0</v>
      </c>
      <c r="B1134" s="5" t="s">
        <v>2046</v>
      </c>
      <c r="C1134" s="6">
        <v>2.0</v>
      </c>
      <c r="D1134" s="7" t="s">
        <v>2047</v>
      </c>
      <c r="E1134" s="8" t="str">
        <f>IFERROR(__xludf.DUMMYFUNCTION("googletranslate(D1134,""id"",""en"")"),"Sunmori Pas PPKM May Chef?")</f>
        <v>Sunmori Pas PPKM May Chef?</v>
      </c>
    </row>
    <row r="1135" ht="15.75" customHeight="1">
      <c r="A1135" s="2">
        <v>1134.0</v>
      </c>
      <c r="B1135" s="5" t="s">
        <v>2048</v>
      </c>
      <c r="C1135" s="6">
        <v>3.0</v>
      </c>
      <c r="D1135" s="7" t="s">
        <v>2049</v>
      </c>
      <c r="E1135" s="8" t="str">
        <f>IFERROR(__xludf.DUMMYFUNCTION("googletranslate(D1135,""id"",""en"")"),"Maybe due to the PPKM a little make clean air so cool")</f>
        <v>Maybe due to the PPKM a little make clean air so cool</v>
      </c>
    </row>
    <row r="1136" ht="15.75" customHeight="1">
      <c r="A1136" s="2">
        <v>1135.0</v>
      </c>
      <c r="B1136" s="5" t="s">
        <v>2050</v>
      </c>
      <c r="C1136" s="6">
        <v>1.0</v>
      </c>
      <c r="D1136" s="9" t="s">
        <v>2051</v>
      </c>
      <c r="E1136" s="8" t="str">
        <f>IFERROR(__xludf.DUMMYFUNCTION("googletranslate(D1136,""id"",""en"")"),"See the story of a friend's friend of the businessman to ngebuhan ppkm so it's alone, especially the hell ""there is a nice work at the hospital"" ku slebew left right pakek mask ns95 shortness of breath you: """)</f>
        <v>See the story of a friend's friend of the businessman to ngebuhan ppkm so it's alone, especially the hell "there is a nice work at the hospital" ku slebew left right pakek mask ns95 shortness of breath you: "</v>
      </c>
    </row>
    <row r="1137" ht="15.75" customHeight="1">
      <c r="A1137" s="2">
        <v>1136.0</v>
      </c>
      <c r="B1137" s="5" t="s">
        <v>2052</v>
      </c>
      <c r="C1137" s="6">
        <v>1.0</v>
      </c>
      <c r="D1137" s="7" t="s">
        <v>2053</v>
      </c>
      <c r="E1137" s="8" t="str">
        <f>IFERROR(__xludf.DUMMYFUNCTION("googletranslate(D1137,""id"",""en"")"),"Do not have the impact of hospitals, our breath is difficult. Stressor increases. Our immune must stay healthy. We don't need a big incentive, without even incentives I can still live and support for two people")</f>
        <v>Do not have the impact of hospitals, our breath is difficult. Stressor increases. Our immune must stay healthy. We don't need a big incentive, without even incentives I can still live and support for two people</v>
      </c>
    </row>
    <row r="1138" ht="15.75" customHeight="1">
      <c r="A1138" s="2">
        <v>1137.0</v>
      </c>
      <c r="B1138" s="5" t="s">
        <v>2054</v>
      </c>
      <c r="C1138" s="6">
        <v>2.0</v>
      </c>
      <c r="D1138" s="7" t="s">
        <v>2055</v>
      </c>
      <c r="E1138" s="8" t="str">
        <f>IFERROR(__xludf.DUMMYFUNCTION("googletranslate(D1138,""id"",""en"")"),"Wait a minute Komen PPKM")</f>
        <v>Wait a minute Komen PPKM</v>
      </c>
    </row>
    <row r="1139" ht="15.75" customHeight="1">
      <c r="A1139" s="2">
        <v>1138.0</v>
      </c>
      <c r="B1139" s="5" t="s">
        <v>2056</v>
      </c>
      <c r="C1139" s="6">
        <v>2.0</v>
      </c>
      <c r="D1139" s="9" t="s">
        <v>2057</v>
      </c>
      <c r="E1139" s="8" t="str">
        <f>IFERROR(__xludf.DUMMYFUNCTION("googletranslate(D1139,""id"",""en"")"),"PPKM: Want to hug you sweet")</f>
        <v>PPKM: Want to hug you sweet</v>
      </c>
    </row>
    <row r="1140" ht="15.75" customHeight="1">
      <c r="A1140" s="2">
        <v>1139.0</v>
      </c>
      <c r="B1140" s="5" t="s">
        <v>2058</v>
      </c>
      <c r="C1140" s="6">
        <v>2.0</v>
      </c>
      <c r="D1140" s="7" t="s">
        <v>2059</v>
      </c>
      <c r="E1140" s="8" t="str">
        <f>IFERROR(__xludf.DUMMYFUNCTION("googletranslate(D1140,""id"",""en"")"),"I don't know, after this PPKM policy, all morning becomes cooler.")</f>
        <v>I don't know, after this PPKM policy, all morning becomes cooler.</v>
      </c>
    </row>
    <row r="1141" ht="15.75" customHeight="1">
      <c r="A1141" s="2">
        <v>1140.0</v>
      </c>
      <c r="B1141" s="5" t="s">
        <v>2060</v>
      </c>
      <c r="C1141" s="6">
        <v>2.0</v>
      </c>
      <c r="D1141" s="9" t="s">
        <v>2060</v>
      </c>
      <c r="E1141" s="8" t="str">
        <f>IFERROR(__xludf.DUMMYFUNCTION("googletranslate(D1141,""id"",""en"")"),"Be grateful for as much photo holidays as possible, PPKM time arrives hmmm a virtual vacation first Ye.")</f>
        <v>Be grateful for as much photo holidays as possible, PPKM time arrives hmmm a virtual vacation first Ye.</v>
      </c>
    </row>
    <row r="1142" ht="15.75" customHeight="1">
      <c r="A1142" s="2">
        <v>1141.0</v>
      </c>
      <c r="B1142" s="5" t="s">
        <v>2061</v>
      </c>
      <c r="C1142" s="6">
        <v>2.0</v>
      </c>
      <c r="D1142" s="7" t="s">
        <v>2062</v>
      </c>
      <c r="E1142" s="8" t="str">
        <f>IFERROR(__xludf.DUMMYFUNCTION("googletranslate(D1142,""id"",""en"")"),"Maybe I'm preparing basic necessities for allotment of PPKM ...")</f>
        <v>Maybe I'm preparing basic necessities for allotment of PPKM ...</v>
      </c>
    </row>
    <row r="1143" ht="15.75" customHeight="1">
      <c r="A1143" s="2">
        <v>1142.0</v>
      </c>
      <c r="B1143" s="5" t="s">
        <v>2063</v>
      </c>
      <c r="C1143" s="6">
        <v>2.0</v>
      </c>
      <c r="D1143" s="7" t="s">
        <v>2063</v>
      </c>
      <c r="E1143" s="8" t="str">
        <f>IFERROR(__xludf.DUMMYFUNCTION("googletranslate(D1143,""id"",""en"")"),"Snapy opened the PPKM")</f>
        <v>Snapy opened the PPKM</v>
      </c>
    </row>
    <row r="1144" ht="15.75" customHeight="1">
      <c r="A1144" s="2">
        <v>1143.0</v>
      </c>
      <c r="B1144" s="5" t="s">
        <v>2064</v>
      </c>
      <c r="C1144" s="6">
        <v>2.0</v>
      </c>
      <c r="D1144" s="7" t="s">
        <v>2065</v>
      </c>
      <c r="E1144" s="8" t="str">
        <f>IFERROR(__xludf.DUMMYFUNCTION("googletranslate(D1144,""id"",""en"")"),"Congratulations in the morning to extend?")</f>
        <v>Congratulations in the morning to extend?</v>
      </c>
    </row>
    <row r="1145" ht="15.75" customHeight="1">
      <c r="A1145" s="2">
        <v>1144.0</v>
      </c>
      <c r="B1145" s="5" t="s">
        <v>2066</v>
      </c>
      <c r="C1145" s="6">
        <v>2.0</v>
      </c>
      <c r="D1145" s="7" t="s">
        <v>2067</v>
      </c>
      <c r="E1145" s="8" t="str">
        <f>IFERROR(__xludf.DUMMYFUNCTION("googletranslate(D1145,""id"",""en"")"),"Even though what is related to Pancasila with PPKM?")</f>
        <v>Even though what is related to Pancasila with PPKM?</v>
      </c>
    </row>
    <row r="1146" ht="15.75" customHeight="1">
      <c r="A1146" s="2">
        <v>1145.0</v>
      </c>
      <c r="B1146" s="5" t="s">
        <v>2068</v>
      </c>
      <c r="C1146" s="6">
        <v>2.0</v>
      </c>
      <c r="D1146" s="7" t="s">
        <v>2069</v>
      </c>
      <c r="E1146" s="8" t="str">
        <f>IFERROR(__xludf.DUMMYFUNCTION("googletranslate(D1146,""id"",""en"")"),"Yes how, still ppkm")</f>
        <v>Yes how, still ppkm</v>
      </c>
    </row>
    <row r="1147" ht="15.75" customHeight="1">
      <c r="A1147" s="2">
        <v>1146.0</v>
      </c>
      <c r="B1147" s="5" t="s">
        <v>2070</v>
      </c>
      <c r="C1147" s="6">
        <v>2.0</v>
      </c>
      <c r="D1147" s="7" t="s">
        <v>2070</v>
      </c>
      <c r="E1147" s="8" t="str">
        <f>IFERROR(__xludf.DUMMYFUNCTION("googletranslate(D1147,""id"",""en"")"),"How many ppkm junior high school?")</f>
        <v>How many ppkm junior high school?</v>
      </c>
    </row>
    <row r="1148" ht="15.75" customHeight="1">
      <c r="A1148" s="2">
        <v>1147.0</v>
      </c>
      <c r="B1148" s="5" t="s">
        <v>2071</v>
      </c>
      <c r="C1148" s="6">
        <v>1.0</v>
      </c>
      <c r="D1148" s="7" t="s">
        <v>2072</v>
      </c>
      <c r="E1148" s="8" t="str">
        <f>IFERROR(__xludf.DUMMYFUNCTION("googletranslate(D1148,""id"",""en"")"),"Obviously sought by the people and tried, so MrK is most frightened if the PPKM is extended which can lead to Chaos")</f>
        <v>Obviously sought by the people and tried, so MrK is most frightened if the PPKM is extended which can lead to Chaos</v>
      </c>
    </row>
    <row r="1149" ht="15.75" customHeight="1">
      <c r="A1149" s="2">
        <v>1148.0</v>
      </c>
      <c r="B1149" s="5" t="s">
        <v>2073</v>
      </c>
      <c r="C1149" s="6">
        <v>2.0</v>
      </c>
      <c r="D1149" s="9" t="s">
        <v>2074</v>
      </c>
      <c r="E1149" s="8" t="str">
        <f>IFERROR(__xludf.DUMMYFUNCTION("googletranslate(D1149,""id"",""en"")"),"How do you want to get a partner, there is already a single, hit PPKM too ...")</f>
        <v>How do you want to get a partner, there is already a single, hit PPKM too ...</v>
      </c>
    </row>
    <row r="1150" ht="15.75" customHeight="1">
      <c r="A1150" s="2">
        <v>1149.0</v>
      </c>
      <c r="B1150" s="5" t="s">
        <v>2075</v>
      </c>
      <c r="C1150" s="6">
        <v>1.0</v>
      </c>
      <c r="D1150" s="9" t="s">
        <v>2076</v>
      </c>
      <c r="E1150" s="8" t="str">
        <f>IFERROR(__xludf.DUMMYFUNCTION("googletranslate(D1150,""id"",""en"")"),"Apologize because the implementation of the PPKM has not optimally. Not because of gag ...... ((tibatiba I contraction))")</f>
        <v>Apologize because the implementation of the PPKM has not optimally. Not because of gag ...... ((tibatiba I contraction))</v>
      </c>
    </row>
    <row r="1151" ht="15.75" customHeight="1">
      <c r="A1151" s="2">
        <v>1150.0</v>
      </c>
      <c r="B1151" s="5" t="s">
        <v>2077</v>
      </c>
      <c r="C1151" s="6">
        <v>1.0</v>
      </c>
      <c r="D1151" s="9" t="s">
        <v>2078</v>
      </c>
      <c r="E1151" s="8" t="str">
        <f>IFERROR(__xludf.DUMMYFUNCTION("googletranslate(D1151,""id"",""en"")"),"Although the government has implemented the imposition of PPKM there are no signs of subside.")</f>
        <v>Although the government has implemented the imposition of PPKM there are no signs of subside.</v>
      </c>
    </row>
    <row r="1152" ht="15.75" customHeight="1">
      <c r="A1152" s="2">
        <v>1151.0</v>
      </c>
      <c r="B1152" s="5" t="s">
        <v>2079</v>
      </c>
      <c r="C1152" s="6">
        <v>1.0</v>
      </c>
      <c r="D1152" s="7" t="s">
        <v>2080</v>
      </c>
      <c r="E1152" s="8" t="str">
        <f>IFERROR(__xludf.DUMMYFUNCTION("googletranslate(D1152,""id"",""en"")"),"crazy government, part of the wida entered cool ayem, here dizzy ppkm")</f>
        <v>crazy government, part of the wida entered cool ayem, here dizzy ppkm</v>
      </c>
    </row>
    <row r="1153" ht="15.75" customHeight="1">
      <c r="A1153" s="2">
        <v>1152.0</v>
      </c>
      <c r="B1153" s="5" t="s">
        <v>2081</v>
      </c>
      <c r="C1153" s="6">
        <v>1.0</v>
      </c>
      <c r="D1153" s="9" t="s">
        <v>2082</v>
      </c>
      <c r="E1153" s="8" t="str">
        <f>IFERROR(__xludf.DUMMYFUNCTION("googletranslate(D1153,""id"",""en"")"),"Kyak has often heard like this, the tip of the residents breaking, $ number $ the week later Covid jumped, then PPKM was extended, then the residents were angry with the government not bechered nanganin covid.")</f>
        <v>Kyak has often heard like this, the tip of the residents breaking, $ number $ the week later Covid jumped, then PPKM was extended, then the residents were angry with the government not bechered nanganin covid.</v>
      </c>
    </row>
    <row r="1154" ht="15.75" customHeight="1">
      <c r="A1154" s="2">
        <v>1153.0</v>
      </c>
      <c r="B1154" s="5" t="s">
        <v>2083</v>
      </c>
      <c r="C1154" s="6">
        <v>1.0</v>
      </c>
      <c r="D1154" s="7" t="s">
        <v>2084</v>
      </c>
      <c r="E1154" s="8" t="str">
        <f>IFERROR(__xludf.DUMMYFUNCTION("googletranslate(D1154,""id"",""en"")"),"PPKM, on dizziness because of poor.")</f>
        <v>PPKM, on dizziness because of poor.</v>
      </c>
    </row>
    <row r="1155" ht="15.75" customHeight="1">
      <c r="A1155" s="2">
        <v>1154.0</v>
      </c>
      <c r="B1155" s="5" t="s">
        <v>2085</v>
      </c>
      <c r="C1155" s="6">
        <v>1.0</v>
      </c>
      <c r="D1155" s="7" t="s">
        <v>2086</v>
      </c>
      <c r="E1155" s="8" t="str">
        <f>IFERROR(__xludf.DUMMYFUNCTION("googletranslate(D1155,""id"",""en"")"),"The question is, this emergency ppkm to ban the crowd forbid people to sell anyway? Many small traders on the roadside that are even quiet buyers are even told to close, they are looking for food for life, should you find the PPKM prohibition?")</f>
        <v>The question is, this emergency ppkm to ban the crowd forbid people to sell anyway? Many small traders on the roadside that are even quiet buyers are even told to close, they are looking for food for life, should you find the PPKM prohibition?</v>
      </c>
    </row>
    <row r="1156" ht="15.75" customHeight="1">
      <c r="A1156" s="2">
        <v>1155.0</v>
      </c>
      <c r="B1156" s="5" t="s">
        <v>2087</v>
      </c>
      <c r="C1156" s="6">
        <v>2.0</v>
      </c>
      <c r="D1156" s="9" t="s">
        <v>2088</v>
      </c>
      <c r="E1156" s="8" t="str">
        <f>IFERROR(__xludf.DUMMYFUNCTION("googletranslate(D1156,""id"",""en"")"),"Kasian kasian ...., already single, hit ppkm too ... mending the second, still meet occasionally ....")</f>
        <v>Kasian kasian ...., already single, hit ppkm too ... mending the second, still meet occasionally ....</v>
      </c>
    </row>
    <row r="1157" ht="15.75" customHeight="1">
      <c r="A1157" s="2">
        <v>1156.0</v>
      </c>
      <c r="B1157" s="5" t="s">
        <v>2089</v>
      </c>
      <c r="C1157" s="6">
        <v>2.0</v>
      </c>
      <c r="D1157" s="7" t="s">
        <v>2090</v>
      </c>
      <c r="E1157" s="8" t="str">
        <f>IFERROR(__xludf.DUMMYFUNCTION("googletranslate(D1157,""id"",""en"")"),"ppkm (early morning kangen km) is vain boi")</f>
        <v>ppkm (early morning kangen km) is vain boi</v>
      </c>
    </row>
    <row r="1158" ht="15.75" customHeight="1">
      <c r="A1158" s="2">
        <v>1157.0</v>
      </c>
      <c r="B1158" s="5" t="s">
        <v>2091</v>
      </c>
      <c r="C1158" s="6">
        <v>2.0</v>
      </c>
      <c r="D1158" s="9" t="s">
        <v>2092</v>
      </c>
      <c r="E1158" s="8" t="str">
        <f>IFERROR(__xludf.DUMMYFUNCTION("googletranslate(D1158,""id"",""en"")"),"PPKM Day-16. Not sleeping, and later dripping a lot. Even though you don't drink coffee, but how come it's not sleepy")</f>
        <v>PPKM Day-16. Not sleeping, and later dripping a lot. Even though you don't drink coffee, but how come it's not sleepy</v>
      </c>
    </row>
    <row r="1159" ht="15.75" customHeight="1">
      <c r="A1159" s="2">
        <v>1158.0</v>
      </c>
      <c r="B1159" s="5" t="s">
        <v>2093</v>
      </c>
      <c r="C1159" s="6">
        <v>2.0</v>
      </c>
      <c r="D1159" s="7" t="s">
        <v>2093</v>
      </c>
      <c r="E1159" s="8" t="str">
        <f>IFERROR(__xludf.DUMMYFUNCTION("googletranslate(D1159,""id"",""en"")"),"Good morning generation of PPKM olidaries.")</f>
        <v>Good morning generation of PPKM olidaries.</v>
      </c>
    </row>
    <row r="1160" ht="15.75" customHeight="1">
      <c r="A1160" s="2">
        <v>1159.0</v>
      </c>
      <c r="B1160" s="5" t="s">
        <v>2094</v>
      </c>
      <c r="C1160" s="6">
        <v>1.0</v>
      </c>
      <c r="D1160" s="7" t="s">
        <v>2095</v>
      </c>
      <c r="E1160" s="8" t="str">
        <f>IFERROR(__xludf.DUMMYFUNCTION("googletranslate(D1160,""id"",""en"")"),"Delta variant is said to be ferocious, the PPKM is only Sunday, all two years wrote Hut Hut ... YAHUT ...")</f>
        <v>Delta variant is said to be ferocious, the PPKM is only Sunday, all two years wrote Hut Hut ... YAHUT ...</v>
      </c>
    </row>
    <row r="1161" ht="15.75" customHeight="1">
      <c r="A1161" s="2">
        <v>1160.0</v>
      </c>
      <c r="B1161" s="5" t="s">
        <v>2096</v>
      </c>
      <c r="C1161" s="6">
        <v>2.0</v>
      </c>
      <c r="D1161" s="7" t="s">
        <v>2097</v>
      </c>
      <c r="E1161" s="8" t="str">
        <f>IFERROR(__xludf.DUMMYFUNCTION("googletranslate(D1161,""id"",""en"")"),"I like PPKM without PP")</f>
        <v>I like PPKM without PP</v>
      </c>
    </row>
    <row r="1162" ht="15.75" customHeight="1">
      <c r="A1162" s="2">
        <v>1161.0</v>
      </c>
      <c r="B1162" s="5" t="s">
        <v>2098</v>
      </c>
      <c r="C1162" s="6">
        <v>2.0</v>
      </c>
      <c r="D1162" s="10" t="s">
        <v>2099</v>
      </c>
      <c r="E1162" s="8" t="str">
        <f>IFERROR(__xludf.DUMMYFUNCTION("googletranslate(D1162,""id"",""en"")"),"ppkm ni.")</f>
        <v>ppkm ni.</v>
      </c>
    </row>
    <row r="1163" ht="15.75" customHeight="1">
      <c r="A1163" s="2">
        <v>1162.0</v>
      </c>
      <c r="B1163" s="5" t="s">
        <v>2100</v>
      </c>
      <c r="C1163" s="6">
        <v>2.0</v>
      </c>
      <c r="D1163" s="7" t="s">
        <v>2101</v>
      </c>
      <c r="E1163" s="8" t="str">
        <f>IFERROR(__xludf.DUMMYFUNCTION("googletranslate(D1163,""id"",""en"")"),"Yesterday yesterday every day crying because of LDR. It was only Sunday but it was rich, it didn't meet him, even though every day the video call. I miss him like crazy. Hopefully this week will not extend the PPKM so you can meet")</f>
        <v>Yesterday yesterday every day crying because of LDR. It was only Sunday but it was rich, it didn't meet him, even though every day the video call. I miss him like crazy. Hopefully this week will not extend the PPKM so you can meet</v>
      </c>
    </row>
    <row r="1164" ht="15.75" customHeight="1">
      <c r="A1164" s="2">
        <v>1163.0</v>
      </c>
      <c r="B1164" s="5" t="s">
        <v>2102</v>
      </c>
      <c r="C1164" s="6">
        <v>2.0</v>
      </c>
      <c r="D1164" s="7" t="s">
        <v>2103</v>
      </c>
      <c r="E1164" s="8" t="str">
        <f>IFERROR(__xludf.DUMMYFUNCTION("googletranslate(D1164,""id"",""en"")"),"are you serious? My city from the beginning of Gaada PPKM, but for the learning system still at home")</f>
        <v>are you serious? My city from the beginning of Gaada PPKM, but for the learning system still at home</v>
      </c>
    </row>
    <row r="1165" ht="15.75" customHeight="1">
      <c r="A1165" s="2">
        <v>1164.0</v>
      </c>
      <c r="B1165" s="5" t="s">
        <v>2104</v>
      </c>
      <c r="C1165" s="6">
        <v>1.0</v>
      </c>
      <c r="D1165" s="7" t="s">
        <v>2105</v>
      </c>
      <c r="E1165" s="8" t="str">
        <f>IFERROR(__xludf.DUMMYFUNCTION("googletranslate(D1165,""id"",""en"")"),"Innalillahi wa inna ilaihi roojiuun.petugas ppkm until all the citizens.")</f>
        <v>Innalillahi wa inna ilaihi roojiuun.petugas ppkm until all the citizens.</v>
      </c>
    </row>
    <row r="1166" ht="15.75" customHeight="1">
      <c r="A1166" s="2">
        <v>1165.0</v>
      </c>
      <c r="B1166" s="5" t="s">
        <v>2106</v>
      </c>
      <c r="C1166" s="6">
        <v>1.0</v>
      </c>
      <c r="D1166" s="9" t="s">
        <v>2107</v>
      </c>
      <c r="E1166" s="8" t="str">
        <f>IFERROR(__xludf.DUMMYFUNCTION("googletranslate(D1166,""id"",""en"")"),"Im Not Against PPKM, agree so that it goes down covid numbers. But ... the person told to be diem at home continues without being given help? Well it's not going to be successful. Especially if it's not an office person and you have to sell.")</f>
        <v>Im Not Against PPKM, agree so that it goes down covid numbers. But ... the person told to be diem at home continues without being given help? Well it's not going to be successful. Especially if it's not an office person and you have to sell.</v>
      </c>
    </row>
    <row r="1167" ht="15.75" customHeight="1">
      <c r="A1167" s="2">
        <v>1166.0</v>
      </c>
      <c r="B1167" s="5" t="s">
        <v>2108</v>
      </c>
      <c r="C1167" s="6">
        <v>2.0</v>
      </c>
      <c r="D1167" s="7" t="s">
        <v>2109</v>
      </c>
      <c r="E1167" s="8" t="str">
        <f>IFERROR(__xludf.DUMMYFUNCTION("googletranslate(D1167,""id"",""en"")"),"Because of PPKM?")</f>
        <v>Because of PPKM?</v>
      </c>
    </row>
    <row r="1168" ht="15.75" customHeight="1">
      <c r="A1168" s="2">
        <v>1167.0</v>
      </c>
      <c r="B1168" s="5" t="s">
        <v>2110</v>
      </c>
      <c r="C1168" s="6">
        <v>1.0</v>
      </c>
      <c r="D1168" s="7" t="s">
        <v>2111</v>
      </c>
      <c r="E1168" s="8" t="str">
        <f>IFERROR(__xludf.DUMMYFUNCTION("googletranslate(D1168,""id"",""en"")"),"However, it is playing, it's MMG Order KK PMBina. There is a buzzerp ngethwit using conscience How to escape jwb dg rkyat.yg aspiration alasn qta requires continuing to continue the ppkm &amp; ampatuh kissing needs")</f>
        <v>However, it is playing, it's MMG Order KK PMBina. There is a buzzerp ngethwit using conscience How to escape jwb dg rkyat.yg aspiration alasn qta requires continuing to continue the ppkm &amp; ampatuh kissing needs</v>
      </c>
    </row>
    <row r="1169" ht="15.75" customHeight="1">
      <c r="A1169" s="2">
        <v>1168.0</v>
      </c>
      <c r="B1169" s="5" t="s">
        <v>2112</v>
      </c>
      <c r="C1169" s="6">
        <v>1.0</v>
      </c>
      <c r="D1169" s="9" t="s">
        <v>2113</v>
      </c>
      <c r="E1169" s="8" t="str">
        <f>IFERROR(__xludf.DUMMYFUNCTION("googletranslate(D1169,""id"",""en"")"),"Don't look at it from the side of the middle and upper classes, it's rich, paid, the money is there for some even though it's even a few in KDPN, but the HSL daily work is only enough to eat a day? KL PPKM emergency trs the people are hungry and rebel, we"&amp;"ll this is what expected the oplosan / negligee")</f>
        <v>Don't look at it from the side of the middle and upper classes, it's rich, paid, the money is there for some even though it's even a few in KDPN, but the HSL daily work is only enough to eat a day? KL PPKM emergency trs the people are hungry and rebel, well this is what expected the oplosan / negligee</v>
      </c>
    </row>
    <row r="1170" ht="15.75" customHeight="1">
      <c r="A1170" s="2">
        <v>1169.0</v>
      </c>
      <c r="B1170" s="5" t="s">
        <v>2114</v>
      </c>
      <c r="C1170" s="6">
        <v>3.0</v>
      </c>
      <c r="D1170" s="9" t="s">
        <v>2115</v>
      </c>
      <c r="E1170" s="8" t="str">
        <f>IFERROR(__xludf.DUMMYFUNCTION("googletranslate(D1170,""id"",""en"")"),"Thank you very much sir. Spirit always spread goodness in the pandemic period, let's obey PPKM and eat Soto Betawi using salted eggs * ehh vaccine MKSDnya after that listen to the new song BTS must be more enthusiastic")</f>
        <v>Thank you very much sir. Spirit always spread goodness in the pandemic period, let's obey PPKM and eat Soto Betawi using salted eggs * ehh vaccine MKSDnya after that listen to the new song BTS must be more enthusiastic</v>
      </c>
    </row>
    <row r="1171" ht="15.75" customHeight="1">
      <c r="A1171" s="2">
        <v>1170.0</v>
      </c>
      <c r="B1171" s="5" t="s">
        <v>2116</v>
      </c>
      <c r="C1171" s="6">
        <v>2.0</v>
      </c>
      <c r="D1171" s="10" t="s">
        <v>2117</v>
      </c>
      <c r="E1171" s="8" t="str">
        <f>IFERROR(__xludf.DUMMYFUNCTION("googletranslate(D1171,""id"",""en"")"),"LG PPKM Mas.")</f>
        <v>LG PPKM Mas.</v>
      </c>
    </row>
    <row r="1172" ht="15.75" customHeight="1">
      <c r="A1172" s="2">
        <v>1171.0</v>
      </c>
      <c r="B1172" s="5" t="s">
        <v>2118</v>
      </c>
      <c r="C1172" s="6">
        <v>2.0</v>
      </c>
      <c r="D1172" s="7" t="s">
        <v>2119</v>
      </c>
      <c r="E1172" s="8" t="str">
        <f>IFERROR(__xludf.DUMMYFUNCTION("googletranslate(D1172,""id"",""en"")"),"PPKM extended until Spurs won something")</f>
        <v>PPKM extended until Spurs won something</v>
      </c>
    </row>
    <row r="1173" ht="15.75" customHeight="1">
      <c r="A1173" s="2">
        <v>1172.0</v>
      </c>
      <c r="B1173" s="5" t="s">
        <v>2120</v>
      </c>
      <c r="C1173" s="6">
        <v>2.0</v>
      </c>
      <c r="D1173" s="7" t="s">
        <v>2121</v>
      </c>
      <c r="E1173" s="8" t="str">
        <f>IFERROR(__xludf.DUMMYFUNCTION("googletranslate(D1173,""id"",""en"")"),"What is Relationship What is PPKM, how come Java-Bali")</f>
        <v>What is Relationship What is PPKM, how come Java-Bali</v>
      </c>
    </row>
    <row r="1174" ht="15.75" customHeight="1">
      <c r="A1174" s="2">
        <v>1173.0</v>
      </c>
      <c r="B1174" s="5" t="s">
        <v>2122</v>
      </c>
      <c r="C1174" s="6">
        <v>1.0</v>
      </c>
      <c r="D1174" s="9" t="s">
        <v>2123</v>
      </c>
      <c r="E1174" s="8" t="str">
        <f>IFERROR(__xludf.DUMMYFUNCTION("googletranslate(D1174,""id"",""en"")"),"Now this is an important note doesn't believe anything that buzzes how it seems that seems to reject the ppkm.Krn mmg the tip of Spy Pak Lurah doesn't step down and he is safe to work as a buzzer.")</f>
        <v>Now this is an important note doesn't believe anything that buzzes how it seems that seems to reject the ppkm.Krn mmg the tip of Spy Pak Lurah doesn't step down and he is safe to work as a buzzer.</v>
      </c>
    </row>
    <row r="1175" ht="15.75" customHeight="1">
      <c r="A1175" s="2">
        <v>1174.0</v>
      </c>
      <c r="B1175" s="5" t="s">
        <v>2124</v>
      </c>
      <c r="C1175" s="6">
        <v>2.0</v>
      </c>
      <c r="D1175" s="7" t="s">
        <v>2125</v>
      </c>
      <c r="E1175" s="8" t="str">
        <f>IFERROR(__xludf.DUMMYFUNCTION("googletranslate(D1175,""id"",""en"")"),"Do not relax to the PPKM with the KPOP NDER NDER rich, this is not suitable for a blade. just takedown yes nder ...")</f>
        <v>Do not relax to the PPKM with the KPOP NDER NDER rich, this is not suitable for a blade. just takedown yes nder ...</v>
      </c>
    </row>
    <row r="1176" ht="15.75" customHeight="1">
      <c r="A1176" s="2">
        <v>1175.0</v>
      </c>
      <c r="B1176" s="5" t="s">
        <v>2126</v>
      </c>
      <c r="C1176" s="6">
        <v>1.0</v>
      </c>
      <c r="D1176" s="7" t="s">
        <v>2127</v>
      </c>
      <c r="E1176" s="8" t="str">
        <f>IFERROR(__xludf.DUMMYFUNCTION("googletranslate(D1176,""id"",""en"")"),"Sir, see your people, stop PPKM, sir, we've been very hungry. As long as you have to hold back hungry. Can there be a big demo from the stomach hungry sir.")</f>
        <v>Sir, see your people, stop PPKM, sir, we've been very hungry. As long as you have to hold back hungry. Can there be a big demo from the stomach hungry sir.</v>
      </c>
    </row>
    <row r="1177" ht="15.75" customHeight="1">
      <c r="A1177" s="2">
        <v>1176.0</v>
      </c>
      <c r="B1177" s="5" t="s">
        <v>2128</v>
      </c>
      <c r="C1177" s="6">
        <v>2.0</v>
      </c>
      <c r="D1177" s="9" t="s">
        <v>2129</v>
      </c>
      <c r="E1177" s="8" t="str">
        <f>IFERROR(__xludf.DUMMYFUNCTION("googletranslate(D1177,""id"",""en"")"),"Do you want to ask again, PPKM, this train still operates, get used to it? Or gmn? Jwb yah klo pass")</f>
        <v>Do you want to ask again, PPKM, this train still operates, get used to it? Or gmn? Jwb yah klo pass</v>
      </c>
    </row>
    <row r="1178" ht="15.75" customHeight="1">
      <c r="A1178" s="2">
        <v>1177.0</v>
      </c>
      <c r="B1178" s="5" t="s">
        <v>2130</v>
      </c>
      <c r="C1178" s="6">
        <v>1.0</v>
      </c>
      <c r="D1178" s="7" t="s">
        <v>2131</v>
      </c>
      <c r="E1178" s="8" t="str">
        <f>IFERROR(__xludf.DUMMYFUNCTION("googletranslate(D1178,""id"",""en"")"),"This is due to the government applying PPKM, but the people are not guaranteed their needs. They can die. ~ Kh. Hafidz Abdurrahman, MA. Together continuing Islamic life")</f>
        <v>This is due to the government applying PPKM, but the people are not guaranteed their needs. They can die. ~ Kh. Hafidz Abdurrahman, MA. Together continuing Islamic life</v>
      </c>
    </row>
    <row r="1179" ht="15.75" customHeight="1">
      <c r="A1179" s="2">
        <v>1178.0</v>
      </c>
      <c r="B1179" s="5" t="s">
        <v>2132</v>
      </c>
      <c r="C1179" s="6">
        <v>3.0</v>
      </c>
      <c r="D1179" s="7" t="s">
        <v>2132</v>
      </c>
      <c r="E1179" s="8" t="str">
        <f>IFERROR(__xludf.DUMMYFUNCTION("googletranslate(D1179,""id"",""en"")"),"The government's efforts at the time of Pandemics are PPKM in the hope of being able to minimize the Covid-19 case, the community's efforts are to maintain life in the safest place.")</f>
        <v>The government's efforts at the time of Pandemics are PPKM in the hope of being able to minimize the Covid-19 case, the community's efforts are to maintain life in the safest place.</v>
      </c>
    </row>
    <row r="1180" ht="15.75" customHeight="1">
      <c r="A1180" s="2">
        <v>1179.0</v>
      </c>
      <c r="B1180" s="5" t="s">
        <v>2133</v>
      </c>
      <c r="C1180" s="6">
        <v>3.0</v>
      </c>
      <c r="D1180" s="9" t="s">
        <v>2133</v>
      </c>
      <c r="E1180" s="8" t="str">
        <f>IFERROR(__xludf.DUMMYFUNCTION("googletranslate(D1180,""id"",""en"")"),"Government Nerapatin Policy also considers people's help. Get people who are rich in people who can buy daily meals, so it is helped. Often also see the Trading People Nge PPKM JD GBSA Trade / Trade TP Gacukup. So we hrs the cooperation so that it can be "&amp;"able to fix the pandemic")</f>
        <v>Government Nerapatin Policy also considers people's help. Get people who are rich in people who can buy daily meals, so it is helped. Often also see the Trading People Nge PPKM JD GBSA Trade / Trade TP Gacukup. So we hrs the cooperation so that it can be able to fix the pandemic</v>
      </c>
    </row>
    <row r="1181" ht="15.75" customHeight="1">
      <c r="A1181" s="2">
        <v>1180.0</v>
      </c>
      <c r="B1181" s="5" t="s">
        <v>2134</v>
      </c>
      <c r="C1181" s="6">
        <v>2.0</v>
      </c>
      <c r="D1181" s="9" t="s">
        <v>2135</v>
      </c>
      <c r="E1181" s="8" t="str">
        <f>IFERROR(__xludf.DUMMYFUNCTION("googletranslate(D1181,""id"",""en"")"),"Kitten may not want my wf tempeh? Kcg! My pup is soft, but he doesn't know if it's a diarrhea because the pup is still usually. Here it can't go to the Vet because of the far and more ppkm.")</f>
        <v>Kitten may not want my wf tempeh? Kcg! My pup is soft, but he doesn't know if it's a diarrhea because the pup is still usually. Here it can't go to the Vet because of the far and more ppkm.</v>
      </c>
    </row>
    <row r="1182" ht="15.75" customHeight="1">
      <c r="A1182" s="2">
        <v>1181.0</v>
      </c>
      <c r="B1182" s="5" t="s">
        <v>2136</v>
      </c>
      <c r="C1182" s="6">
        <v>1.0</v>
      </c>
      <c r="D1182" s="9" t="s">
        <v>2136</v>
      </c>
      <c r="E1182" s="8" t="str">
        <f>IFERROR(__xludf.DUMMYFUNCTION("googletranslate(D1182,""id"",""en"")"),"The final trial + ppkm + left chest hurts mulu = podar weh bagong!")</f>
        <v>The final trial + ppkm + left chest hurts mulu = podar weh bagong!</v>
      </c>
    </row>
    <row r="1183" ht="15.75" customHeight="1">
      <c r="A1183" s="2">
        <v>1182.0</v>
      </c>
      <c r="B1183" s="5" t="s">
        <v>2137</v>
      </c>
      <c r="C1183" s="6">
        <v>2.0</v>
      </c>
      <c r="D1183" s="9" t="s">
        <v>2138</v>
      </c>
      <c r="E1183" s="8" t="str">
        <f>IFERROR(__xludf.DUMMYFUNCTION("googletranslate(D1183,""id"",""en"")"),"Aaaa cave here this. But right, jogging, just in the room?")</f>
        <v>Aaaa cave here this. But right, jogging, just in the room?</v>
      </c>
    </row>
    <row r="1184" ht="15.75" customHeight="1">
      <c r="A1184" s="2">
        <v>1183.0</v>
      </c>
      <c r="B1184" s="5" t="s">
        <v>2139</v>
      </c>
      <c r="C1184" s="6">
        <v>1.0</v>
      </c>
      <c r="D1184" s="9" t="s">
        <v>2140</v>
      </c>
      <c r="E1184" s="8" t="str">
        <f>IFERROR(__xludf.DUMMYFUNCTION("googletranslate(D1184,""id"",""en"")"),"PSBB last year, it used to enjoy playing Tiktok sm squaring Dalgona. But the ppkm is not crazy, it's really grateful for BGTTTTT")</f>
        <v>PSBB last year, it used to enjoy playing Tiktok sm squaring Dalgona. But the ppkm is not crazy, it's really grateful for BGTTTTT</v>
      </c>
    </row>
    <row r="1185" ht="15.75" customHeight="1">
      <c r="A1185" s="2">
        <v>1184.0</v>
      </c>
      <c r="B1185" s="5" t="s">
        <v>2141</v>
      </c>
      <c r="C1185" s="6">
        <v>1.0</v>
      </c>
      <c r="D1185" s="9" t="s">
        <v>2142</v>
      </c>
      <c r="E1185" s="8" t="str">
        <f>IFERROR(__xludf.DUMMYFUNCTION("googletranslate(D1185,""id"",""en"")"),"right ppkm yeah don't come out on Sunday")</f>
        <v>right ppkm yeah don't come out on Sunday</v>
      </c>
    </row>
    <row r="1186" ht="15.75" customHeight="1">
      <c r="A1186" s="2">
        <v>1185.0</v>
      </c>
      <c r="B1186" s="5" t="s">
        <v>2143</v>
      </c>
      <c r="C1186" s="6">
        <v>1.0</v>
      </c>
      <c r="D1186" s="7" t="s">
        <v>2144</v>
      </c>
      <c r="E1186" s="8" t="str">
        <f>IFERROR(__xludf.DUMMYFUNCTION("googletranslate(D1186,""id"",""en"")"),"For a moment PSBB, PPKM, the aim for nakuti the people to vaccine, close Jd Jd jammed, close the people's shops can't get money, while all officials ask to be served oddly enough to taste as if the government knows where the covid is being corruptor they "&amp;"are hard to detect, nga")</f>
        <v>For a moment PSBB, PPKM, the aim for nakuti the people to vaccine, close Jd Jd jammed, close the people's shops can't get money, while all officials ask to be served oddly enough to taste as if the government knows where the covid is being corruptor they are hard to detect, nga</v>
      </c>
    </row>
    <row r="1187" ht="15.75" customHeight="1">
      <c r="A1187" s="2">
        <v>1186.0</v>
      </c>
      <c r="B1187" s="5" t="s">
        <v>2145</v>
      </c>
      <c r="C1187" s="6">
        <v>2.0</v>
      </c>
      <c r="D1187" s="7" t="s">
        <v>2146</v>
      </c>
      <c r="E1187" s="8" t="str">
        <f>IFERROR(__xludf.DUMMYFUNCTION("googletranslate(D1187,""id"",""en"")"),"PPKM is extended ... the trend of the difference will rise LG.")</f>
        <v>PPKM is extended ... the trend of the difference will rise LG.</v>
      </c>
    </row>
    <row r="1188" ht="15.75" customHeight="1">
      <c r="A1188" s="2">
        <v>1187.0</v>
      </c>
      <c r="B1188" s="5" t="s">
        <v>2147</v>
      </c>
      <c r="C1188" s="6">
        <v>1.0</v>
      </c>
      <c r="D1188" s="9" t="s">
        <v>2148</v>
      </c>
      <c r="E1188" s="8" t="str">
        <f>IFERROR(__xludf.DUMMYFUNCTION("googletranslate(D1188,""id"",""en"")"),"Good morning, don't forget to be happy, even though PPKM increasingly clamped the needs of the economy.")</f>
        <v>Good morning, don't forget to be happy, even though PPKM increasingly clamped the needs of the economy.</v>
      </c>
    </row>
    <row r="1189" ht="15.75" customHeight="1">
      <c r="A1189" s="2">
        <v>1188.0</v>
      </c>
      <c r="B1189" s="5" t="s">
        <v>2149</v>
      </c>
      <c r="C1189" s="6">
        <v>2.0</v>
      </c>
      <c r="D1189" s="7" t="s">
        <v>2149</v>
      </c>
      <c r="E1189" s="8" t="str">
        <f>IFERROR(__xludf.DUMMYFUNCTION("googletranslate(D1189,""id"",""en"")"),"Finished ppkm must be staycation")</f>
        <v>Finished ppkm must be staycation</v>
      </c>
    </row>
    <row r="1190" ht="15.75" customHeight="1">
      <c r="A1190" s="2">
        <v>1189.0</v>
      </c>
      <c r="B1190" s="5" t="s">
        <v>2150</v>
      </c>
      <c r="C1190" s="6">
        <v>1.0</v>
      </c>
      <c r="D1190" s="9" t="s">
        <v>2151</v>
      </c>
      <c r="E1190" s="8" t="str">
        <f>IFERROR(__xludf.DUMMYFUNCTION("googletranslate(D1190,""id"",""en"")"),"The morning crisis see the trader's video hit by a fine etc. Well i know, he said, he said, he didn't answer the regulation because it was LG PPKM, but if it was the food, the food was up, right? Term lockdown is just replaced by PPKM so that it is not th"&amp;"e obligation to give it Hehe.")</f>
        <v>The morning crisis see the trader's video hit by a fine etc. Well i know, he said, he said, he didn't answer the regulation because it was LG PPKM, but if it was the food, the food was up, right? Term lockdown is just replaced by PPKM so that it is not the obligation to give it Hehe.</v>
      </c>
    </row>
    <row r="1191" ht="15.75" customHeight="1">
      <c r="A1191" s="2">
        <v>1190.0</v>
      </c>
      <c r="B1191" s="5" t="s">
        <v>2152</v>
      </c>
      <c r="C1191" s="6">
        <v>1.0</v>
      </c>
      <c r="D1191" s="9" t="s">
        <v>2152</v>
      </c>
      <c r="E1191" s="8" t="str">
        <f>IFERROR(__xludf.DUMMYFUNCTION("googletranslate(D1191,""id"",""en"")"),"Useless government incorrectly ppkm dsb if you get it. It's useless if the government is as good as a superpower country if you are ndablek. Remember the initial pandemic of all lockdowns, actually good can be worked on and managed to slow down but the go"&amp;"vernment must intervene people to help people")</f>
        <v>Useless government incorrectly ppkm dsb if you get it. It's useless if the government is as good as a superpower country if you are ndablek. Remember the initial pandemic of all lockdowns, actually good can be worked on and managed to slow down but the government must intervene people to help people</v>
      </c>
    </row>
    <row r="1192" ht="15.75" customHeight="1">
      <c r="A1192" s="2">
        <v>1191.0</v>
      </c>
      <c r="B1192" s="5" t="s">
        <v>2153</v>
      </c>
      <c r="C1192" s="6">
        <v>1.0</v>
      </c>
      <c r="D1192" s="7" t="s">
        <v>2154</v>
      </c>
      <c r="E1192" s="8" t="str">
        <f>IFERROR(__xludf.DUMMYFUNCTION("googletranslate(D1192,""id"",""en"")"),"I just realized that it couldn't turn the PPKM as much as possible. Sebelenya, food shop or whatever it is no one open in the morning because it must be opened around the hour / 10. Meanwhile, I every morning like to want a random food in Gofood but still"&amp;" on the lid")</f>
        <v>I just realized that it couldn't turn the PPKM as much as possible. Sebelenya, food shop or whatever it is no one open in the morning because it must be opened around the hour / 10. Meanwhile, I every morning like to want a random food in Gofood but still on the lid</v>
      </c>
    </row>
    <row r="1193" ht="15.75" customHeight="1">
      <c r="A1193" s="2">
        <v>1192.0</v>
      </c>
      <c r="B1193" s="5" t="s">
        <v>2155</v>
      </c>
      <c r="C1193" s="6">
        <v>2.0</v>
      </c>
      <c r="D1193" s="9" t="s">
        <v>2156</v>
      </c>
      <c r="E1193" s="8" t="str">
        <f>IFERROR(__xludf.DUMMYFUNCTION("googletranslate(D1193,""id"",""en"")"),"this week again ppkm yes at home mulu")</f>
        <v>this week again ppkm yes at home mulu</v>
      </c>
    </row>
    <row r="1194" ht="15.75" customHeight="1">
      <c r="A1194" s="2">
        <v>1193.0</v>
      </c>
      <c r="B1194" s="5" t="s">
        <v>2157</v>
      </c>
      <c r="C1194" s="6">
        <v>1.0</v>
      </c>
      <c r="D1194" s="7" t="s">
        <v>2158</v>
      </c>
      <c r="E1194" s="8" t="str">
        <f>IFERROR(__xludf.DUMMYFUNCTION("googletranslate(D1194,""id"",""en"")"),"Let's break PPKM")</f>
        <v>Let's break PPKM</v>
      </c>
    </row>
    <row r="1195" ht="15.75" customHeight="1">
      <c r="A1195" s="2">
        <v>1194.0</v>
      </c>
      <c r="B1195" s="5" t="s">
        <v>2159</v>
      </c>
      <c r="C1195" s="6">
        <v>2.0</v>
      </c>
      <c r="D1195" s="7" t="s">
        <v>2160</v>
      </c>
      <c r="E1195" s="8" t="str">
        <f>IFERROR(__xludf.DUMMYFUNCTION("googletranslate(D1195,""id"",""en"")"),"Saturday night at home, yes, so the PPKM is the usual thing")</f>
        <v>Saturday night at home, yes, so the PPKM is the usual thing</v>
      </c>
    </row>
    <row r="1196" ht="15.75" customHeight="1">
      <c r="A1196" s="2">
        <v>1195.0</v>
      </c>
      <c r="B1196" s="5" t="s">
        <v>2161</v>
      </c>
      <c r="C1196" s="6">
        <v>1.0</v>
      </c>
      <c r="D1196" s="9" t="s">
        <v>2162</v>
      </c>
      <c r="E1196" s="8" t="str">
        <f>IFERROR(__xludf.DUMMYFUNCTION("googletranslate(D1196,""id"",""en"")"),"While I still have to scavenge rezeky when PPKM")</f>
        <v>While I still have to scavenge rezeky when PPKM</v>
      </c>
    </row>
    <row r="1197" ht="15.75" customHeight="1">
      <c r="A1197" s="2">
        <v>1196.0</v>
      </c>
      <c r="B1197" s="5" t="s">
        <v>2163</v>
      </c>
      <c r="C1197" s="6">
        <v>1.0</v>
      </c>
      <c r="D1197" s="9" t="s">
        <v>2164</v>
      </c>
      <c r="E1197" s="8" t="str">
        <f>IFERROR(__xludf.DUMMYFUNCTION("googletranslate(D1197,""id"",""en"")"),"You are the wrong permitsibukannya denial covid, but when the psbb and ppkm yesterday who have a battered umkm. We know nakes sacrifices are very large and we really appreciate it, but please provide a better solution for MSMEs")</f>
        <v>You are the wrong permitsibukannya denial covid, but when the psbb and ppkm yesterday who have a battered umkm. We know nakes sacrifices are very large and we really appreciate it, but please provide a better solution for MSMEs</v>
      </c>
    </row>
    <row r="1198" ht="15.75" customHeight="1">
      <c r="A1198" s="2">
        <v>1197.0</v>
      </c>
      <c r="B1198" s="5" t="s">
        <v>2165</v>
      </c>
      <c r="C1198" s="6">
        <v>1.0</v>
      </c>
      <c r="D1198" s="9" t="s">
        <v>2165</v>
      </c>
      <c r="E1198" s="8" t="str">
        <f>IFERROR(__xludf.DUMMYFUNCTION("googletranslate(D1198,""id"",""en"")"),"Emergency PPKM I think it's useful, as long as it's just a stubborn society. Covid's realization continues to increase. Don't pull it away. We need work to give our family to eat our family. The cat who is malignant hunger will be like a tiger to get food"&amp;".")</f>
        <v>Emergency PPKM I think it's useful, as long as it's just a stubborn society. Covid's realization continues to increase. Don't pull it away. We need work to give our family to eat our family. The cat who is malignant hunger will be like a tiger to get food.</v>
      </c>
    </row>
    <row r="1199" ht="15.75" customHeight="1">
      <c r="A1199" s="2">
        <v>1198.0</v>
      </c>
      <c r="B1199" s="5" t="s">
        <v>2166</v>
      </c>
      <c r="C1199" s="6">
        <v>1.0</v>
      </c>
      <c r="D1199" s="7" t="s">
        <v>2167</v>
      </c>
      <c r="E1199" s="8" t="str">
        <f>IFERROR(__xludf.DUMMYFUNCTION("googletranslate(D1199,""id"",""en"")"),"I'm in surprise, how come you are still a cang gajelas, right when I want to get it on instastory?! dashed cool bee it's not bgt")</f>
        <v>I'm in surprise, how come you are still a cang gajelas, right when I want to get it on instastory?! dashed cool bee it's not bgt</v>
      </c>
    </row>
    <row r="1200" ht="15.75" customHeight="1">
      <c r="A1200" s="2">
        <v>1199.0</v>
      </c>
      <c r="B1200" s="5" t="s">
        <v>2168</v>
      </c>
      <c r="C1200" s="6">
        <v>3.0</v>
      </c>
      <c r="D1200" s="9" t="s">
        <v>2169</v>
      </c>
      <c r="E1200" s="8" t="str">
        <f>IFERROR(__xludf.DUMMYFUNCTION("googletranslate(D1200,""id"",""en"")"),"This Delta variant is indeed extraordinary. In all patient countries exposed to Vovid-19 up again, including Singapore. Obey emergency ppkm, health protocol, vaccine for those who have not, help others &amp; amp; taking care of each other. Many places that pr"&amp;"ovide vaccines")</f>
        <v>This Delta variant is indeed extraordinary. In all patient countries exposed to Vovid-19 up again, including Singapore. Obey emergency ppkm, health protocol, vaccine for those who have not, help others &amp; amp; taking care of each other. Many places that provide vaccines</v>
      </c>
    </row>
    <row r="1201" ht="15.75" customHeight="1">
      <c r="A1201" s="2">
        <v>1200.0</v>
      </c>
      <c r="B1201" s="5" t="s">
        <v>2170</v>
      </c>
      <c r="C1201" s="6">
        <v>2.0</v>
      </c>
      <c r="D1201" s="9" t="s">
        <v>2171</v>
      </c>
      <c r="E1201" s="8" t="str">
        <f>IFERROR(__xludf.DUMMYFUNCTION("googletranslate(D1201,""id"",""en"")"),"Temin temin who still kece in the PPKM era. Make Apes experience wake up my delay above, memory. Watch out don't be congested in Bri.Shame on you bank bri ...!")</f>
        <v>Temin temin who still kece in the PPKM era. Make Apes experience wake up my delay above, memory. Watch out don't be congested in Bri.Shame on you bank bri ...!</v>
      </c>
    </row>
    <row r="1202" ht="15.75" customHeight="1">
      <c r="A1202" s="2">
        <v>1201.0</v>
      </c>
      <c r="B1202" s="5" t="s">
        <v>2172</v>
      </c>
      <c r="C1202" s="6">
        <v>1.0</v>
      </c>
      <c r="D1202" s="9" t="s">
        <v>2173</v>
      </c>
      <c r="E1202" s="8" t="str">
        <f>IFERROR(__xludf.DUMMYFUNCTION("googletranslate(D1202,""id"",""en"")"),"Tuman, later if I don't have a new ICU for the PPKM, it is pulled up ... Virus is lying on the devil ..")</f>
        <v>Tuman, later if I don't have a new ICU for the PPKM, it is pulled up ... Virus is lying on the devil ..</v>
      </c>
    </row>
    <row r="1203" ht="15.75" customHeight="1">
      <c r="A1203" s="2">
        <v>1202.0</v>
      </c>
      <c r="B1203" s="5" t="s">
        <v>2174</v>
      </c>
      <c r="C1203" s="6">
        <v>1.0</v>
      </c>
      <c r="D1203" s="7" t="s">
        <v>2174</v>
      </c>
      <c r="E1203" s="8" t="str">
        <f>IFERROR(__xludf.DUMMYFUNCTION("googletranslate(D1203,""id"",""en"")"),"There must be a decisive step of the government to overcome this pandemic, Stop news that scare on TV, there are many people who destroyed the economy due to the PPKM which certainly did not have a tragic impact on the blue check, apologize really cool, b"&amp;"ut take a more clear step of LHB In fact ..")</f>
        <v>There must be a decisive step of the government to overcome this pandemic, Stop news that scare on TV, there are many people who destroyed the economy due to the PPKM which certainly did not have a tragic impact on the blue check, apologize really cool, but take a more clear step of LHB In fact ..</v>
      </c>
    </row>
    <row r="1204" ht="15.75" customHeight="1">
      <c r="A1204" s="2">
        <v>1203.0</v>
      </c>
      <c r="B1204" s="5" t="s">
        <v>2175</v>
      </c>
      <c r="C1204" s="6">
        <v>2.0</v>
      </c>
      <c r="D1204" s="7" t="s">
        <v>2176</v>
      </c>
      <c r="E1204" s="8" t="str">
        <f>IFERROR(__xludf.DUMMYFUNCTION("googletranslate(D1204,""id"",""en"")"),"PPKM Diem Dirumaaa.")</f>
        <v>PPKM Diem Dirumaaa.</v>
      </c>
    </row>
    <row r="1205" ht="15.75" customHeight="1">
      <c r="A1205" s="2">
        <v>1204.0</v>
      </c>
      <c r="B1205" s="5" t="s">
        <v>2177</v>
      </c>
      <c r="C1205" s="6">
        <v>2.0</v>
      </c>
      <c r="D1205" s="7" t="s">
        <v>2178</v>
      </c>
      <c r="E1205" s="8" t="str">
        <f>IFERROR(__xludf.DUMMYFUNCTION("googletranslate(D1205,""id"",""en"")"),"PPKM extended to you becomes a star ...")</f>
        <v>PPKM extended to you becomes a star ...</v>
      </c>
    </row>
    <row r="1206" ht="15.75" customHeight="1">
      <c r="A1206" s="2">
        <v>1205.0</v>
      </c>
      <c r="B1206" s="5" t="s">
        <v>2179</v>
      </c>
      <c r="C1206" s="6">
        <v>1.0</v>
      </c>
      <c r="D1206" s="9" t="s">
        <v>2180</v>
      </c>
      <c r="E1206" s="8" t="str">
        <f>IFERROR(__xludf.DUMMYFUNCTION("googletranslate(D1206,""id"",""en"")"),"BKN..Kah ppkm hnya for wil.bali and jawa ....? Lgian, what are you doing in a bulkhead, make it difficult for the people to find food.")</f>
        <v>BKN..Kah ppkm hnya for wil.bali and jawa ....? Lgian, what are you doing in a bulkhead, make it difficult for the people to find food.</v>
      </c>
    </row>
    <row r="1207" ht="15.75" customHeight="1">
      <c r="A1207" s="2">
        <v>1206.0</v>
      </c>
      <c r="B1207" s="5" t="s">
        <v>2181</v>
      </c>
      <c r="C1207" s="6">
        <v>1.0</v>
      </c>
      <c r="D1207" s="7" t="s">
        <v>2182</v>
      </c>
      <c r="E1207" s="8" t="str">
        <f>IFERROR(__xludf.DUMMYFUNCTION("googletranslate(D1207,""id"",""en"")"),"No need, the current government elite is the best comic. many of the terms ppkm ppkm are the most jokes material")</f>
        <v>No need, the current government elite is the best comic. many of the terms ppkm ppkm are the most jokes material</v>
      </c>
    </row>
    <row r="1208" ht="15.75" customHeight="1">
      <c r="A1208" s="2">
        <v>1207.0</v>
      </c>
      <c r="B1208" s="5" t="s">
        <v>2183</v>
      </c>
      <c r="C1208" s="6">
        <v>3.0</v>
      </c>
      <c r="D1208" s="9" t="s">
        <v>2184</v>
      </c>
      <c r="E1208" s="8" t="str">
        <f>IFERROR(__xludf.DUMMYFUNCTION("googletranslate(D1208,""id"",""en"")"),"This favorite ppkm is also goodluck yah bau !!!")</f>
        <v>This favorite ppkm is also goodluck yah bau !!!</v>
      </c>
    </row>
    <row r="1209" ht="15.75" customHeight="1">
      <c r="A1209" s="2">
        <v>1208.0</v>
      </c>
      <c r="B1209" s="5" t="s">
        <v>2185</v>
      </c>
      <c r="C1209" s="6">
        <v>2.0</v>
      </c>
      <c r="D1209" s="9" t="s">
        <v>2185</v>
      </c>
      <c r="E1209" s="8" t="str">
        <f>IFERROR(__xludf.DUMMYFUNCTION("googletranslate(D1209,""id"",""en"")"),"the test was delayed just pls lg ppkm")</f>
        <v>the test was delayed just pls lg ppkm</v>
      </c>
    </row>
    <row r="1210" ht="15.75" customHeight="1">
      <c r="A1210" s="2">
        <v>1209.0</v>
      </c>
      <c r="B1210" s="5" t="s">
        <v>2186</v>
      </c>
      <c r="C1210" s="6">
        <v>2.0</v>
      </c>
      <c r="D1210" s="9" t="s">
        <v>2186</v>
      </c>
      <c r="E1210" s="8" t="str">
        <f>IFERROR(__xludf.DUMMYFUNCTION("googletranslate(D1210,""id"",""en"")"),"Hallllooo PPKM Semarang Extended No Si")</f>
        <v>Hallllooo PPKM Semarang Extended No Si</v>
      </c>
    </row>
    <row r="1211" ht="15.75" customHeight="1">
      <c r="A1211" s="2">
        <v>1210.0</v>
      </c>
      <c r="B1211" s="5" t="s">
        <v>2187</v>
      </c>
      <c r="C1211" s="6">
        <v>2.0</v>
      </c>
      <c r="D1211" s="7" t="s">
        <v>2188</v>
      </c>
      <c r="E1211" s="8" t="str">
        <f>IFERROR(__xludf.DUMMYFUNCTION("googletranslate(D1211,""id"",""en"")"),"PPKM was forcibly revoked the people must comply with prokes not in order to be borne by themselves.")</f>
        <v>PPKM was forcibly revoked the people must comply with prokes not in order to be borne by themselves.</v>
      </c>
    </row>
    <row r="1212" ht="15.75" customHeight="1">
      <c r="A1212" s="2">
        <v>1211.0</v>
      </c>
      <c r="B1212" s="5" t="s">
        <v>2189</v>
      </c>
      <c r="C1212" s="6">
        <v>1.0</v>
      </c>
      <c r="D1212" s="9" t="s">
        <v>2190</v>
      </c>
      <c r="E1212" s="8" t="str">
        <f>IFERROR(__xludf.DUMMYFUNCTION("googletranslate(D1212,""id"",""en"")"),"told to order prokes so that the condition doesn't have to be rich PPKM now, instead the PPKM protest while smoking near many people ... don't first blame the PPKM, try to see the private one already obediently prokes not for the safety of many people")</f>
        <v>told to order prokes so that the condition doesn't have to be rich PPKM now, instead the PPKM protest while smoking near many people ... don't first blame the PPKM, try to see the private one already obediently prokes not for the safety of many people</v>
      </c>
    </row>
    <row r="1213" ht="15.75" customHeight="1">
      <c r="A1213" s="2">
        <v>1212.0</v>
      </c>
      <c r="B1213" s="5" t="s">
        <v>2191</v>
      </c>
      <c r="C1213" s="6">
        <v>2.0</v>
      </c>
      <c r="D1213" s="9" t="s">
        <v>2192</v>
      </c>
      <c r="E1213" s="8" t="str">
        <f>IFERROR(__xludf.DUMMYFUNCTION("googletranslate(D1213,""id"",""en"")"),"Ppkm .. want to hug you sweet not ngono taurek")</f>
        <v>Ppkm .. want to hug you sweet not ngono taurek</v>
      </c>
    </row>
    <row r="1214" ht="15.75" customHeight="1">
      <c r="A1214" s="2">
        <v>1213.0</v>
      </c>
      <c r="B1214" s="5" t="s">
        <v>2193</v>
      </c>
      <c r="C1214" s="6">
        <v>1.0</v>
      </c>
      <c r="D1214" s="9" t="s">
        <v>2193</v>
      </c>
      <c r="E1214" s="8" t="str">
        <f>IFERROR(__xludf.DUMMYFUNCTION("googletranslate(D1214,""id"",""en"")"),"Yaampun ma'am you think you have the one who has the impact of the PPKM, asks for dryness, so it's the same as you have a small one who breaks up, so I must be nombok ggra lu mnt kringnan, tai bngt !!!")</f>
        <v>Yaampun ma'am you think you have the one who has the impact of the PPKM, asks for dryness, so it's the same as you have a small one who breaks up, so I must be nombok ggra lu mnt kringnan, tai bngt !!!</v>
      </c>
    </row>
    <row r="1215" ht="15.75" customHeight="1">
      <c r="A1215" s="2">
        <v>1214.0</v>
      </c>
      <c r="B1215" s="5" t="s">
        <v>2194</v>
      </c>
      <c r="C1215" s="6">
        <v>1.0</v>
      </c>
      <c r="D1215" s="7" t="s">
        <v>2195</v>
      </c>
      <c r="E1215" s="8" t="str">
        <f>IFERROR(__xludf.DUMMYFUNCTION("googletranslate(D1215,""id"",""en"")"),"What work is trying on Sunday ???? Where lgi ppkm also hadeh")</f>
        <v>What work is trying on Sunday ???? Where lgi ppkm also hadeh</v>
      </c>
    </row>
    <row r="1216" ht="15.75" customHeight="1">
      <c r="A1216" s="2">
        <v>1215.0</v>
      </c>
      <c r="B1216" s="5" t="s">
        <v>2196</v>
      </c>
      <c r="C1216" s="6">
        <v>2.0</v>
      </c>
      <c r="D1216" s="10" t="s">
        <v>2197</v>
      </c>
      <c r="E1216" s="8" t="str">
        <f>IFERROR(__xludf.DUMMYFUNCTION("googletranslate(D1216,""id"",""en"")"),"ppkm nder holiday")</f>
        <v>ppkm nder holiday</v>
      </c>
    </row>
    <row r="1217" ht="15.75" customHeight="1">
      <c r="A1217" s="2">
        <v>1216.0</v>
      </c>
      <c r="B1217" s="5" t="s">
        <v>2198</v>
      </c>
      <c r="C1217" s="6">
        <v>2.0</v>
      </c>
      <c r="D1217" s="7" t="s">
        <v>2199</v>
      </c>
      <c r="E1217" s="8" t="str">
        <f>IFERROR(__xludf.DUMMYFUNCTION("googletranslate(D1217,""id"",""en"")"),"Again becomes anggmm (long wait for waiting)")</f>
        <v>Again becomes anggmm (long wait for waiting)</v>
      </c>
    </row>
    <row r="1218" ht="15.75" customHeight="1">
      <c r="A1218" s="2">
        <v>1217.0</v>
      </c>
      <c r="B1218" s="5" t="s">
        <v>2200</v>
      </c>
      <c r="C1218" s="6">
        <v>2.0</v>
      </c>
      <c r="D1218" s="7" t="s">
        <v>2201</v>
      </c>
      <c r="E1218" s="8" t="str">
        <f>IFERROR(__xludf.DUMMYFUNCTION("googletranslate(D1218,""id"",""en"")"),"After ppkm here k bandung ceu")</f>
        <v>After ppkm here k bandung ceu</v>
      </c>
    </row>
    <row r="1219" ht="15.75" customHeight="1">
      <c r="A1219" s="2">
        <v>1218.0</v>
      </c>
      <c r="B1219" s="5" t="s">
        <v>2202</v>
      </c>
      <c r="C1219" s="6">
        <v>1.0</v>
      </c>
      <c r="D1219" s="7" t="s">
        <v>2203</v>
      </c>
      <c r="E1219" s="8" t="str">
        <f>IFERROR(__xludf.DUMMYFUNCTION("googletranslate(D1219,""id"",""en"")"),"Gara ... PPKM ... SIM ... SALABIIIM ... MARKIDUUUUUUUH ....")</f>
        <v>Gara ... PPKM ... SIM ... SALABIIIM ... MARKIDUUUUUUUH ....</v>
      </c>
    </row>
    <row r="1220" ht="15.75" customHeight="1">
      <c r="A1220" s="2">
        <v>1219.0</v>
      </c>
      <c r="B1220" s="5" t="s">
        <v>2204</v>
      </c>
      <c r="C1220" s="6">
        <v>1.0</v>
      </c>
      <c r="D1220" s="9" t="s">
        <v>2205</v>
      </c>
      <c r="E1220" s="8" t="str">
        <f>IFERROR(__xludf.DUMMYFUNCTION("googletranslate(D1220,""id"",""en"")"),"Start lazy to see, the National Police Chief is not a real breakthrough, especially in this pandemic period, a free hoax spreader, the police are back and forth in the tag, but still aja, the demonstration is just brutally, after the new brutal there is a"&amp;" ppkm Emergency if everything is still the same?")</f>
        <v>Start lazy to see, the National Police Chief is not a real breakthrough, especially in this pandemic period, a free hoax spreader, the police are back and forth in the tag, but still aja, the demonstration is just brutally, after the new brutal there is a ppkm Emergency if everything is still the same?</v>
      </c>
    </row>
    <row r="1221" ht="15.75" customHeight="1">
      <c r="A1221" s="2">
        <v>1220.0</v>
      </c>
      <c r="B1221" s="5" t="s">
        <v>2206</v>
      </c>
      <c r="C1221" s="6">
        <v>1.0</v>
      </c>
      <c r="D1221" s="9" t="s">
        <v>2207</v>
      </c>
      <c r="E1221" s="8" t="str">
        <f>IFERROR(__xludf.DUMMYFUNCTION("googletranslate(D1221,""id"",""en"")"),"Full Surabaya Bridge &amp; Amp; The kelurahan page was used as a morning gymnastic place, is this a PPKM picture?")</f>
        <v>Full Surabaya Bridge &amp; Amp; The kelurahan page was used as a morning gymnastic place, is this a PPKM picture?</v>
      </c>
    </row>
    <row r="1222" ht="15.75" customHeight="1">
      <c r="A1222" s="2">
        <v>1221.0</v>
      </c>
      <c r="B1222" s="5" t="s">
        <v>2208</v>
      </c>
      <c r="C1222" s="6">
        <v>2.0</v>
      </c>
      <c r="D1222" s="7" t="s">
        <v>2208</v>
      </c>
      <c r="E1222" s="8" t="str">
        <f>IFERROR(__xludf.DUMMYFUNCTION("googletranslate(D1222,""id"",""en"")"),"Just extend the teroozz cpkm all until one piece graduated")</f>
        <v>Just extend the teroozz cpkm all until one piece graduated</v>
      </c>
    </row>
    <row r="1223" ht="15.75" customHeight="1">
      <c r="A1223" s="2">
        <v>1222.0</v>
      </c>
      <c r="B1223" s="5" t="s">
        <v>2209</v>
      </c>
      <c r="C1223" s="6">
        <v>1.0</v>
      </c>
      <c r="D1223" s="7" t="s">
        <v>2210</v>
      </c>
      <c r="E1223" s="8" t="str">
        <f>IFERROR(__xludf.DUMMYFUNCTION("googletranslate(D1223,""id"",""en"")"),"Mr. President of the Suggestion Debal sir.")</f>
        <v>Mr. President of the Suggestion Debal sir.</v>
      </c>
    </row>
    <row r="1224" ht="15.75" customHeight="1">
      <c r="A1224" s="2">
        <v>1223.0</v>
      </c>
      <c r="B1224" s="5" t="s">
        <v>2211</v>
      </c>
      <c r="C1224" s="6">
        <v>3.0</v>
      </c>
      <c r="D1224" s="7" t="s">
        <v>2212</v>
      </c>
      <c r="E1224" s="8" t="str">
        <f>IFERROR(__xludf.DUMMYFUNCTION("googletranslate(D1224,""id"",""en"")"),"Alhamdulillah, it's finished, Nay's graduation even though PPKM again")</f>
        <v>Alhamdulillah, it's finished, Nay's graduation even though PPKM again</v>
      </c>
    </row>
    <row r="1225" ht="15.75" customHeight="1">
      <c r="A1225" s="2">
        <v>1224.0</v>
      </c>
      <c r="B1225" s="5" t="s">
        <v>2213</v>
      </c>
      <c r="C1225" s="6">
        <v>2.0</v>
      </c>
      <c r="D1225" s="7" t="s">
        <v>2213</v>
      </c>
      <c r="E1225" s="8" t="str">
        <f>IFERROR(__xludf.DUMMYFUNCTION("googletranslate(D1225,""id"",""en"")"),"This PPKM actually goes to whose?")</f>
        <v>This PPKM actually goes to whose?</v>
      </c>
    </row>
    <row r="1226" ht="15.75" customHeight="1">
      <c r="A1226" s="2">
        <v>1225.0</v>
      </c>
      <c r="B1226" s="5" t="s">
        <v>2214</v>
      </c>
      <c r="C1226" s="6">
        <v>2.0</v>
      </c>
      <c r="D1226" s="9" t="s">
        <v>2215</v>
      </c>
      <c r="E1226" s="8" t="str">
        <f>IFERROR(__xludf.DUMMYFUNCTION("googletranslate(D1226,""id"",""en"")"),"But it doesn't need to be said right again, ppkm, he knows the flow of muter2 drimana if you don't follow it?")</f>
        <v>But it doesn't need to be said right again, ppkm, he knows the flow of muter2 drimana if you don't follow it?</v>
      </c>
    </row>
    <row r="1227" ht="15.75" customHeight="1">
      <c r="A1227" s="2">
        <v>1226.0</v>
      </c>
      <c r="B1227" s="5" t="s">
        <v>2216</v>
      </c>
      <c r="C1227" s="6">
        <v>1.0</v>
      </c>
      <c r="D1227" s="7" t="s">
        <v>2216</v>
      </c>
      <c r="E1227" s="8" t="str">
        <f>IFERROR(__xludf.DUMMYFUNCTION("googletranslate(D1227,""id"",""en"")"),"Emergency PPKM should not be extended again Mr.President.")</f>
        <v>Emergency PPKM should not be extended again Mr.President.</v>
      </c>
    </row>
    <row r="1228" ht="15.75" customHeight="1">
      <c r="A1228" s="2">
        <v>1227.0</v>
      </c>
      <c r="B1228" s="5" t="s">
        <v>2217</v>
      </c>
      <c r="C1228" s="6">
        <v>2.0</v>
      </c>
      <c r="D1228" s="7" t="s">
        <v>2218</v>
      </c>
      <c r="E1228" s="8" t="str">
        <f>IFERROR(__xludf.DUMMYFUNCTION("googletranslate(D1228,""id"",""en"")"),"I did it again !! yuk ppkm, slowly we slowly reduce not until ... ppkm, slowly we slowly stretch")</f>
        <v>I did it again !! yuk ppkm, slowly we slowly reduce not until ... ppkm, slowly we slowly stretch</v>
      </c>
    </row>
    <row r="1229" ht="15.75" customHeight="1">
      <c r="A1229" s="2">
        <v>1228.0</v>
      </c>
      <c r="B1229" s="5" t="s">
        <v>2219</v>
      </c>
      <c r="C1229" s="6">
        <v>1.0</v>
      </c>
      <c r="D1229" s="7" t="s">
        <v>2220</v>
      </c>
      <c r="E1229" s="8" t="str">
        <f>IFERROR(__xludf.DUMMYFUNCTION("googletranslate(D1229,""id"",""en"")"),"Just paid unemployment, especially PPKM abundant allowance debt paid in the country ..")</f>
        <v>Just paid unemployment, especially PPKM abundant allowance debt paid in the country ..</v>
      </c>
    </row>
    <row r="1230" ht="15.75" customHeight="1">
      <c r="A1230" s="2">
        <v>1229.0</v>
      </c>
      <c r="B1230" s="5" t="s">
        <v>2221</v>
      </c>
      <c r="C1230" s="6">
        <v>1.0</v>
      </c>
      <c r="D1230" s="7" t="s">
        <v>2222</v>
      </c>
      <c r="E1230" s="8" t="str">
        <f>IFERROR(__xludf.DUMMYFUNCTION("googletranslate(D1230,""id"",""en"")"),"So true. It was propaganda which was deliberately made so that the regime had a reason for STOP PPKM despite harmful conditions. Buzzerp BKerja BRDASAR Order KK PMBina BKN Brdasar Brain")</f>
        <v>So true. It was propaganda which was deliberately made so that the regime had a reason for STOP PPKM despite harmful conditions. Buzzerp BKerja BRDASAR Order KK PMBina BKN Brdasar Brain</v>
      </c>
    </row>
    <row r="1231" ht="15.75" customHeight="1">
      <c r="A1231" s="2">
        <v>1230.0</v>
      </c>
      <c r="B1231" s="5" t="s">
        <v>2223</v>
      </c>
      <c r="C1231" s="6">
        <v>1.0</v>
      </c>
      <c r="D1231" s="7" t="s">
        <v>2224</v>
      </c>
      <c r="E1231" s="8" t="str">
        <f>IFERROR(__xludf.DUMMYFUNCTION("googletranslate(D1231,""id"",""en"")"),"How much is the salary? Really I want the origin of his salary to eat and buy children's milk, because the PPKM is not clear, it hasn't had income at all, I'm more afraid of my wife &amp; amp; the child doesn't eat than afraid of clopper ..")</f>
        <v>How much is the salary? Really I want the origin of his salary to eat and buy children's milk, because the PPKM is not clear, it hasn't had income at all, I'm more afraid of my wife &amp; amp; the child doesn't eat than afraid of clopper ..</v>
      </c>
    </row>
    <row r="1232" ht="15.75" customHeight="1">
      <c r="A1232" s="2">
        <v>1231.0</v>
      </c>
      <c r="B1232" s="5" t="s">
        <v>2225</v>
      </c>
      <c r="C1232" s="6">
        <v>2.0</v>
      </c>
      <c r="D1232" s="9" t="s">
        <v>2226</v>
      </c>
      <c r="E1232" s="8" t="str">
        <f>IFERROR(__xludf.DUMMYFUNCTION("googletranslate(D1232,""id"",""en"")"),"Because the PPK is trapped compared to comparing the rich poor, it is delicious we are laper as if forgetting: Allah Arrazaaq, the Supreme Giver, which is very broad ... Masih many people who want to build a lot of those who make a lot of worship that we "&amp;"often forget their essence")</f>
        <v>Because the PPK is trapped compared to comparing the rich poor, it is delicious we are laper as if forgetting: Allah Arrazaaq, the Supreme Giver, which is very broad ... Masih many people who want to build a lot of those who make a lot of worship that we often forget their essence</v>
      </c>
    </row>
    <row r="1233" ht="15.75" customHeight="1">
      <c r="A1233" s="2">
        <v>1232.0</v>
      </c>
      <c r="B1233" s="5" t="s">
        <v>2227</v>
      </c>
      <c r="C1233" s="6">
        <v>2.0</v>
      </c>
      <c r="D1233" s="7" t="s">
        <v>2228</v>
      </c>
      <c r="E1233" s="8" t="str">
        <f>IFERROR(__xludf.DUMMYFUNCTION("googletranslate(D1233,""id"",""en"")"),"Aamiin bsk udh ppkm clar is skuy")</f>
        <v>Aamiin bsk udh ppkm clar is skuy</v>
      </c>
    </row>
    <row r="1234" ht="15.75" customHeight="1">
      <c r="A1234" s="2">
        <v>1233.0</v>
      </c>
      <c r="B1234" s="5" t="s">
        <v>2229</v>
      </c>
      <c r="C1234" s="6">
        <v>2.0</v>
      </c>
      <c r="D1234" s="7" t="s">
        <v>2229</v>
      </c>
      <c r="E1234" s="8" t="str">
        <f>IFERROR(__xludf.DUMMYFUNCTION("googletranslate(D1234,""id"",""en"")"),"Sumpek in the morning I entered the daily schedule during the PPKM")</f>
        <v>Sumpek in the morning I entered the daily schedule during the PPKM</v>
      </c>
    </row>
    <row r="1235" ht="15.75" customHeight="1">
      <c r="A1235" s="2">
        <v>1234.0</v>
      </c>
      <c r="B1235" s="5" t="s">
        <v>2230</v>
      </c>
      <c r="C1235" s="6">
        <v>1.0</v>
      </c>
      <c r="D1235" s="7" t="s">
        <v>2231</v>
      </c>
      <c r="E1235" s="8" t="str">
        <f>IFERROR(__xludf.DUMMYFUNCTION("googletranslate(D1235,""id"",""en"")"),"What Urgency Announces Delta Variant Tu When All Your People Wes Mudeng Some Chapter Delta Variant? Mbok Nek announced Ki Sing Ngurgenah, Sing was clear. ""Announces that the PPKM extension will later be guaranteed"".")</f>
        <v>What Urgency Announces Delta Variant Tu When All Your People Wes Mudeng Some Chapter Delta Variant? Mbok Nek announced Ki Sing Ngurgenah, Sing was clear. "Announces that the PPKM extension will later be guaranteed".</v>
      </c>
    </row>
    <row r="1236" ht="15.75" customHeight="1">
      <c r="A1236" s="2">
        <v>1235.0</v>
      </c>
      <c r="B1236" s="5" t="s">
        <v>2232</v>
      </c>
      <c r="C1236" s="6">
        <v>1.0</v>
      </c>
      <c r="D1236" s="7" t="s">
        <v>2233</v>
      </c>
      <c r="E1236" s="8" t="str">
        <f>IFERROR(__xludf.DUMMYFUNCTION("googletranslate(D1236,""id"",""en"")"),"Nyari, which can you invite chat at a minimum. Bored of Emergency PPKM without chat ... Bosen in the room continues")</f>
        <v>Nyari, which can you invite chat at a minimum. Bored of Emergency PPKM without chat ... Bosen in the room continues</v>
      </c>
    </row>
    <row r="1237" ht="15.75" customHeight="1">
      <c r="A1237" s="2">
        <v>1236.0</v>
      </c>
      <c r="B1237" s="5" t="s">
        <v>2234</v>
      </c>
      <c r="C1237" s="6">
        <v>1.0</v>
      </c>
      <c r="D1237" s="7" t="s">
        <v>2235</v>
      </c>
      <c r="E1237" s="8" t="str">
        <f>IFERROR(__xludf.DUMMYFUNCTION("googletranslate(D1237,""id"",""en"")"),"The name is also the PPKMPEMENGANG election because of the corpse")</f>
        <v>The name is also the PPKMPEMENGANG election because of the corpse</v>
      </c>
    </row>
    <row r="1238" ht="15.75" customHeight="1">
      <c r="A1238" s="2">
        <v>1237.0</v>
      </c>
      <c r="B1238" s="5" t="s">
        <v>2236</v>
      </c>
      <c r="C1238" s="6">
        <v>3.0</v>
      </c>
      <c r="D1238" s="7" t="s">
        <v>2237</v>
      </c>
      <c r="E1238" s="8" t="str">
        <f>IFERROR(__xludf.DUMMYFUNCTION("googletranslate(D1238,""id"",""en"")"),"I have a little fortune, for those of you who have the economic difficulties of Gegara PPKM, can I do it, hopefully it's useful")</f>
        <v>I have a little fortune, for those of you who have the economic difficulties of Gegara PPKM, can I do it, hopefully it's useful</v>
      </c>
    </row>
    <row r="1239" ht="15.75" customHeight="1">
      <c r="A1239" s="2">
        <v>1238.0</v>
      </c>
      <c r="B1239" s="5" t="s">
        <v>2238</v>
      </c>
      <c r="C1239" s="6">
        <v>1.0</v>
      </c>
      <c r="D1239" s="7" t="s">
        <v>2239</v>
      </c>
      <c r="E1239" s="8" t="str">
        <f>IFERROR(__xludf.DUMMYFUNCTION("googletranslate(D1239,""id"",""en"")"),"After asking if you should not resign new gentlemen. Not pessimistic people with the reality of the reality as long as you lead the breeding of Covid-19 is not seen the real results of the PPKM almost finished there are already more extended plans mean th"&amp;"e way you fail")</f>
        <v>After asking if you should not resign new gentlemen. Not pessimistic people with the reality of the reality as long as you lead the breeding of Covid-19 is not seen the real results of the PPKM almost finished there are already more extended plans mean the way you fail</v>
      </c>
    </row>
    <row r="1240" ht="15.75" customHeight="1">
      <c r="A1240" s="2">
        <v>1239.0</v>
      </c>
      <c r="B1240" s="5" t="s">
        <v>2240</v>
      </c>
      <c r="C1240" s="6">
        <v>2.0</v>
      </c>
      <c r="D1240" s="7" t="s">
        <v>2241</v>
      </c>
      <c r="E1240" s="8" t="str">
        <f>IFERROR(__xludf.DUMMYFUNCTION("googletranslate(D1240,""id"",""en"")"),"PPKM once a concern then disappeared = ghosting sinep datur")</f>
        <v>PPKM once a concern then disappeared = ghosting sinep datur</v>
      </c>
    </row>
    <row r="1241" ht="15.75" customHeight="1">
      <c r="A1241" s="2">
        <v>1240.0</v>
      </c>
      <c r="B1241" s="5" t="s">
        <v>2242</v>
      </c>
      <c r="C1241" s="6">
        <v>1.0</v>
      </c>
      <c r="D1241" s="7" t="s">
        <v>2243</v>
      </c>
      <c r="E1241" s="8" t="str">
        <f>IFERROR(__xludf.DUMMYFUNCTION("googletranslate(D1241,""id"",""en"")"),"M, psbb, ppkm, vaccine, vaccine ... just a positive number up ??")</f>
        <v>M, psbb, ppkm, vaccine, vaccine ... just a positive number up ??</v>
      </c>
    </row>
    <row r="1242" ht="15.75" customHeight="1">
      <c r="A1242" s="2">
        <v>1241.0</v>
      </c>
      <c r="B1242" s="5" t="s">
        <v>2244</v>
      </c>
      <c r="C1242" s="6">
        <v>2.0</v>
      </c>
      <c r="D1242" s="7" t="s">
        <v>2245</v>
      </c>
      <c r="E1242" s="8" t="str">
        <f>IFERROR(__xludf.DUMMYFUNCTION("googletranslate(D1242,""id"",""en"")"),"If the PPKM results are the same, continued with penalties ..... Awkawok * $ &amp; amp;%")</f>
        <v>If the PPKM results are the same, continued with penalties ..... Awkawok * $ &amp; amp;%</v>
      </c>
    </row>
    <row r="1243" ht="15.75" customHeight="1">
      <c r="A1243" s="2">
        <v>1242.0</v>
      </c>
      <c r="B1243" s="5" t="s">
        <v>2246</v>
      </c>
      <c r="C1243" s="6">
        <v>1.0</v>
      </c>
      <c r="D1243" s="7" t="s">
        <v>2247</v>
      </c>
      <c r="E1243" s="8" t="str">
        <f>IFERROR(__xludf.DUMMYFUNCTION("googletranslate(D1243,""id"",""en"")"),"The government can meet the basic needs of the community, the internet and delay the payment of bank loans until the PPKM is completed, may be PPKM until the month.")</f>
        <v>The government can meet the basic needs of the community, the internet and delay the payment of bank loans until the PPKM is completed, may be PPKM until the month.</v>
      </c>
    </row>
    <row r="1244" ht="15.75" customHeight="1">
      <c r="A1244" s="2">
        <v>1243.0</v>
      </c>
      <c r="B1244" s="5" t="s">
        <v>2248</v>
      </c>
      <c r="C1244" s="6">
        <v>2.0</v>
      </c>
      <c r="D1244" s="10" t="s">
        <v>2249</v>
      </c>
      <c r="E1244" s="8" t="str">
        <f>IFERROR(__xludf.DUMMYFUNCTION("googletranslate(D1244,""id"",""en"")"),"PPKM effect ...")</f>
        <v>PPKM effect ...</v>
      </c>
    </row>
    <row r="1245" ht="15.75" customHeight="1">
      <c r="A1245" s="2">
        <v>1244.0</v>
      </c>
      <c r="B1245" s="5" t="s">
        <v>2250</v>
      </c>
      <c r="C1245" s="6">
        <v>2.0</v>
      </c>
      <c r="D1245" s="7" t="s">
        <v>2251</v>
      </c>
      <c r="E1245" s="8" t="str">
        <f>IFERROR(__xludf.DUMMYFUNCTION("googletranslate(D1245,""id"",""en"")"),"Morning ppkm ... still in the same hope in every Monday hopefully this week will be smooth")</f>
        <v>Morning ppkm ... still in the same hope in every Monday hopefully this week will be smooth</v>
      </c>
    </row>
    <row r="1246" ht="15.75" customHeight="1">
      <c r="A1246" s="2">
        <v>1245.0</v>
      </c>
      <c r="B1246" s="5" t="s">
        <v>2252</v>
      </c>
      <c r="C1246" s="6">
        <v>2.0</v>
      </c>
      <c r="D1246" s="7" t="s">
        <v>2252</v>
      </c>
      <c r="E1246" s="8" t="str">
        <f>IFERROR(__xludf.DUMMYFUNCTION("googletranslate(D1246,""id"",""en"")"),"What's the meaning of PPKM without KM.")</f>
        <v>What's the meaning of PPKM without KM.</v>
      </c>
    </row>
    <row r="1247" ht="15.75" customHeight="1">
      <c r="A1247" s="2">
        <v>1246.0</v>
      </c>
      <c r="B1247" s="5" t="s">
        <v>2253</v>
      </c>
      <c r="C1247" s="6">
        <v>1.0</v>
      </c>
      <c r="D1247" s="9" t="s">
        <v>2254</v>
      </c>
      <c r="E1247" s="8" t="str">
        <f>IFERROR(__xludf.DUMMYFUNCTION("googletranslate(D1247,""id"",""en"")"),"Ahhh, others have started an internship. I'm alone who hasn't been a vehicle, the internships come along with the impact of the PPKM period must find a new place again?")</f>
        <v>Ahhh, others have started an internship. I'm alone who hasn't been a vehicle, the internships come along with the impact of the PPKM period must find a new place again?</v>
      </c>
    </row>
    <row r="1248" ht="15.75" customHeight="1">
      <c r="A1248" s="2">
        <v>1247.0</v>
      </c>
      <c r="B1248" s="5" t="s">
        <v>2255</v>
      </c>
      <c r="C1248" s="6">
        <v>2.0</v>
      </c>
      <c r="D1248" s="7" t="s">
        <v>2255</v>
      </c>
      <c r="E1248" s="8" t="str">
        <f>IFERROR(__xludf.DUMMYFUNCTION("googletranslate(D1248,""id"",""en"")"),"this if the KPKM extended the result is still the same with a penalty shootout")</f>
        <v>this if the KPKM extended the result is still the same with a penalty shootout</v>
      </c>
    </row>
    <row r="1249" ht="15.75" customHeight="1">
      <c r="A1249" s="2">
        <v>1248.0</v>
      </c>
      <c r="B1249" s="5" t="s">
        <v>2256</v>
      </c>
      <c r="C1249" s="6">
        <v>1.0</v>
      </c>
      <c r="D1249" s="7" t="s">
        <v>2257</v>
      </c>
      <c r="E1249" s="8" t="str">
        <f>IFERROR(__xludf.DUMMYFUNCTION("googletranslate(D1249,""id"",""en"")"),"I don't know, I thought about the minds of the stakeholders whose kitchens were still banging even though at PPKM a year, so I thought of the people's kitchen, as if all the kitchens were the same as Mer3ka")</f>
        <v>I don't know, I thought about the minds of the stakeholders whose kitchens were still banging even though at PPKM a year, so I thought of the people's kitchen, as if all the kitchens were the same as Mer3ka</v>
      </c>
    </row>
    <row r="1250" ht="15.75" customHeight="1">
      <c r="A1250" s="2">
        <v>1249.0</v>
      </c>
      <c r="B1250" s="5" t="s">
        <v>2258</v>
      </c>
      <c r="C1250" s="6">
        <v>2.0</v>
      </c>
      <c r="D1250" s="7" t="s">
        <v>2259</v>
      </c>
      <c r="E1250" s="8" t="str">
        <f>IFERROR(__xludf.DUMMYFUNCTION("googletranslate(D1250,""id"",""en"")"),"Breaking News: Emergency PPKM Extended Until Upin Ipin Enter SD")</f>
        <v>Breaking News: Emergency PPKM Extended Until Upin Ipin Enter SD</v>
      </c>
    </row>
    <row r="1251" ht="15.75" customHeight="1">
      <c r="A1251" s="2">
        <v>1250.0</v>
      </c>
      <c r="B1251" s="5" t="s">
        <v>2260</v>
      </c>
      <c r="C1251" s="6">
        <v>1.0</v>
      </c>
      <c r="D1251" s="7" t="s">
        <v>2261</v>
      </c>
      <c r="E1251" s="8" t="str">
        <f>IFERROR(__xludf.DUMMYFUNCTION("googletranslate(D1251,""id"",""en"")"),"This is, sir ,,,, the community is always, but the emergency ppkm is not long ... the economy collapses, the people are hungry, this is a bad, micro ppkm ok ... get together.")</f>
        <v>This is, sir ,,,, the community is always, but the emergency ppkm is not long ... the economy collapses, the people are hungry, this is a bad, micro ppkm ok ... get together.</v>
      </c>
    </row>
    <row r="1252" ht="15.75" customHeight="1">
      <c r="A1252" s="2">
        <v>1251.0</v>
      </c>
      <c r="B1252" s="5" t="s">
        <v>2262</v>
      </c>
      <c r="C1252" s="6">
        <v>1.0</v>
      </c>
      <c r="D1252" s="9" t="s">
        <v>2263</v>
      </c>
      <c r="E1252" s="8" t="str">
        <f>IFERROR(__xludf.DUMMYFUNCTION("googletranslate(D1252,""id"",""en"")"),"The philosophy of a generation will become a fisolofi of the government in the next generation means canceling national proclamation and independence and restoring capitalism and international imperialism. PPKM or you die !!!")</f>
        <v>The philosophy of a generation will become a fisolofi of the government in the next generation means canceling national proclamation and independence and restoring capitalism and international imperialism. PPKM or you die !!!</v>
      </c>
    </row>
    <row r="1253" ht="15.75" customHeight="1">
      <c r="A1253" s="2">
        <v>1252.0</v>
      </c>
      <c r="B1253" s="5" t="s">
        <v>2264</v>
      </c>
      <c r="C1253" s="6">
        <v>1.0</v>
      </c>
      <c r="D1253" s="7" t="s">
        <v>2265</v>
      </c>
      <c r="E1253" s="8" t="str">
        <f>IFERROR(__xludf.DUMMYFUNCTION("googletranslate(D1253,""id"",""en"")"),"Ppkm applies bt humans ... they are dogs ...")</f>
        <v>Ppkm applies bt humans ... they are dogs ...</v>
      </c>
    </row>
    <row r="1254" ht="15.75" customHeight="1">
      <c r="A1254" s="2">
        <v>1253.0</v>
      </c>
      <c r="B1254" s="5" t="s">
        <v>2266</v>
      </c>
      <c r="C1254" s="6">
        <v>1.0</v>
      </c>
      <c r="D1254" s="9" t="s">
        <v>2267</v>
      </c>
      <c r="E1254" s="8" t="str">
        <f>IFERROR(__xludf.DUMMYFUNCTION("googletranslate(D1254,""id"",""en"")"),"Which makes it fails it's stupid people who don't obey the prokes &amp; amp; PPKM.")</f>
        <v>Which makes it fails it's stupid people who don't obey the prokes &amp; amp; PPKM.</v>
      </c>
    </row>
    <row r="1255" ht="15.75" customHeight="1">
      <c r="A1255" s="2">
        <v>1254.0</v>
      </c>
      <c r="B1255" s="5" t="s">
        <v>2268</v>
      </c>
      <c r="C1255" s="6">
        <v>1.0</v>
      </c>
      <c r="D1255" s="7" t="s">
        <v>2269</v>
      </c>
      <c r="E1255" s="8" t="str">
        <f>IFERROR(__xludf.DUMMYFUNCTION("googletranslate(D1255,""id"",""en"")"),"Weleh ... I have a coffee again. Don't have to cook, buy it ...")</f>
        <v>Weleh ... I have a coffee again. Don't have to cook, buy it ...</v>
      </c>
    </row>
    <row r="1256" ht="15.75" customHeight="1">
      <c r="A1256" s="2">
        <v>1255.0</v>
      </c>
      <c r="B1256" s="5" t="s">
        <v>2270</v>
      </c>
      <c r="C1256" s="6">
        <v>2.0</v>
      </c>
      <c r="D1256" s="7" t="s">
        <v>2271</v>
      </c>
      <c r="E1256" s="8" t="str">
        <f>IFERROR(__xludf.DUMMYFUNCTION("googletranslate(D1256,""id"",""en"")"),"Hopefully the PPKM is not aCCC")</f>
        <v>Hopefully the PPKM is not aCCC</v>
      </c>
    </row>
    <row r="1257" ht="15.75" customHeight="1">
      <c r="A1257" s="2">
        <v>1256.0</v>
      </c>
      <c r="B1257" s="5" t="s">
        <v>2272</v>
      </c>
      <c r="C1257" s="6">
        <v>3.0</v>
      </c>
      <c r="D1257" s="9" t="s">
        <v>2273</v>
      </c>
      <c r="E1257" s="8" t="str">
        <f>IFERROR(__xludf.DUMMYFUNCTION("googletranslate(D1257,""id"",""en"")"),"Since PPKM hasn't entered the kitchen again to make breakfast. Sleep it's like a normal person now")</f>
        <v>Since PPKM hasn't entered the kitchen again to make breakfast. Sleep it's like a normal person now</v>
      </c>
    </row>
    <row r="1258" ht="15.75" customHeight="1">
      <c r="A1258" s="2">
        <v>1257.0</v>
      </c>
      <c r="B1258" s="5" t="s">
        <v>2274</v>
      </c>
      <c r="C1258" s="6">
        <v>2.0</v>
      </c>
      <c r="D1258" s="7" t="s">
        <v>2275</v>
      </c>
      <c r="E1258" s="8" t="str">
        <f>IFERROR(__xludf.DUMMYFUNCTION("googletranslate(D1258,""id"",""en"")"),"Later after PPKM SLSAI YAAA BRGKT ... It's easy to eat at the place of WKKWK")</f>
        <v>Later after PPKM SLSAI YAAA BRGKT ... It's easy to eat at the place of WKKWK</v>
      </c>
    </row>
    <row r="1259" ht="15.75" customHeight="1">
      <c r="A1259" s="2">
        <v>1258.0</v>
      </c>
      <c r="B1259" s="5" t="s">
        <v>2276</v>
      </c>
      <c r="C1259" s="6">
        <v>2.0</v>
      </c>
      <c r="D1259" s="9" t="s">
        <v>2276</v>
      </c>
      <c r="E1259" s="8" t="str">
        <f>IFERROR(__xludf.DUMMYFUNCTION("googletranslate(D1259,""id"",""en"")"),"if the ppkm is extended which is fortunate a lot of doctors or not")</f>
        <v>if the ppkm is extended which is fortunate a lot of doctors or not</v>
      </c>
    </row>
    <row r="1260" ht="15.75" customHeight="1">
      <c r="A1260" s="2">
        <v>1259.0</v>
      </c>
      <c r="B1260" s="5" t="s">
        <v>2277</v>
      </c>
      <c r="C1260" s="6">
        <v>2.0</v>
      </c>
      <c r="D1260" s="9" t="s">
        <v>2278</v>
      </c>
      <c r="E1260" s="8" t="str">
        <f>IFERROR(__xludf.DUMMYFUNCTION("googletranslate(D1260,""id"",""en"")"),"Micro AA PPKM, Lockdown Village")</f>
        <v>Micro AA PPKM, Lockdown Village</v>
      </c>
    </row>
    <row r="1261" ht="15.75" customHeight="1">
      <c r="A1261" s="2">
        <v>1260.0</v>
      </c>
      <c r="B1261" s="5" t="s">
        <v>2279</v>
      </c>
      <c r="C1261" s="6">
        <v>1.0</v>
      </c>
      <c r="D1261" s="7" t="s">
        <v>2280</v>
      </c>
      <c r="E1261" s="8" t="str">
        <f>IFERROR(__xludf.DUMMYFUNCTION("googletranslate(D1261,""id"",""en"")"),"There is a rotten strategy if the PPKM is extended, Mark will violate and will scream Klau PPKM failed and Jokowi had to retreat")</f>
        <v>There is a rotten strategy if the PPKM is extended, Mark will violate and will scream Klau PPKM failed and Jokowi had to retreat</v>
      </c>
    </row>
    <row r="1262" ht="15.75" customHeight="1">
      <c r="A1262" s="2">
        <v>1261.0</v>
      </c>
      <c r="B1262" s="5" t="s">
        <v>2281</v>
      </c>
      <c r="C1262" s="6">
        <v>1.0</v>
      </c>
      <c r="D1262" s="9" t="s">
        <v>2282</v>
      </c>
      <c r="E1262" s="8" t="str">
        <f>IFERROR(__xludf.DUMMYFUNCTION("googletranslate(D1262,""id"",""en"")"),"Haha ... then sold out? This means that the ruler is not able to explain the PPKM how and what risks? Hayo, don't play Bui to buy it, but explain to the community ...")</f>
        <v>Haha ... then sold out? This means that the ruler is not able to explain the PPKM how and what risks? Hayo, don't play Bui to buy it, but explain to the community ...</v>
      </c>
    </row>
    <row r="1263" ht="15.75" customHeight="1">
      <c r="A1263" s="2">
        <v>1262.0</v>
      </c>
      <c r="B1263" s="5" t="s">
        <v>2283</v>
      </c>
      <c r="C1263" s="6">
        <v>1.0</v>
      </c>
      <c r="D1263" s="9" t="s">
        <v>2284</v>
      </c>
      <c r="E1263" s="8" t="str">
        <f>IFERROR(__xludf.DUMMYFUNCTION("googletranslate(D1263,""id"",""en"")"),"Ppkm advocacy but fitting dichallenge real solution for small traders instead block the guagini very elitist indo era now")</f>
        <v>Ppkm advocacy but fitting dichallenge real solution for small traders instead block the guagini very elitist indo era now</v>
      </c>
    </row>
    <row r="1264" ht="15.75" customHeight="1">
      <c r="A1264" s="2">
        <v>1263.0</v>
      </c>
      <c r="B1264" s="5" t="s">
        <v>2285</v>
      </c>
      <c r="C1264" s="6">
        <v>1.0</v>
      </c>
      <c r="D1264" s="7" t="s">
        <v>2286</v>
      </c>
      <c r="E1264" s="8" t="str">
        <f>IFERROR(__xludf.DUMMYFUNCTION("googletranslate(D1264,""id"",""en"")"),"Emergency PPKM, but there is a reception")</f>
        <v>Emergency PPKM, but there is a reception</v>
      </c>
    </row>
    <row r="1265" ht="15.75" customHeight="1">
      <c r="A1265" s="2">
        <v>1264.0</v>
      </c>
      <c r="B1265" s="5" t="s">
        <v>2287</v>
      </c>
      <c r="C1265" s="6">
        <v>1.0</v>
      </c>
      <c r="D1265" s="7" t="s">
        <v>2288</v>
      </c>
      <c r="E1265" s="8" t="str">
        <f>IFERROR(__xludf.DUMMYFUNCTION("googletranslate(D1265,""id"",""en"")"),"From the beginning of the Covid19 outbreak and there were some ministers. It's rarely used a mask, just normal the rules change just from PSBB to PPKM &amp; amp; Enter the semester looks like he opened the mask lid but now it's more to order using a mask, so "&amp;"suspicious is getting worse in this country ??")</f>
        <v>From the beginning of the Covid19 outbreak and there were some ministers. It's rarely used a mask, just normal the rules change just from PSBB to PPKM &amp; amp; Enter the semester looks like he opened the mask lid but now it's more to order using a mask, so suspicious is getting worse in this country ??</v>
      </c>
    </row>
    <row r="1266" ht="15.75" customHeight="1">
      <c r="A1266" s="2">
        <v>1265.0</v>
      </c>
      <c r="B1266" s="5" t="s">
        <v>2289</v>
      </c>
      <c r="C1266" s="6">
        <v>2.0</v>
      </c>
      <c r="D1266" s="7" t="s">
        <v>2290</v>
      </c>
      <c r="E1266" s="8" t="str">
        <f>IFERROR(__xludf.DUMMYFUNCTION("googletranslate(D1266,""id"",""en"")"),"bgt bgt hr n ni work ... btw ppkm jd na d what extends what is the date?")</f>
        <v>bgt bgt hr n ni work ... btw ppkm jd na d what extends what is the date?</v>
      </c>
    </row>
    <row r="1267" ht="15.75" customHeight="1">
      <c r="A1267" s="2">
        <v>1266.0</v>
      </c>
      <c r="B1267" s="5" t="s">
        <v>2291</v>
      </c>
      <c r="C1267" s="6">
        <v>2.0</v>
      </c>
      <c r="D1267" s="7" t="s">
        <v>2292</v>
      </c>
      <c r="E1267" s="8" t="str">
        <f>IFERROR(__xludf.DUMMYFUNCTION("googletranslate(D1267,""id"",""en"")"),"Ouch, this ppkm will continue until August, you don't want to go to Cikarangg")</f>
        <v>Ouch, this ppkm will continue until August, you don't want to go to Cikarangg</v>
      </c>
    </row>
    <row r="1268" ht="15.75" customHeight="1">
      <c r="A1268" s="2">
        <v>1267.0</v>
      </c>
      <c r="B1268" s="5" t="s">
        <v>2293</v>
      </c>
      <c r="C1268" s="6">
        <v>1.0</v>
      </c>
      <c r="D1268" s="7" t="s">
        <v>2294</v>
      </c>
      <c r="E1268" s="8" t="str">
        <f>IFERROR(__xludf.DUMMYFUNCTION("googletranslate(D1268,""id"",""en"")"),"ppkm _ pak pleciden et al, when about retreating? Well that we support it failed to still be ajah")</f>
        <v>ppkm _ pak pleciden et al, when about retreating? Well that we support it failed to still be ajah</v>
      </c>
    </row>
    <row r="1269" ht="15.75" customHeight="1">
      <c r="A1269" s="2">
        <v>1268.0</v>
      </c>
      <c r="B1269" s="5" t="s">
        <v>2295</v>
      </c>
      <c r="C1269" s="6">
        <v>2.0</v>
      </c>
      <c r="D1269" s="7" t="s">
        <v>2295</v>
      </c>
      <c r="E1269" s="8" t="str">
        <f>IFERROR(__xludf.DUMMYFUNCTION("googletranslate(D1269,""id"",""en"")"),"I like PPKM TNPA PP.")</f>
        <v>I like PPKM TNPA PP.</v>
      </c>
    </row>
    <row r="1270" ht="15.75" customHeight="1">
      <c r="A1270" s="2">
        <v>1269.0</v>
      </c>
      <c r="B1270" s="5" t="s">
        <v>2296</v>
      </c>
      <c r="C1270" s="6">
        <v>1.0</v>
      </c>
      <c r="D1270" s="9" t="s">
        <v>2297</v>
      </c>
      <c r="E1270" s="8" t="str">
        <f>IFERROR(__xludf.DUMMYFUNCTION("googletranslate(D1270,""id"",""en"")"),"In essence the people are obedient at the beginning, now I have finished giving a policy there is no solution for the people, if you want RKKM, you can't, Ksana Kmri, fulfill the basic needs, the people will stay at home. In essence I really hate people w"&amp;"ho always blame the people.")</f>
        <v>In essence the people are obedient at the beginning, now I have finished giving a policy there is no solution for the people, if you want RKKM, you can't, Ksana Kmri, fulfill the basic needs, the people will stay at home. In essence I really hate people who always blame the people.</v>
      </c>
    </row>
    <row r="1271" ht="15.75" customHeight="1">
      <c r="A1271" s="2">
        <v>1270.0</v>
      </c>
      <c r="B1271" s="5" t="s">
        <v>2298</v>
      </c>
      <c r="C1271" s="6">
        <v>2.0</v>
      </c>
      <c r="D1271" s="7" t="s">
        <v>2299</v>
      </c>
      <c r="E1271" s="8" t="str">
        <f>IFERROR(__xludf.DUMMYFUNCTION("googletranslate(D1271,""id"",""en"")"),"PPKM. Don't fight for Pilnati Dech")</f>
        <v>PPKM. Don't fight for Pilnati Dech</v>
      </c>
    </row>
    <row r="1272" ht="15.75" customHeight="1">
      <c r="A1272" s="2">
        <v>1271.0</v>
      </c>
      <c r="B1272" s="5" t="s">
        <v>2300</v>
      </c>
      <c r="C1272" s="6">
        <v>2.0</v>
      </c>
      <c r="D1272" s="7" t="s">
        <v>552</v>
      </c>
      <c r="E1272" s="8" t="str">
        <f>IFERROR(__xludf.DUMMYFUNCTION("googletranslate(D1272,""id"",""en"")"),"I like PPKM without PP")</f>
        <v>I like PPKM without PP</v>
      </c>
    </row>
    <row r="1273" ht="15.75" customHeight="1">
      <c r="A1273" s="2">
        <v>1272.0</v>
      </c>
      <c r="B1273" s="5" t="s">
        <v>2301</v>
      </c>
      <c r="C1273" s="6">
        <v>2.0</v>
      </c>
      <c r="D1273" s="7" t="s">
        <v>2302</v>
      </c>
      <c r="E1273" s="8" t="str">
        <f>IFERROR(__xludf.DUMMYFUNCTION("googletranslate(D1273,""id"",""en"")"),"Instead you want to hear what you want to hear? Level of recovery up because of PPKM? There's just a red thread")</f>
        <v>Instead you want to hear what you want to hear? Level of recovery up because of PPKM? There's just a red thread</v>
      </c>
    </row>
    <row r="1274" ht="15.75" customHeight="1">
      <c r="A1274" s="2">
        <v>1273.0</v>
      </c>
      <c r="B1274" s="5" t="s">
        <v>2303</v>
      </c>
      <c r="C1274" s="6">
        <v>1.0</v>
      </c>
      <c r="D1274" s="9" t="s">
        <v>2303</v>
      </c>
      <c r="E1274" s="8" t="str">
        <f>IFERROR(__xludf.DUMMYFUNCTION("googletranslate(D1274,""id"",""en"")"),"Ppkm, can't dine in. Unless the business has a village head")</f>
        <v>Ppkm, can't dine in. Unless the business has a village head</v>
      </c>
    </row>
    <row r="1275" ht="15.75" customHeight="1">
      <c r="A1275" s="2">
        <v>1274.0</v>
      </c>
      <c r="B1275" s="5" t="s">
        <v>2304</v>
      </c>
      <c r="C1275" s="6">
        <v>1.0</v>
      </c>
      <c r="D1275" s="9" t="s">
        <v>2305</v>
      </c>
      <c r="E1275" s="8" t="str">
        <f>IFERROR(__xludf.DUMMYFUNCTION("googletranslate(D1275,""id"",""en"")"),"And for Kang. Sampean certainly followed my tweet from our cross: our PPKM was not accompanied by adequate assistance compensation instead? Naturally if we ngepush it. Why? Therefore the right of some people")</f>
        <v>And for Kang. Sampean certainly followed my tweet from our cross: our PPKM was not accompanied by adequate assistance compensation instead? Naturally if we ngepush it. Why? Therefore the right of some people</v>
      </c>
    </row>
    <row r="1276" ht="15.75" customHeight="1">
      <c r="A1276" s="2">
        <v>1275.0</v>
      </c>
      <c r="B1276" s="5" t="s">
        <v>2306</v>
      </c>
      <c r="C1276" s="6">
        <v>1.0</v>
      </c>
      <c r="D1276" s="9" t="s">
        <v>2307</v>
      </c>
      <c r="E1276" s="8" t="str">
        <f>IFERROR(__xludf.DUMMYFUNCTION("googletranslate(D1276,""id"",""en"")"),"So this is the people who don't use it? Remember the beginning of the pandemic? People with a conscious portal biki in the village village. Ppkm is there a fasting solution for the daily works? Even though I can use the full salary of a smooth allowance, "&amp;"it doesn't work, you have to leave RKYT, which is sad every day with Ojol's story, PDagang.")</f>
        <v>So this is the people who don't use it? Remember the beginning of the pandemic? People with a conscious portal biki in the village village. Ppkm is there a fasting solution for the daily works? Even though I can use the full salary of a smooth allowance, it doesn't work, you have to leave RKYT, which is sad every day with Ojol's story, PDagang.</v>
      </c>
    </row>
    <row r="1277" ht="15.75" customHeight="1">
      <c r="A1277" s="2">
        <v>1276.0</v>
      </c>
      <c r="B1277" s="5" t="s">
        <v>2308</v>
      </c>
      <c r="C1277" s="6">
        <v>1.0</v>
      </c>
      <c r="D1277" s="9" t="s">
        <v>2309</v>
      </c>
      <c r="E1277" s="8" t="str">
        <f>IFERROR(__xludf.DUMMYFUNCTION("googletranslate(D1277,""id"",""en"")"),"Gapapa, the results of the PPKM control fines who hit naughty ordinary traders were almost JT's total. Still profit Lur.")</f>
        <v>Gapapa, the results of the PPKM control fines who hit naughty ordinary traders were almost JT's total. Still profit Lur.</v>
      </c>
    </row>
    <row r="1278" ht="15.75" customHeight="1">
      <c r="A1278" s="2">
        <v>1277.0</v>
      </c>
      <c r="B1278" s="5" t="s">
        <v>2310</v>
      </c>
      <c r="C1278" s="6">
        <v>1.0</v>
      </c>
      <c r="D1278" s="9" t="s">
        <v>2311</v>
      </c>
      <c r="E1278" s="8" t="str">
        <f>IFERROR(__xludf.DUMMYFUNCTION("googletranslate(D1278,""id"",""en"")"),"Knp already and after the PPKM positive number is increasingly extraordinary?")</f>
        <v>Knp already and after the PPKM positive number is increasingly extraordinary?</v>
      </c>
    </row>
    <row r="1279" ht="15.75" customHeight="1">
      <c r="A1279" s="2">
        <v>1278.0</v>
      </c>
      <c r="B1279" s="5" t="s">
        <v>2312</v>
      </c>
      <c r="C1279" s="6">
        <v>3.0</v>
      </c>
      <c r="D1279" s="7" t="s">
        <v>2313</v>
      </c>
      <c r="E1279" s="8" t="str">
        <f>IFERROR(__xludf.DUMMYFUNCTION("googletranslate(D1279,""id"",""en"")"),"The best prayer, the numbers go down continuously, right, how come you get well, I can't get the Emergency PPKM impact?")</f>
        <v>The best prayer, the numbers go down continuously, right, how come you get well, I can't get the Emergency PPKM impact?</v>
      </c>
    </row>
    <row r="1280" ht="15.75" customHeight="1">
      <c r="A1280" s="2">
        <v>1279.0</v>
      </c>
      <c r="B1280" s="5" t="s">
        <v>2314</v>
      </c>
      <c r="C1280" s="6">
        <v>2.0</v>
      </c>
      <c r="D1280" s="7" t="s">
        <v>2314</v>
      </c>
      <c r="E1280" s="8" t="str">
        <f>IFERROR(__xludf.DUMMYFUNCTION("googletranslate(D1280,""id"",""en"")"),"Emergency PPKM emergency proposal extended until you are mine")</f>
        <v>Emergency PPKM emergency proposal extended until you are mine</v>
      </c>
    </row>
    <row r="1281" ht="15.75" customHeight="1">
      <c r="A1281" s="2">
        <v>1280.0</v>
      </c>
      <c r="B1281" s="5" t="s">
        <v>2315</v>
      </c>
      <c r="C1281" s="6">
        <v>2.0</v>
      </c>
      <c r="D1281" s="9" t="s">
        <v>2316</v>
      </c>
      <c r="E1281" s="8" t="str">
        <f>IFERROR(__xludf.DUMMYFUNCTION("googletranslate(D1281,""id"",""en"")"),"BBRP last week met a domicile friend in the UK. SBLM PPKM, the restaurant is quite solid but there is a social distance. Our table is about meter diameter, sitting face to face. Automatically open the mask when you eat. Finished, I went home, not long aft"&amp;"er it was severe diarrhea, fever body, head of illness.")</f>
        <v>BBRP last week met a domicile friend in the UK. SBLM PPKM, the restaurant is quite solid but there is a social distance. Our table is about meter diameter, sitting face to face. Automatically open the mask when you eat. Finished, I went home, not long after it was severe diarrhea, fever body, head of illness.</v>
      </c>
    </row>
    <row r="1282" ht="15.75" customHeight="1">
      <c r="A1282" s="2">
        <v>1281.0</v>
      </c>
      <c r="B1282" s="5" t="s">
        <v>2317</v>
      </c>
      <c r="C1282" s="6">
        <v>1.0</v>
      </c>
      <c r="D1282" s="7" t="s">
        <v>2318</v>
      </c>
      <c r="E1282" s="8" t="str">
        <f>IFERROR(__xludf.DUMMYFUNCTION("googletranslate(D1282,""id"",""en"")"),"PPKM will not be able to walk ... if the people's stomach is still empty ...")</f>
        <v>PPKM will not be able to walk ... if the people's stomach is still empty ...</v>
      </c>
    </row>
    <row r="1283" ht="15.75" customHeight="1">
      <c r="A1283" s="2">
        <v>1282.0</v>
      </c>
      <c r="B1283" s="5" t="s">
        <v>2319</v>
      </c>
      <c r="C1283" s="6">
        <v>1.0</v>
      </c>
      <c r="D1283" s="7" t="s">
        <v>2320</v>
      </c>
      <c r="E1283" s="8" t="str">
        <f>IFERROR(__xludf.DUMMYFUNCTION("googletranslate(D1283,""id"",""en"")"),"Where has been LDR, ehh there is a PPKM again. He is double.")</f>
        <v>Where has been LDR, ehh there is a PPKM again. He is double.</v>
      </c>
    </row>
    <row r="1284" ht="15.75" customHeight="1">
      <c r="A1284" s="2">
        <v>1283.0</v>
      </c>
      <c r="B1284" s="5" t="s">
        <v>2321</v>
      </c>
      <c r="C1284" s="6">
        <v>2.0</v>
      </c>
      <c r="D1284" s="7" t="s">
        <v>2322</v>
      </c>
      <c r="E1284" s="8" t="str">
        <f>IFERROR(__xludf.DUMMYFUNCTION("googletranslate(D1284,""id"",""en"")"),"LDR Almost Year (Finger Financial Meeting) + Marriage Pas PPKMujian Before Marriage Steady It's Anyway, Hbs Marriage Tested Again..that Lyfe ...")</f>
        <v>LDR Almost Year (Finger Financial Meeting) + Marriage Pas PPKMujian Before Marriage Steady It's Anyway, Hbs Marriage Tested Again..that Lyfe ...</v>
      </c>
    </row>
    <row r="1285" ht="15.75" customHeight="1">
      <c r="A1285" s="2">
        <v>1284.0</v>
      </c>
      <c r="B1285" s="5" t="s">
        <v>2323</v>
      </c>
      <c r="C1285" s="6">
        <v>2.0</v>
      </c>
      <c r="D1285" s="7" t="s">
        <v>2324</v>
      </c>
      <c r="E1285" s="8" t="str">
        <f>IFERROR(__xludf.DUMMYFUNCTION("googletranslate(D1285,""id"",""en"")"),"yes ppkm, but told to skul to take a book")</f>
        <v>yes ppkm, but told to skul to take a book</v>
      </c>
    </row>
    <row r="1286" ht="15.75" customHeight="1">
      <c r="A1286" s="2">
        <v>1285.0</v>
      </c>
      <c r="B1286" s="5" t="s">
        <v>2325</v>
      </c>
      <c r="C1286" s="6">
        <v>1.0</v>
      </c>
      <c r="D1286" s="7" t="s">
        <v>2326</v>
      </c>
      <c r="E1286" s="8" t="str">
        <f>IFERROR(__xludf.DUMMYFUNCTION("googletranslate(D1286,""id"",""en"")"),"The porport of PPKM PPKM: BKN the matter of finding it is difficult but the problem has more difficult money, MO has a new motorbike difficult, mo holiday is difficult. If every house set aside a plate of rice + side dishes to eat, there will be no starva"&amp;"tion in the home environment that.")</f>
        <v>The porport of PPKM PPKM: BKN the matter of finding it is difficult but the problem has more difficult money, MO has a new motorbike difficult, mo holiday is difficult. If every house set aside a plate of rice + side dishes to eat, there will be no starvation in the home environment that.</v>
      </c>
    </row>
    <row r="1287" ht="15.75" customHeight="1">
      <c r="A1287" s="2">
        <v>1286.0</v>
      </c>
      <c r="B1287" s="5" t="s">
        <v>2327</v>
      </c>
      <c r="C1287" s="6">
        <v>1.0</v>
      </c>
      <c r="D1287" s="9" t="s">
        <v>2328</v>
      </c>
      <c r="E1287" s="8" t="str">
        <f>IFERROR(__xludf.DUMMYFUNCTION("googletranslate(D1287,""id"",""en"")"),"Of course, when it is obliged, it should also be used for openness, especially if the quarantine of the Betulan region is done? This is the problem why many who don't agree Lokdon because of the identity of the GOBOK central government gabisa in the count"&amp;"ry")</f>
        <v>Of course, when it is obliged, it should also be used for openness, especially if the quarantine of the Betulan region is done? This is the problem why many who don't agree Lokdon because of the identity of the GOBOK central government gabisa in the country</v>
      </c>
    </row>
    <row r="1288" ht="15.75" customHeight="1">
      <c r="A1288" s="2">
        <v>1287.0</v>
      </c>
      <c r="B1288" s="5" t="s">
        <v>2329</v>
      </c>
      <c r="C1288" s="6">
        <v>1.0</v>
      </c>
      <c r="D1288" s="7" t="s">
        <v>2329</v>
      </c>
      <c r="E1288" s="8" t="str">
        <f>IFERROR(__xludf.DUMMYFUNCTION("googletranslate(D1288,""id"",""en"")"),"It's better that people who make content make money more when you buy the merchandise of the street vendors. Daripda pretentious nyinyir is not obedient PPKM equal to street vendors.")</f>
        <v>It's better that people who make content make money more when you buy the merchandise of the street vendors. Daripda pretentious nyinyir is not obedient PPKM equal to street vendors.</v>
      </c>
    </row>
    <row r="1289" ht="15.75" customHeight="1">
      <c r="A1289" s="2">
        <v>1288.0</v>
      </c>
      <c r="B1289" s="5" t="s">
        <v>2330</v>
      </c>
      <c r="C1289" s="6">
        <v>2.0</v>
      </c>
      <c r="D1289" s="12" t="s">
        <v>2331</v>
      </c>
      <c r="E1289" s="8" t="str">
        <f>IFERROR(__xludf.DUMMYFUNCTION("googletranslate(D1289,""id"",""en"")"),"Before PPKM.")</f>
        <v>Before PPKM.</v>
      </c>
    </row>
    <row r="1290" ht="15.75" customHeight="1">
      <c r="A1290" s="2">
        <v>1289.0</v>
      </c>
      <c r="B1290" s="5" t="s">
        <v>2332</v>
      </c>
      <c r="C1290" s="6">
        <v>2.0</v>
      </c>
      <c r="D1290" s="9" t="s">
        <v>2333</v>
      </c>
      <c r="E1290" s="8" t="str">
        <f>IFERROR(__xludf.DUMMYFUNCTION("googletranslate(D1290,""id"",""en"")"),"Permission to ask bang. Which at the airport is there still vaccination activity? In the place I was very difficult to find the first stage vaccine because it was being PPKM. I want to fly to Jakarta, want a university entrance exam, so it must be vaccina"&amp;"ted first. The plan I want a vaccine at the airport")</f>
        <v>Permission to ask bang. Which at the airport is there still vaccination activity? In the place I was very difficult to find the first stage vaccine because it was being PPKM. I want to fly to Jakarta, want a university entrance exam, so it must be vaccinated first. The plan I want a vaccine at the airport</v>
      </c>
    </row>
    <row r="1291" ht="15.75" customHeight="1">
      <c r="A1291" s="2">
        <v>1290.0</v>
      </c>
      <c r="B1291" s="5" t="s">
        <v>2334</v>
      </c>
      <c r="C1291" s="6">
        <v>1.0</v>
      </c>
      <c r="D1291" s="7" t="s">
        <v>2335</v>
      </c>
      <c r="E1291" s="8" t="str">
        <f>IFERROR(__xludf.DUMMYFUNCTION("googletranslate(D1291,""id"",""en"")"),"Yes dongo is rich like this makes the ppkm so slow down")</f>
        <v>Yes dongo is rich like this makes the ppkm so slow down</v>
      </c>
    </row>
    <row r="1292" ht="15.75" customHeight="1">
      <c r="A1292" s="2">
        <v>1291.0</v>
      </c>
      <c r="B1292" s="5" t="s">
        <v>2336</v>
      </c>
      <c r="C1292" s="6">
        <v>2.0</v>
      </c>
      <c r="D1292" s="7" t="s">
        <v>2337</v>
      </c>
      <c r="E1292" s="8" t="str">
        <f>IFERROR(__xludf.DUMMYFUNCTION("googletranslate(D1292,""id"",""en"")"),"Firmly can fly again ppkm")</f>
        <v>Firmly can fly again ppkm</v>
      </c>
    </row>
    <row r="1293" ht="15.75" customHeight="1">
      <c r="A1293" s="2">
        <v>1292.0</v>
      </c>
      <c r="B1293" s="5" t="s">
        <v>2338</v>
      </c>
      <c r="C1293" s="6">
        <v>1.0</v>
      </c>
      <c r="D1293" s="7" t="s">
        <v>2338</v>
      </c>
      <c r="E1293" s="8" t="str">
        <f>IFERROR(__xludf.DUMMYFUNCTION("googletranslate(D1293,""id"",""en"")"),"The ppkm should not be extended ... but it is also absent ... it's free to be long but not hard .. weak.")</f>
        <v>The ppkm should not be extended ... but it is also absent ... it's free to be long but not hard .. weak.</v>
      </c>
    </row>
    <row r="1294" ht="15.75" customHeight="1">
      <c r="A1294" s="2">
        <v>1293.0</v>
      </c>
      <c r="B1294" s="5" t="s">
        <v>2339</v>
      </c>
      <c r="C1294" s="6">
        <v>2.0</v>
      </c>
      <c r="D1294" s="7" t="s">
        <v>2339</v>
      </c>
      <c r="E1294" s="8" t="str">
        <f>IFERROR(__xludf.DUMMYFUNCTION("googletranslate(D1294,""id"",""en"")"),"PPKM is exposed to our old sami, until it becomes dust ~")</f>
        <v>PPKM is exposed to our old sami, until it becomes dust ~</v>
      </c>
    </row>
    <row r="1295" ht="15.75" customHeight="1">
      <c r="A1295" s="2">
        <v>1294.0</v>
      </c>
      <c r="B1295" s="5" t="s">
        <v>2340</v>
      </c>
      <c r="C1295" s="6">
        <v>3.0</v>
      </c>
      <c r="D1295" s="7" t="s">
        <v>2341</v>
      </c>
      <c r="E1295" s="8" t="str">
        <f>IFERROR(__xludf.DUMMYFUNCTION("googletranslate(D1295,""id"",""en"")"),"Regent and Deputy Regent of Lumajang Regency did not take salaries since emergency PPKM was donated to the people")</f>
        <v>Regent and Deputy Regent of Lumajang Regency did not take salaries since emergency PPKM was donated to the people</v>
      </c>
    </row>
    <row r="1296" ht="15.75" customHeight="1">
      <c r="A1296" s="2">
        <v>1295.0</v>
      </c>
      <c r="B1296" s="5" t="s">
        <v>2342</v>
      </c>
      <c r="C1296" s="6">
        <v>1.0</v>
      </c>
      <c r="D1296" s="7" t="s">
        <v>2343</v>
      </c>
      <c r="E1296" s="8" t="str">
        <f>IFERROR(__xludf.DUMMYFUNCTION("googletranslate(D1296,""id"",""en"")"),"Well this, why PPKM must guarantee the cost of daily living during PPKM &amp; amp; The following week without exception, many people who have come down the class are not registered as the recipient of government assistance ...")</f>
        <v>Well this, why PPKM must guarantee the cost of daily living during PPKM &amp; amp; The following week without exception, many people who have come down the class are not registered as the recipient of government assistance ...</v>
      </c>
    </row>
    <row r="1297" ht="15.75" customHeight="1">
      <c r="A1297" s="2">
        <v>1296.0</v>
      </c>
      <c r="B1297" s="5" t="s">
        <v>2344</v>
      </c>
      <c r="C1297" s="6">
        <v>2.0</v>
      </c>
      <c r="D1297" s="9" t="s">
        <v>2345</v>
      </c>
      <c r="E1297" s="8" t="str">
        <f>IFERROR(__xludf.DUMMYFUNCTION("googletranslate(D1297,""id"",""en"")"),"SCH! Guys because my PPKM hasn't taken a book in the school, then it's just got the assignment like this, anyone knows the ICON APK is rich in? MakasiIIH.")</f>
        <v>SCH! Guys because my PPKM hasn't taken a book in the school, then it's just got the assignment like this, anyone knows the ICON APK is rich in? MakasiIIH.</v>
      </c>
    </row>
    <row r="1298" ht="15.75" customHeight="1">
      <c r="A1298" s="2">
        <v>1297.0</v>
      </c>
      <c r="B1298" s="5" t="s">
        <v>2346</v>
      </c>
      <c r="C1298" s="6">
        <v>2.0</v>
      </c>
      <c r="D1298" s="7" t="s">
        <v>2346</v>
      </c>
      <c r="E1298" s="8" t="str">
        <f>IFERROR(__xludf.DUMMYFUNCTION("googletranslate(D1298,""id"",""en"")"),"ppkm extended or not ??")</f>
        <v>ppkm extended or not ??</v>
      </c>
    </row>
    <row r="1299" ht="15.75" customHeight="1">
      <c r="A1299" s="2">
        <v>1298.0</v>
      </c>
      <c r="B1299" s="5" t="s">
        <v>2347</v>
      </c>
      <c r="C1299" s="6">
        <v>3.0</v>
      </c>
      <c r="D1299" s="7" t="s">
        <v>2348</v>
      </c>
      <c r="E1299" s="8" t="str">
        <f>IFERROR(__xludf.DUMMYFUNCTION("googletranslate(D1299,""id"",""en"")"),"The consequences of this micro PPKM community's economic activity was limited in order to break the chain of Covid-19 transmission in the community.")</f>
        <v>The consequences of this micro PPKM community's economic activity was limited in order to break the chain of Covid-19 transmission in the community.</v>
      </c>
    </row>
    <row r="1300" ht="15.75" customHeight="1">
      <c r="A1300" s="2">
        <v>1299.0</v>
      </c>
      <c r="B1300" s="5" t="s">
        <v>2349</v>
      </c>
      <c r="C1300" s="6">
        <v>2.0</v>
      </c>
      <c r="D1300" s="9" t="s">
        <v>2350</v>
      </c>
      <c r="E1300" s="8" t="str">
        <f>IFERROR(__xludf.DUMMYFUNCTION("googletranslate(D1300,""id"",""en"")"),"Happy Monday!!! Tomorrow, the last day of the PPKM. But there is news that the PPKM will be extended and wait for the results of an extended evaluation or not, if you agree that Emergency PPKM is extended or not? Vote Yuk w / &amp; amp; Till!")</f>
        <v>Happy Monday!!! Tomorrow, the last day of the PPKM. But there is news that the PPKM will be extended and wait for the results of an extended evaluation or not, if you agree that Emergency PPKM is extended or not? Vote Yuk w / &amp; amp; Till!</v>
      </c>
    </row>
    <row r="1301" ht="15.75" customHeight="1">
      <c r="A1301" s="2">
        <v>1300.0</v>
      </c>
      <c r="B1301" s="5" t="s">
        <v>2351</v>
      </c>
      <c r="C1301" s="6">
        <v>2.0</v>
      </c>
      <c r="D1301" s="9" t="s">
        <v>2352</v>
      </c>
      <c r="E1301" s="8" t="str">
        <f>IFERROR(__xludf.DUMMYFUNCTION("googletranslate(D1301,""id"",""en"")"),"Hello Gus, .... Come on PPKM (morning we drink copy? ....... Not PPKM: When the arms meet the former.")</f>
        <v>Hello Gus, .... Come on PPKM (morning we drink copy? ....... Not PPKM: When the arms meet the former.</v>
      </c>
    </row>
    <row r="1302" ht="15.75" customHeight="1">
      <c r="A1302" s="2">
        <v>1301.0</v>
      </c>
      <c r="B1302" s="5" t="s">
        <v>2353</v>
      </c>
      <c r="C1302" s="6">
        <v>2.0</v>
      </c>
      <c r="D1302" s="7" t="s">
        <v>2354</v>
      </c>
      <c r="E1302" s="8" t="str">
        <f>IFERROR(__xludf.DUMMYFUNCTION("googletranslate(D1302,""id"",""en"")"),"The former Marbot Mosque asked PPKM polite officers.")</f>
        <v>The former Marbot Mosque asked PPKM polite officers.</v>
      </c>
    </row>
    <row r="1303" ht="15.75" customHeight="1">
      <c r="A1303" s="2">
        <v>1302.0</v>
      </c>
      <c r="B1303" s="5" t="s">
        <v>2355</v>
      </c>
      <c r="C1303" s="6">
        <v>1.0</v>
      </c>
      <c r="D1303" s="9" t="s">
        <v>2356</v>
      </c>
      <c r="E1303" s="8" t="str">
        <f>IFERROR(__xludf.DUMMYFUNCTION("googletranslate(D1303,""id"",""en"")"),"ppkm in tightening, new mpls gajadi to arrange students what else luring school klerun school definitely online")</f>
        <v>ppkm in tightening, new mpls gajadi to arrange students what else luring school klerun school definitely online</v>
      </c>
    </row>
    <row r="1304" ht="15.75" customHeight="1">
      <c r="A1304" s="2">
        <v>1303.0</v>
      </c>
      <c r="B1304" s="5" t="s">
        <v>2357</v>
      </c>
      <c r="C1304" s="6">
        <v>3.0</v>
      </c>
      <c r="D1304" s="7" t="s">
        <v>2358</v>
      </c>
      <c r="E1304" s="8" t="str">
        <f>IFERROR(__xludf.DUMMYFUNCTION("googletranslate(D1304,""id"",""en"")"),"This is right. If there are millions of masies can't afford to be borne by the livelihood of the million until the month is yes, it is also carried out because it is carried out because this emergency PPKM needs success.")</f>
        <v>This is right. If there are millions of masies can't afford to be borne by the livelihood of the million until the month is yes, it is also carried out because it is carried out because this emergency PPKM needs success.</v>
      </c>
    </row>
    <row r="1305" ht="15.75" customHeight="1">
      <c r="A1305" s="2">
        <v>1304.0</v>
      </c>
      <c r="B1305" s="5" t="s">
        <v>2359</v>
      </c>
      <c r="C1305" s="6">
        <v>1.0</v>
      </c>
      <c r="D1305" s="7" t="s">
        <v>2360</v>
      </c>
      <c r="E1305" s="8" t="str">
        <f>IFERROR(__xludf.DUMMYFUNCTION("googletranslate(D1305,""id"",""en"")"),"Ppkm and can't meet up together because of the covid season")</f>
        <v>Ppkm and can't meet up together because of the covid season</v>
      </c>
    </row>
    <row r="1306" ht="15.75" customHeight="1">
      <c r="A1306" s="2">
        <v>1305.0</v>
      </c>
      <c r="B1306" s="5" t="s">
        <v>2361</v>
      </c>
      <c r="C1306" s="6">
        <v>3.0</v>
      </c>
      <c r="D1306" s="7" t="s">
        <v>2362</v>
      </c>
      <c r="E1306" s="8" t="str">
        <f>IFERROR(__xludf.DUMMYFUNCTION("googletranslate(D1306,""id"",""en"")"),"Although Eid al-Adha (qurban holidays) tomorrow in ""limitations"" due to PPKM (due to a pandemic) ... hopefully we as Muslims remain excited and khusyu / khidmat in welcoming / celebrate it ... hopefully Allah SWT will immediately eliminate this outbreak"&amp;" ... YRA")</f>
        <v>Although Eid al-Adha (qurban holidays) tomorrow in "limitations" due to PPKM (due to a pandemic) ... hopefully we as Muslims remain excited and khusyu / khidmat in welcoming / celebrate it ... hopefully Allah SWT will immediately eliminate this outbreak ... YRA</v>
      </c>
    </row>
    <row r="1307" ht="15.75" customHeight="1">
      <c r="A1307" s="2">
        <v>1306.0</v>
      </c>
      <c r="B1307" s="5" t="s">
        <v>2363</v>
      </c>
      <c r="C1307" s="6">
        <v>2.0</v>
      </c>
      <c r="D1307" s="7" t="s">
        <v>2363</v>
      </c>
      <c r="E1307" s="8" t="str">
        <f>IFERROR(__xludf.DUMMYFUNCTION("googletranslate(D1307,""id"",""en"")"),"PPKM: Hardworkers, Mangat.")</f>
        <v>PPKM: Hardworkers, Mangat.</v>
      </c>
    </row>
    <row r="1308" ht="15.75" customHeight="1">
      <c r="A1308" s="2">
        <v>1307.0</v>
      </c>
      <c r="B1308" s="5" t="s">
        <v>2364</v>
      </c>
      <c r="C1308" s="6">
        <v>2.0</v>
      </c>
      <c r="D1308" s="7" t="s">
        <v>2364</v>
      </c>
      <c r="E1308" s="8" t="str">
        <f>IFERROR(__xludf.DUMMYFUNCTION("googletranslate(D1308,""id"",""en"")"),"Hah PPKM extended?")</f>
        <v>Hah PPKM extended?</v>
      </c>
    </row>
    <row r="1309" ht="15.75" customHeight="1">
      <c r="A1309" s="2">
        <v>1308.0</v>
      </c>
      <c r="B1309" s="5" t="s">
        <v>2365</v>
      </c>
      <c r="C1309" s="6">
        <v>1.0</v>
      </c>
      <c r="D1309" s="9" t="s">
        <v>2366</v>
      </c>
      <c r="E1309" s="8" t="str">
        <f>IFERROR(__xludf.DUMMYFUNCTION("googletranslate(D1309,""id"",""en"")"),"Your name is Jeniusssss, your system is bapukkkk. Heyyyyyyyyyyy Andakan Invoed PPKM Please Circle !!!")</f>
        <v>Your name is Jeniusssss, your system is bapukkkk. Heyyyyyyyyyyy Andakan Invoed PPKM Please Circle !!!</v>
      </c>
    </row>
    <row r="1310" ht="15.75" customHeight="1">
      <c r="A1310" s="2">
        <v>1309.0</v>
      </c>
      <c r="B1310" s="5" t="s">
        <v>2367</v>
      </c>
      <c r="C1310" s="6">
        <v>2.0</v>
      </c>
      <c r="D1310" s="10" t="s">
        <v>2368</v>
      </c>
      <c r="E1310" s="8" t="str">
        <f>IFERROR(__xludf.DUMMYFUNCTION("googletranslate(D1310,""id"",""en"")"),"Catfish PPKM.")</f>
        <v>Catfish PPKM.</v>
      </c>
    </row>
    <row r="1311" ht="15.75" customHeight="1">
      <c r="A1311" s="2">
        <v>1310.0</v>
      </c>
      <c r="B1311" s="5" t="s">
        <v>2369</v>
      </c>
      <c r="C1311" s="6">
        <v>1.0</v>
      </c>
      <c r="D1311" s="7" t="s">
        <v>2370</v>
      </c>
      <c r="E1311" s="8" t="str">
        <f>IFERROR(__xludf.DUMMYFUNCTION("googletranslate(D1311,""id"",""en"")"),"pity ppkm forever")</f>
        <v>pity ppkm forever</v>
      </c>
    </row>
    <row r="1312" ht="15.75" customHeight="1">
      <c r="A1312" s="2">
        <v>1311.0</v>
      </c>
      <c r="B1312" s="5" t="s">
        <v>2371</v>
      </c>
      <c r="C1312" s="6">
        <v>2.0</v>
      </c>
      <c r="D1312" s="9" t="s">
        <v>2372</v>
      </c>
      <c r="E1312" s="8" t="str">
        <f>IFERROR(__xludf.DUMMYFUNCTION("googletranslate(D1312,""id"",""en"")"),"PPKM Morning Morning Kangen Past")</f>
        <v>PPKM Morning Morning Kangen Past</v>
      </c>
    </row>
    <row r="1313" ht="15.75" customHeight="1">
      <c r="A1313" s="2">
        <v>1312.0</v>
      </c>
      <c r="B1313" s="5" t="s">
        <v>2373</v>
      </c>
      <c r="C1313" s="6">
        <v>2.0</v>
      </c>
      <c r="D1313" s="7" t="s">
        <v>2373</v>
      </c>
      <c r="E1313" s="8" t="str">
        <f>IFERROR(__xludf.DUMMYFUNCTION("googletranslate(D1313,""id"",""en"")"),"PPKM: Morning Morning Kangen Mas Jisung")</f>
        <v>PPKM: Morning Morning Kangen Mas Jisung</v>
      </c>
    </row>
    <row r="1314" ht="15.75" customHeight="1">
      <c r="A1314" s="2">
        <v>1313.0</v>
      </c>
      <c r="B1314" s="5" t="s">
        <v>2374</v>
      </c>
      <c r="C1314" s="6">
        <v>1.0</v>
      </c>
      <c r="D1314" s="10" t="s">
        <v>2375</v>
      </c>
      <c r="E1314" s="8" t="str">
        <f>IFERROR(__xludf.DUMMYFUNCTION("googletranslate(D1314,""id"",""en"")"),"KN PPKM ASW.")</f>
        <v>KN PPKM ASW.</v>
      </c>
    </row>
    <row r="1315" ht="15.75" customHeight="1">
      <c r="A1315" s="2">
        <v>1314.0</v>
      </c>
      <c r="B1315" s="5" t="s">
        <v>2376</v>
      </c>
      <c r="C1315" s="6">
        <v>1.0</v>
      </c>
      <c r="D1315" s="9" t="s">
        <v>2377</v>
      </c>
      <c r="E1315" s="8" t="str">
        <f>IFERROR(__xludf.DUMMYFUNCTION("googletranslate(D1315,""id"",""en"")"),"Btw in-laws s3l3bgr4m which kmrn hanimun to jpg fitting ppkm mo nyalon. Kmrn on the road Udh just billboards with work tagline for endonesa pretttt")</f>
        <v>Btw in-laws s3l3bgr4m which kmrn hanimun to jpg fitting ppkm mo nyalon. Kmrn on the road Udh just billboards with work tagline for endonesa pretttt</v>
      </c>
    </row>
    <row r="1316" ht="15.75" customHeight="1">
      <c r="A1316" s="2">
        <v>1315.0</v>
      </c>
      <c r="B1316" s="5" t="s">
        <v>2378</v>
      </c>
      <c r="C1316" s="6">
        <v>1.0</v>
      </c>
      <c r="D1316" s="9" t="s">
        <v>2379</v>
      </c>
      <c r="E1316" s="8" t="str">
        <f>IFERROR(__xludf.DUMMYFUNCTION("googletranslate(D1316,""id"",""en"")"),"It should be now TPI PPKM in tightening, just MPLS Gajadi to arrive at what else is the school luring")</f>
        <v>It should be now TPI PPKM in tightening, just MPLS Gajadi to arrive at what else is the school luring</v>
      </c>
    </row>
    <row r="1317" ht="15.75" customHeight="1">
      <c r="A1317" s="2">
        <v>1316.0</v>
      </c>
      <c r="B1317" s="5" t="s">
        <v>2380</v>
      </c>
      <c r="C1317" s="6">
        <v>2.0</v>
      </c>
      <c r="D1317" s="9" t="s">
        <v>2381</v>
      </c>
      <c r="E1317" s="8" t="str">
        <f>IFERROR(__xludf.DUMMYFUNCTION("googletranslate(D1317,""id"",""en"")"),"first traveling road exercises, because ppkm can't be able to monitate the road")</f>
        <v>first traveling road exercises, because ppkm can't be able to monitate the road</v>
      </c>
    </row>
    <row r="1318" ht="15.75" customHeight="1">
      <c r="A1318" s="2">
        <v>1317.0</v>
      </c>
      <c r="B1318" s="5" t="s">
        <v>2382</v>
      </c>
      <c r="C1318" s="6">
        <v>1.0</v>
      </c>
      <c r="D1318" s="7" t="s">
        <v>2383</v>
      </c>
      <c r="E1318" s="8" t="str">
        <f>IFERROR(__xludf.DUMMYFUNCTION("googletranslate(D1318,""id"",""en"")"),"That's the impression of why Mr. LBP arrives sorry. Because the PPKM is not effective in my opinion, it's a good idea that we are waiting for the decision of Mr. Lbp and it's a good idea, we focus on taking care of yourself if it is felt around you there "&amp;"are traffickers, help")</f>
        <v>That's the impression of why Mr. LBP arrives sorry. Because the PPKM is not effective in my opinion, it's a good idea that we are waiting for the decision of Mr. Lbp and it's a good idea, we focus on taking care of yourself if it is felt around you there are traffickers, help</v>
      </c>
    </row>
    <row r="1319" ht="15.75" customHeight="1">
      <c r="A1319" s="2">
        <v>1318.0</v>
      </c>
      <c r="B1319" s="5" t="s">
        <v>2384</v>
      </c>
      <c r="C1319" s="6">
        <v>2.0</v>
      </c>
      <c r="D1319" s="7" t="s">
        <v>2385</v>
      </c>
      <c r="E1319" s="8" t="str">
        <f>IFERROR(__xludf.DUMMYFUNCTION("googletranslate(D1319,""id"",""en"")"),"The poly of his cyber functions not during PPKM? Or follow the holiday ...")</f>
        <v>The poly of his cyber functions not during PPKM? Or follow the holiday ...</v>
      </c>
    </row>
    <row r="1320" ht="15.75" customHeight="1">
      <c r="A1320" s="2">
        <v>1319.0</v>
      </c>
      <c r="B1320" s="5" t="s">
        <v>2386</v>
      </c>
      <c r="C1320" s="6">
        <v>1.0</v>
      </c>
      <c r="D1320" s="7" t="s">
        <v>2387</v>
      </c>
      <c r="E1320" s="8" t="str">
        <f>IFERROR(__xludf.DUMMYFUNCTION("googletranslate(D1320,""id"",""en"")"),"So, as long as the government cannot guarantee a vulnerable class, then as long as PPKM is also viable, instead makes Chaos")</f>
        <v>So, as long as the government cannot guarantee a vulnerable class, then as long as PPKM is also viable, instead makes Chaos</v>
      </c>
    </row>
    <row r="1321" ht="15.75" customHeight="1">
      <c r="A1321" s="2">
        <v>1320.0</v>
      </c>
      <c r="B1321" s="5" t="s">
        <v>2388</v>
      </c>
      <c r="C1321" s="6">
        <v>1.0</v>
      </c>
      <c r="D1321" s="7" t="s">
        <v>2389</v>
      </c>
      <c r="E1321" s="8" t="str">
        <f>IFERROR(__xludf.DUMMYFUNCTION("googletranslate(D1321,""id"",""en"")"),"Eid al-Fitr = psbbidul adha = ppkmmmengeran")</f>
        <v>Eid al-Fitr = psbbidul adha = ppkmmmengeran</v>
      </c>
    </row>
    <row r="1322" ht="15.75" customHeight="1">
      <c r="A1322" s="2">
        <v>1321.0</v>
      </c>
      <c r="B1322" s="5" t="s">
        <v>2390</v>
      </c>
      <c r="C1322" s="6">
        <v>2.0</v>
      </c>
      <c r="D1322" s="9" t="s">
        <v>2391</v>
      </c>
      <c r="E1322" s="8" t="str">
        <f>IFERROR(__xludf.DUMMYFUNCTION("googletranslate(D1322,""id"",""en"")"),"FIX WANT TO MOVE DBS AJAA PPKM CEPET ATUH EVEN BIAR TO BE TO MALL WANT TO MAKE DBS")</f>
        <v>FIX WANT TO MOVE DBS AJAA PPKM CEPET ATUH EVEN BIAR TO BE TO MALL WANT TO MAKE DBS</v>
      </c>
    </row>
    <row r="1323" ht="15.75" customHeight="1">
      <c r="A1323" s="2">
        <v>1322.0</v>
      </c>
      <c r="B1323" s="5" t="s">
        <v>2392</v>
      </c>
      <c r="C1323" s="6">
        <v>1.0</v>
      </c>
      <c r="D1323" s="9" t="s">
        <v>2393</v>
      </c>
      <c r="E1323" s="8" t="str">
        <f>IFERROR(__xludf.DUMMYFUNCTION("googletranslate(D1323,""id"",""en"")"),"What if you still use if but it's added because behind it Mbah. I'm sorry if this PPKM is not optimal because there are still many things blah blah blah, because ................")</f>
        <v>What if you still use if but it's added because behind it Mbah. I'm sorry if this PPKM is not optimal because there are still many things blah blah blah, because ................</v>
      </c>
    </row>
    <row r="1324" ht="15.75" customHeight="1">
      <c r="A1324" s="2">
        <v>1323.0</v>
      </c>
      <c r="B1324" s="5" t="s">
        <v>2394</v>
      </c>
      <c r="C1324" s="6">
        <v>1.0</v>
      </c>
      <c r="D1324" s="7" t="s">
        <v>2395</v>
      </c>
      <c r="E1324" s="8" t="str">
        <f>IFERROR(__xludf.DUMMYFUNCTION("googletranslate(D1324,""id"",""en"")"),"PPKM dilemma. For small people.")</f>
        <v>PPKM dilemma. For small people.</v>
      </c>
    </row>
    <row r="1325" ht="15.75" customHeight="1">
      <c r="A1325" s="2">
        <v>1324.0</v>
      </c>
      <c r="B1325" s="5" t="s">
        <v>2396</v>
      </c>
      <c r="C1325" s="6">
        <v>1.0</v>
      </c>
      <c r="D1325" s="7" t="s">
        <v>2397</v>
      </c>
      <c r="E1325" s="8" t="str">
        <f>IFERROR(__xludf.DUMMYFUNCTION("googletranslate(D1325,""id"",""en"")"),"Hrs have no layoffs. If Oerushaan is not able to pay the salary that the cover is at least half the half of Shg, it can continue to finance the life of the MRK. Entrepreneurs who Teroaksa Memerstate their employees HRS BS reported to Social Affairs and du"&amp;"ring the MRK Emergency PPKM was given Separo's wages.")</f>
        <v>Hrs have no layoffs. If Oerushaan is not able to pay the salary that the cover is at least half the half of Shg, it can continue to finance the life of the MRK. Entrepreneurs who Teroaksa Memerstate their employees HRS BS reported to Social Affairs and during the MRK Emergency PPKM was given Separo's wages.</v>
      </c>
    </row>
    <row r="1326" ht="15.75" customHeight="1">
      <c r="A1326" s="2">
        <v>1325.0</v>
      </c>
      <c r="B1326" s="5" t="s">
        <v>2398</v>
      </c>
      <c r="C1326" s="6">
        <v>1.0</v>
      </c>
      <c r="D1326" s="9" t="s">
        <v>2399</v>
      </c>
      <c r="E1326" s="8" t="str">
        <f>IFERROR(__xludf.DUMMYFUNCTION("googletranslate(D1326,""id"",""en"")"),"This scenario, opposition groups insist on extending PPKM there are certain intentions. If applied, the small PK5 people who sold even though they were reduced by their income, finally shouted angrily. And people's anger that will be used as a weapon for "&amp;"the government")</f>
        <v>This scenario, opposition groups insist on extending PPKM there are certain intentions. If applied, the small PK5 people who sold even though they were reduced by their income, finally shouted angrily. And people's anger that will be used as a weapon for the government</v>
      </c>
    </row>
    <row r="1327" ht="15.75" customHeight="1">
      <c r="A1327" s="2">
        <v>1326.0</v>
      </c>
      <c r="B1327" s="5" t="s">
        <v>2400</v>
      </c>
      <c r="C1327" s="6">
        <v>2.0</v>
      </c>
      <c r="D1327" s="10" t="s">
        <v>2401</v>
      </c>
      <c r="E1327" s="8" t="str">
        <f>IFERROR(__xludf.DUMMYFUNCTION("googletranslate(D1327,""id"",""en"")"),"Ppkm ai you")</f>
        <v>Ppkm ai you</v>
      </c>
    </row>
    <row r="1328" ht="15.75" customHeight="1">
      <c r="A1328" s="2">
        <v>1327.0</v>
      </c>
      <c r="B1328" s="5" t="s">
        <v>2402</v>
      </c>
      <c r="C1328" s="6">
        <v>2.0</v>
      </c>
      <c r="D1328" s="7" t="s">
        <v>2402</v>
      </c>
      <c r="E1328" s="8" t="str">
        <f>IFERROR(__xludf.DUMMYFUNCTION("googletranslate(D1328,""id"",""en"")"),"So PPKM extends until when?")</f>
        <v>So PPKM extends until when?</v>
      </c>
    </row>
    <row r="1329" ht="15.75" customHeight="1">
      <c r="A1329" s="2">
        <v>1328.0</v>
      </c>
      <c r="B1329" s="5" t="s">
        <v>2403</v>
      </c>
      <c r="C1329" s="6">
        <v>1.0</v>
      </c>
      <c r="D1329" s="7" t="s">
        <v>2404</v>
      </c>
      <c r="E1329" s="8" t="str">
        <f>IFERROR(__xludf.DUMMYFUNCTION("googletranslate(D1329,""id"",""en"")"),"Don't blame the people assuming that the government seemed to run away from the responsibility to give the people because in Law No.6 yrs of chaos of health there was no such thing as a transition PSBB, Micro PPKM, Emergency PPKM etc.")</f>
        <v>Don't blame the people assuming that the government seemed to run away from the responsibility to give the people because in Law No.6 yrs of chaos of health there was no such thing as a transition PSBB, Micro PPKM, Emergency PPKM etc.</v>
      </c>
    </row>
    <row r="1330" ht="15.75" customHeight="1">
      <c r="A1330" s="2">
        <v>1329.0</v>
      </c>
      <c r="B1330" s="5" t="s">
        <v>2405</v>
      </c>
      <c r="C1330" s="6">
        <v>1.0</v>
      </c>
      <c r="D1330" s="7" t="s">
        <v>2405</v>
      </c>
      <c r="E1330" s="8" t="str">
        <f>IFERROR(__xludf.DUMMYFUNCTION("googletranslate(D1330,""id"",""en"")"),"PPKM when to finish Hadeh")</f>
        <v>PPKM when to finish Hadeh</v>
      </c>
    </row>
    <row r="1331" ht="15.75" customHeight="1">
      <c r="A1331" s="2">
        <v>1330.0</v>
      </c>
      <c r="B1331" s="5" t="s">
        <v>2406</v>
      </c>
      <c r="C1331" s="6">
        <v>1.0</v>
      </c>
      <c r="D1331" s="7" t="s">
        <v>2407</v>
      </c>
      <c r="E1331" s="8" t="str">
        <f>IFERROR(__xludf.DUMMYFUNCTION("googletranslate(D1331,""id"",""en"")"),"So just lockdown, so the government is obliged to meet the needs of the community, if the PPKM feels like running away from responsibility.")</f>
        <v>So just lockdown, so the government is obliged to meet the needs of the community, if the PPKM feels like running away from responsibility.</v>
      </c>
    </row>
    <row r="1332" ht="15.75" customHeight="1">
      <c r="A1332" s="2">
        <v>1331.0</v>
      </c>
      <c r="B1332" s="5" t="s">
        <v>2408</v>
      </c>
      <c r="C1332" s="6">
        <v>1.0</v>
      </c>
      <c r="D1332" s="7" t="s">
        <v>2409</v>
      </c>
      <c r="E1332" s="8" t="str">
        <f>IFERROR(__xludf.DUMMYFUNCTION("googletranslate(D1332,""id"",""en"")"),"Ppkm is just sengarakam people")</f>
        <v>Ppkm is just sengarakam people</v>
      </c>
    </row>
    <row r="1333" ht="15.75" customHeight="1">
      <c r="A1333" s="2">
        <v>1332.0</v>
      </c>
      <c r="B1333" s="5" t="s">
        <v>2410</v>
      </c>
      <c r="C1333" s="6">
        <v>2.0</v>
      </c>
      <c r="D1333" s="9" t="s">
        <v>2410</v>
      </c>
      <c r="E1333" s="8" t="str">
        <f>IFERROR(__xludf.DUMMYFUNCTION("googletranslate(D1333,""id"",""en"")"),"Experts propose emergency ppkms extending to meet my friends, may we always know uuu uuu uuu, become a classic story for the future")</f>
        <v>Experts propose emergency ppkms extending to meet my friends, may we always know uuu uuu uuu, become a classic story for the future</v>
      </c>
    </row>
    <row r="1334" ht="15.75" customHeight="1">
      <c r="A1334" s="2">
        <v>1333.0</v>
      </c>
      <c r="B1334" s="5" t="s">
        <v>2411</v>
      </c>
      <c r="C1334" s="6">
        <v>2.0</v>
      </c>
      <c r="D1334" s="9" t="s">
        <v>2412</v>
      </c>
      <c r="E1334" s="8" t="str">
        <f>IFERROR(__xludf.DUMMYFUNCTION("googletranslate(D1334,""id"",""en"")"),"The question is simple but triggered the miss spread all the souls of the Dongah, PPKM finished checking tickets again. Kid balek, hug kiss my best wow mom ewvah")</f>
        <v>The question is simple but triggered the miss spread all the souls of the Dongah, PPKM finished checking tickets again. Kid balek, hug kiss my best wow mom ewvah</v>
      </c>
    </row>
    <row r="1335" ht="15.75" customHeight="1">
      <c r="A1335" s="2">
        <v>1334.0</v>
      </c>
      <c r="B1335" s="5" t="s">
        <v>2413</v>
      </c>
      <c r="C1335" s="6">
        <v>2.0</v>
      </c>
      <c r="D1335" s="7" t="s">
        <v>2414</v>
      </c>
      <c r="E1335" s="8" t="str">
        <f>IFERROR(__xludf.DUMMYFUNCTION("googletranslate(D1335,""id"",""en"")"),"Hopefully today Monday can be done, sir, bst disbursement, because we as informal workers are in desperate need, and other workers also need when emergency PPKM")</f>
        <v>Hopefully today Monday can be done, sir, bst disbursement, because we as informal workers are in desperate need, and other workers also need when emergency PPKM</v>
      </c>
    </row>
    <row r="1336" ht="15.75" customHeight="1">
      <c r="A1336" s="2">
        <v>1335.0</v>
      </c>
      <c r="B1336" s="5" t="s">
        <v>2415</v>
      </c>
      <c r="C1336" s="6">
        <v>1.0</v>
      </c>
      <c r="D1336" s="9" t="s">
        <v>2416</v>
      </c>
      <c r="E1336" s="8" t="str">
        <f>IFERROR(__xludf.DUMMYFUNCTION("googletranslate(D1336,""id"",""en"")"),"Not an ineffective PSBB or PPKM, but the provocation of a community leader like this which makes people difficult to take part in the prokes. The management of the Pak and the police is always slow, doubtful, and fear that the provocateurs are religious r"&amp;"obes like this.")</f>
        <v>Not an ineffective PSBB or PPKM, but the provocation of a community leader like this which makes people difficult to take part in the prokes. The management of the Pak and the police is always slow, doubtful, and fear that the provocateurs are religious robes like this.</v>
      </c>
    </row>
    <row r="1337" ht="15.75" customHeight="1">
      <c r="A1337" s="2">
        <v>1336.0</v>
      </c>
      <c r="B1337" s="5" t="s">
        <v>2417</v>
      </c>
      <c r="C1337" s="6">
        <v>1.0</v>
      </c>
      <c r="D1337" s="7" t="s">
        <v>2418</v>
      </c>
      <c r="E1337" s="8" t="str">
        <f>IFERROR(__xludf.DUMMYFUNCTION("googletranslate(D1337,""id"",""en"")"),"Busettt effect on the PPKM, the people played how it was")</f>
        <v>Busettt effect on the PPKM, the people played how it was</v>
      </c>
    </row>
    <row r="1338" ht="15.75" customHeight="1">
      <c r="A1338" s="2">
        <v>1337.0</v>
      </c>
      <c r="B1338" s="5" t="s">
        <v>2419</v>
      </c>
      <c r="C1338" s="6">
        <v>2.0</v>
      </c>
      <c r="D1338" s="7" t="s">
        <v>2420</v>
      </c>
      <c r="E1338" s="8" t="str">
        <f>IFERROR(__xludf.DUMMYFUNCTION("googletranslate(D1338,""id"",""en"")"),"When when is the PPKM?")</f>
        <v>When when is the PPKM?</v>
      </c>
    </row>
    <row r="1339" ht="15.75" customHeight="1">
      <c r="A1339" s="2">
        <v>1338.0</v>
      </c>
      <c r="B1339" s="5" t="s">
        <v>2421</v>
      </c>
      <c r="C1339" s="6">
        <v>3.0</v>
      </c>
      <c r="D1339" s="7" t="s">
        <v>2421</v>
      </c>
      <c r="E1339" s="8" t="str">
        <f>IFERROR(__xludf.DUMMYFUNCTION("googletranslate(D1339,""id"",""en"")"),"Hadeuh, Sabar Yuk Tomorrow's last PPKM. Hopefully the extension is another barrier")</f>
        <v>Hadeuh, Sabar Yuk Tomorrow's last PPKM. Hopefully the extension is another barrier</v>
      </c>
    </row>
    <row r="1340" ht="15.75" customHeight="1">
      <c r="A1340" s="2">
        <v>1339.0</v>
      </c>
      <c r="B1340" s="5" t="s">
        <v>2422</v>
      </c>
      <c r="C1340" s="6">
        <v>1.0</v>
      </c>
      <c r="D1340" s="7" t="s">
        <v>2423</v>
      </c>
      <c r="E1340" s="8" t="str">
        <f>IFERROR(__xludf.DUMMYFUNCTION("googletranslate(D1340,""id"",""en"")"),"ppkm forever haha ​​not sue manh, but it's impossible")</f>
        <v>ppkm forever haha ​​not sue manh, but it's impossible</v>
      </c>
    </row>
    <row r="1341" ht="15.75" customHeight="1">
      <c r="A1341" s="2">
        <v>1340.0</v>
      </c>
      <c r="B1341" s="5" t="s">
        <v>2424</v>
      </c>
      <c r="C1341" s="6">
        <v>2.0</v>
      </c>
      <c r="D1341" s="7" t="s">
        <v>2425</v>
      </c>
      <c r="E1341" s="8" t="str">
        <f>IFERROR(__xludf.DUMMYFUNCTION("googletranslate(D1341,""id"",""en"")"),"Emergency PPKM extended until you become mine")</f>
        <v>Emergency PPKM extended until you become mine</v>
      </c>
    </row>
    <row r="1342" ht="15.75" customHeight="1">
      <c r="A1342" s="2">
        <v>1341.0</v>
      </c>
      <c r="B1342" s="5" t="s">
        <v>2426</v>
      </c>
      <c r="C1342" s="6">
        <v>1.0</v>
      </c>
      <c r="D1342" s="9" t="s">
        <v>2427</v>
      </c>
      <c r="E1342" s="8" t="str">
        <f>IFERROR(__xludf.DUMMYFUNCTION("googletranslate(D1342,""id"",""en"")"),"Regarding the political choice of my Bung Respectterkait statement him about PPKM Good. The struggle of the bottom of the middle class he forgot, should he be when PPKM, the government attended the Bansos and Mr. LBP had said this many times (about Bansos"&amp;", and compensation)")</f>
        <v>Regarding the political choice of my Bung Respectterkait statement him about PPKM Good. The struggle of the bottom of the middle class he forgot, should he be when PPKM, the government attended the Bansos and Mr. LBP had said this many times (about Bansos, and compensation)</v>
      </c>
    </row>
    <row r="1343" ht="15.75" customHeight="1">
      <c r="A1343" s="2">
        <v>1342.0</v>
      </c>
      <c r="B1343" s="5" t="s">
        <v>2428</v>
      </c>
      <c r="C1343" s="6">
        <v>2.0</v>
      </c>
      <c r="D1343" s="7" t="s">
        <v>2429</v>
      </c>
      <c r="E1343" s="8" t="str">
        <f>IFERROR(__xludf.DUMMYFUNCTION("googletranslate(D1343,""id"",""en"")"),"later finished PPKM I stopped by YH Besty")</f>
        <v>later finished PPKM I stopped by YH Besty</v>
      </c>
    </row>
    <row r="1344" ht="15.75" customHeight="1">
      <c r="A1344" s="2">
        <v>1343.0</v>
      </c>
      <c r="B1344" s="5" t="s">
        <v>2430</v>
      </c>
      <c r="C1344" s="6">
        <v>1.0</v>
      </c>
      <c r="D1344" s="9" t="s">
        <v>2431</v>
      </c>
      <c r="E1344" s="8" t="str">
        <f>IFERROR(__xludf.DUMMYFUNCTION("googletranslate(D1344,""id"",""en"")"),"clay ppkm this is the most stable business just selling daily needs to properties etc. which is usually up every year it continues to drop")</f>
        <v>clay ppkm this is the most stable business just selling daily needs to properties etc. which is usually up every year it continues to drop</v>
      </c>
    </row>
    <row r="1345" ht="15.75" customHeight="1">
      <c r="A1345" s="2">
        <v>1344.0</v>
      </c>
      <c r="B1345" s="5" t="s">
        <v>2432</v>
      </c>
      <c r="C1345" s="6">
        <v>2.0</v>
      </c>
      <c r="D1345" s="7" t="s">
        <v>2433</v>
      </c>
      <c r="E1345" s="8" t="str">
        <f>IFERROR(__xludf.DUMMYFUNCTION("googletranslate(D1345,""id"",""en"")"),"It's better than directly to Cipok KN PPKM")</f>
        <v>It's better than directly to Cipok KN PPKM</v>
      </c>
    </row>
    <row r="1346" ht="15.75" customHeight="1">
      <c r="A1346" s="2">
        <v>1345.0</v>
      </c>
      <c r="B1346" s="5" t="s">
        <v>2434</v>
      </c>
      <c r="C1346" s="6">
        <v>1.0</v>
      </c>
      <c r="D1346" s="7" t="s">
        <v>2434</v>
      </c>
      <c r="E1346" s="8" t="str">
        <f>IFERROR(__xludf.DUMMYFUNCTION("googletranslate(D1346,""id"",""en"")"),"For rich people and be in the economic sector above average, it continues to complain with street vendor traders not obey PPKM. Basically you bastard.")</f>
        <v>For rich people and be in the economic sector above average, it continues to complain with street vendor traders not obey PPKM. Basically you bastard.</v>
      </c>
    </row>
    <row r="1347" ht="15.75" customHeight="1">
      <c r="A1347" s="2">
        <v>1346.0</v>
      </c>
      <c r="B1347" s="5" t="s">
        <v>2435</v>
      </c>
      <c r="C1347" s="6">
        <v>1.0</v>
      </c>
      <c r="D1347" s="7" t="s">
        <v>2436</v>
      </c>
      <c r="E1347" s="8" t="str">
        <f>IFERROR(__xludf.DUMMYFUNCTION("googletranslate(D1347,""id"",""en"")"),"I don't know !!! ... there is a PPKM emergency scale SJ positive numbers of gas and gas ... what can it be lost ??")</f>
        <v>I don't know !!! ... there is a PPKM emergency scale SJ positive numbers of gas and gas ... what can it be lost ??</v>
      </c>
    </row>
    <row r="1348" ht="15.75" customHeight="1">
      <c r="A1348" s="2">
        <v>1347.0</v>
      </c>
      <c r="B1348" s="5" t="s">
        <v>2437</v>
      </c>
      <c r="C1348" s="6">
        <v>3.0</v>
      </c>
      <c r="D1348" s="7" t="s">
        <v>2438</v>
      </c>
      <c r="E1348" s="8" t="str">
        <f>IFERROR(__xludf.DUMMYFUNCTION("googletranslate(D1348,""id"",""en"")"),"PPKM does not become a barrier for shopping for Eid al-Adha. Hopefully all healthy quickly returns. Welcome morning and let's stay at home,")</f>
        <v>PPKM does not become a barrier for shopping for Eid al-Adha. Hopefully all healthy quickly returns. Welcome morning and let's stay at home,</v>
      </c>
    </row>
    <row r="1349" ht="15.75" customHeight="1">
      <c r="A1349" s="2">
        <v>1348.0</v>
      </c>
      <c r="B1349" s="5" t="s">
        <v>2439</v>
      </c>
      <c r="C1349" s="6">
        <v>2.0</v>
      </c>
      <c r="D1349" s="9" t="s">
        <v>2439</v>
      </c>
      <c r="E1349" s="8" t="str">
        <f>IFERROR(__xludf.DUMMYFUNCTION("googletranslate(D1349,""id"",""en"")"),"The last day of WFH in the context of Emergency PPKM - before (it seems) Emergency PPKM is extended.")</f>
        <v>The last day of WFH in the context of Emergency PPKM - before (it seems) Emergency PPKM is extended.</v>
      </c>
    </row>
    <row r="1350" ht="15.75" customHeight="1">
      <c r="A1350" s="2">
        <v>1349.0</v>
      </c>
      <c r="B1350" s="5" t="s">
        <v>2440</v>
      </c>
      <c r="C1350" s="6">
        <v>2.0</v>
      </c>
      <c r="D1350" s="9" t="s">
        <v>2441</v>
      </c>
      <c r="E1350" s="8" t="str">
        <f>IFERROR(__xludf.DUMMYFUNCTION("googletranslate(D1350,""id"",""en"")"),"In the morning, in front of the Bassura Mall there was a road insulation related to the emergency PPKM but I want to ask to go down on the mall of Bassura but there was no problem? Because the busway stop was on the edge before passing the police officer")</f>
        <v>In the morning, in front of the Bassura Mall there was a road insulation related to the emergency PPKM but I want to ask to go down on the mall of Bassura but there was no problem? Because the busway stop was on the edge before passing the police officer</v>
      </c>
    </row>
    <row r="1351" ht="15.75" customHeight="1">
      <c r="A1351" s="2">
        <v>1350.0</v>
      </c>
      <c r="B1351" s="5" t="s">
        <v>2442</v>
      </c>
      <c r="C1351" s="6">
        <v>1.0</v>
      </c>
      <c r="D1351" s="9" t="s">
        <v>2443</v>
      </c>
      <c r="E1351" s="8" t="str">
        <f>IFERROR(__xludf.DUMMYFUNCTION("googletranslate(D1351,""id"",""en"")"),"Can't wait to be invited to meet his mother. Ni gegara ppkm gk jd mulu right yeah where is it far away.")</f>
        <v>Can't wait to be invited to meet his mother. Ni gegara ppkm gk jd mulu right yeah where is it far away.</v>
      </c>
    </row>
    <row r="1352" ht="15.75" customHeight="1">
      <c r="A1352" s="2">
        <v>1351.0</v>
      </c>
      <c r="B1352" s="5" t="s">
        <v>2444</v>
      </c>
      <c r="C1352" s="6">
        <v>1.0</v>
      </c>
      <c r="D1352" s="7" t="s">
        <v>2445</v>
      </c>
      <c r="E1352" s="8" t="str">
        <f>IFERROR(__xludf.DUMMYFUNCTION("googletranslate(D1352,""id"",""en"")"),"Only this time the assisted was told to appear. There are those who hold armed forces, there are those who are a delitance group, some who encourage PPKM and vaccines, some are selling satay, especially?")</f>
        <v>Only this time the assisted was told to appear. There are those who hold armed forces, there are those who are a delitance group, some who encourage PPKM and vaccines, some are selling satay, especially?</v>
      </c>
    </row>
    <row r="1353" ht="15.75" customHeight="1">
      <c r="A1353" s="2">
        <v>1352.0</v>
      </c>
      <c r="B1353" s="5" t="s">
        <v>2446</v>
      </c>
      <c r="C1353" s="6">
        <v>2.0</v>
      </c>
      <c r="D1353" s="7" t="s">
        <v>2446</v>
      </c>
      <c r="E1353" s="8" t="str">
        <f>IFERROR(__xludf.DUMMYFUNCTION("googletranslate(D1353,""id"",""en"")"),"tomorrow so last ppkm what isn't")</f>
        <v>tomorrow so last ppkm what isn't</v>
      </c>
    </row>
    <row r="1354" ht="15.75" customHeight="1">
      <c r="A1354" s="2">
        <v>1353.0</v>
      </c>
      <c r="B1354" s="5" t="s">
        <v>2447</v>
      </c>
      <c r="C1354" s="6">
        <v>3.0</v>
      </c>
      <c r="D1354" s="9" t="s">
        <v>2448</v>
      </c>
      <c r="E1354" s="8" t="str">
        <f>IFERROR(__xludf.DUMMYFUNCTION("googletranslate(D1354,""id"",""en"")"),"I just tried it, got from a friend who also scared me for your snacks in the past PPKM")</f>
        <v>I just tried it, got from a friend who also scared me for your snacks in the past PPKM</v>
      </c>
    </row>
    <row r="1355" ht="15.75" customHeight="1">
      <c r="A1355" s="2">
        <v>1354.0</v>
      </c>
      <c r="B1355" s="5" t="s">
        <v>2449</v>
      </c>
      <c r="C1355" s="6">
        <v>2.0</v>
      </c>
      <c r="D1355" s="7" t="s">
        <v>2450</v>
      </c>
      <c r="E1355" s="8" t="str">
        <f>IFERROR(__xludf.DUMMYFUNCTION("googletranslate(D1355,""id"",""en"")"),"Yes, Pak Kiyai, awaited by the social assistance for the people during the PPKM")</f>
        <v>Yes, Pak Kiyai, awaited by the social assistance for the people during the PPKM</v>
      </c>
    </row>
    <row r="1356" ht="15.75" customHeight="1">
      <c r="A1356" s="2">
        <v>1355.0</v>
      </c>
      <c r="B1356" s="5" t="s">
        <v>2451</v>
      </c>
      <c r="C1356" s="6">
        <v>1.0</v>
      </c>
      <c r="D1356" s="7" t="s">
        <v>2452</v>
      </c>
      <c r="E1356" s="8" t="str">
        <f>IFERROR(__xludf.DUMMYFUNCTION("googletranslate(D1356,""id"",""en"")"),"where is it now, it's hard, it's hard for the campus to be closed, I'm rich, it's bald, I haven't done my final assignment, Allah Monangisssssssss, the campus is open, so you can get there")</f>
        <v>where is it now, it's hard, it's hard for the campus to be closed, I'm rich, it's bald, I haven't done my final assignment, Allah Monangisssssssss, the campus is open, so you can get there</v>
      </c>
    </row>
    <row r="1357" ht="15.75" customHeight="1">
      <c r="A1357" s="2">
        <v>1356.0</v>
      </c>
      <c r="B1357" s="5" t="s">
        <v>2453</v>
      </c>
      <c r="C1357" s="6">
        <v>1.0</v>
      </c>
      <c r="D1357" s="9" t="s">
        <v>2454</v>
      </c>
      <c r="E1357" s="8" t="str">
        <f>IFERROR(__xludf.DUMMYFUNCTION("googletranslate(D1357,""id"",""en"")"),"Every election is always abstained aka the abstentions but all of the PGN PPKM Distop ...")</f>
        <v>Every election is always abstained aka the abstentions but all of the PGN PPKM Distop ...</v>
      </c>
    </row>
    <row r="1358" ht="15.75" customHeight="1">
      <c r="A1358" s="2">
        <v>1357.0</v>
      </c>
      <c r="B1358" s="5" t="s">
        <v>2455</v>
      </c>
      <c r="C1358" s="6">
        <v>2.0</v>
      </c>
      <c r="D1358" s="7" t="s">
        <v>2456</v>
      </c>
      <c r="E1358" s="8" t="str">
        <f>IFERROR(__xludf.DUMMYFUNCTION("googletranslate(D1358,""id"",""en"")"),"PPKM just extended the relationship time we didn't? HAHAHA")</f>
        <v>PPKM just extended the relationship time we didn't? HAHAHA</v>
      </c>
    </row>
    <row r="1359" ht="15.75" customHeight="1">
      <c r="A1359" s="2">
        <v>1358.0</v>
      </c>
      <c r="B1359" s="5" t="s">
        <v>2457</v>
      </c>
      <c r="C1359" s="6">
        <v>1.0</v>
      </c>
      <c r="D1359" s="9" t="s">
        <v>2458</v>
      </c>
      <c r="E1359" s="8" t="str">
        <f>IFERROR(__xludf.DUMMYFUNCTION("googletranslate(D1359,""id"",""en"")"),"Kind of rombeng mouth of this person .. depicts it kind of chatter ... failed to fail just to blame the PPKM")</f>
        <v>Kind of rombeng mouth of this person .. depicts it kind of chatter ... failed to fail just to blame the PPKM</v>
      </c>
    </row>
    <row r="1360" ht="15.75" customHeight="1">
      <c r="A1360" s="2">
        <v>1359.0</v>
      </c>
      <c r="B1360" s="5" t="s">
        <v>2459</v>
      </c>
      <c r="C1360" s="6">
        <v>2.0</v>
      </c>
      <c r="D1360" s="7" t="s">
        <v>2460</v>
      </c>
      <c r="E1360" s="8" t="str">
        <f>IFERROR(__xludf.DUMMYFUNCTION("googletranslate(D1360,""id"",""en"")"),"If you are still afraid of Covid, just extend the Emergency PPKM until you become mine")</f>
        <v>If you are still afraid of Covid, just extend the Emergency PPKM until you become mine</v>
      </c>
    </row>
    <row r="1361" ht="15.75" customHeight="1">
      <c r="A1361" s="2">
        <v>1360.0</v>
      </c>
      <c r="B1361" s="5" t="s">
        <v>2461</v>
      </c>
      <c r="C1361" s="6">
        <v>2.0</v>
      </c>
      <c r="D1361" s="7" t="s">
        <v>2462</v>
      </c>
      <c r="E1361" s="8" t="str">
        <f>IFERROR(__xludf.DUMMYFUNCTION("googletranslate(D1361,""id"",""en"")"),"If the PPKM is extended and the result is the same, it will be continued with FINTITIS !!!! Nodebat !!!")</f>
        <v>If the PPKM is extended and the result is the same, it will be continued with FINTITIS !!!! Nodebat !!!</v>
      </c>
    </row>
    <row r="1362" ht="15.75" customHeight="1">
      <c r="A1362" s="2">
        <v>1361.0</v>
      </c>
      <c r="B1362" s="5" t="s">
        <v>2463</v>
      </c>
      <c r="C1362" s="6">
        <v>3.0</v>
      </c>
      <c r="D1362" s="7" t="s">
        <v>2464</v>
      </c>
      <c r="E1362" s="8" t="str">
        <f>IFERROR(__xludf.DUMMYFUNCTION("googletranslate(D1362,""id"",""en"")"),"PPKM-emergency ... Road Sports Continues, Increasing Immun")</f>
        <v>PPKM-emergency ... Road Sports Continues, Increasing Immun</v>
      </c>
    </row>
    <row r="1363" ht="15.75" customHeight="1">
      <c r="A1363" s="2">
        <v>1362.0</v>
      </c>
      <c r="B1363" s="5" t="s">
        <v>2465</v>
      </c>
      <c r="C1363" s="6">
        <v>2.0</v>
      </c>
      <c r="D1363" s="9" t="s">
        <v>2466</v>
      </c>
      <c r="E1363" s="8" t="str">
        <f>IFERROR(__xludf.DUMMYFUNCTION("googletranslate(D1363,""id"",""en"")"),"Fortunately, the emergency ppkm extended until the end of July, try it until Tottenham can get a trophy")</f>
        <v>Fortunately, the emergency ppkm extended until the end of July, try it until Tottenham can get a trophy</v>
      </c>
    </row>
    <row r="1364" ht="15.75" customHeight="1">
      <c r="A1364" s="2">
        <v>1363.0</v>
      </c>
      <c r="B1364" s="5" t="s">
        <v>2467</v>
      </c>
      <c r="C1364" s="6">
        <v>2.0</v>
      </c>
      <c r="D1364" s="7" t="s">
        <v>2468</v>
      </c>
      <c r="E1364" s="8" t="str">
        <f>IFERROR(__xludf.DUMMYFUNCTION("googletranslate(D1364,""id"",""en"")"),"Yes, but the deceased has been off since the beginning of the PPKM, only the Gathering in front of the Pager pass we passed. ""I'm at home, bro ... **** greetings with the congregation"" the contents are just a resident of the complex, the mosque is far a"&amp;"way, never closed the PSBB to PPKM, just off the jumatan")</f>
        <v>Yes, but the deceased has been off since the beginning of the PPKM, only the Gathering in front of the Pager pass we passed. "I'm at home, bro ... **** greetings with the congregation" the contents are just a resident of the complex, the mosque is far away, never closed the PSBB to PPKM, just off the jumatan</v>
      </c>
    </row>
    <row r="1365" ht="15.75" customHeight="1">
      <c r="A1365" s="2">
        <v>1364.0</v>
      </c>
      <c r="B1365" s="5" t="s">
        <v>2469</v>
      </c>
      <c r="C1365" s="6">
        <v>2.0</v>
      </c>
      <c r="D1365" s="9" t="s">
        <v>2470</v>
      </c>
      <c r="E1365" s="8" t="str">
        <f>IFERROR(__xludf.DUMMYFUNCTION("googletranslate(D1365,""id"",""en"")"),"Coffee of Doloe, rather than thinking of PPKM")</f>
        <v>Coffee of Doloe, rather than thinking of PPKM</v>
      </c>
    </row>
    <row r="1366" ht="15.75" customHeight="1">
      <c r="A1366" s="2">
        <v>1365.0</v>
      </c>
      <c r="B1366" s="5" t="s">
        <v>2471</v>
      </c>
      <c r="C1366" s="6">
        <v>1.0</v>
      </c>
      <c r="D1366" s="7" t="s">
        <v>2471</v>
      </c>
      <c r="E1366" s="8" t="str">
        <f>IFERROR(__xludf.DUMMYFUNCTION("googletranslate(D1366,""id"",""en"")"),"ppkm: morning morning we splash")</f>
        <v>ppkm: morning morning we splash</v>
      </c>
    </row>
    <row r="1367" ht="15.75" customHeight="1">
      <c r="A1367" s="2">
        <v>1366.0</v>
      </c>
      <c r="B1367" s="5" t="s">
        <v>2472</v>
      </c>
      <c r="C1367" s="6">
        <v>2.0</v>
      </c>
      <c r="D1367" s="9" t="s">
        <v>2473</v>
      </c>
      <c r="E1367" s="8" t="str">
        <f>IFERROR(__xludf.DUMMYFUNCTION("googletranslate(D1367,""id"",""en"")"),"Try checking ""PPKM Restore Indonesia"" in the search column ... many headlines that don't match the taglinenya..contoh; * News of the Papua Otsus * PPKM Restore Indonesia")</f>
        <v>Try checking "PPKM Restore Indonesia" in the search column ... many headlines that don't match the taglinenya..contoh; * News of the Papua Otsus * PPKM Restore Indonesia</v>
      </c>
    </row>
    <row r="1368" ht="15.75" customHeight="1">
      <c r="A1368" s="2">
        <v>1367.0</v>
      </c>
      <c r="B1368" s="5" t="s">
        <v>2474</v>
      </c>
      <c r="C1368" s="6">
        <v>3.0</v>
      </c>
      <c r="D1368" s="9" t="s">
        <v>2475</v>
      </c>
      <c r="E1368" s="8" t="str">
        <f>IFERROR(__xludf.DUMMYFUNCTION("googletranslate(D1368,""id"",""en"")"),"The PPKMhanya closes the airline of the air sea, believe God still open access to our sustenance from all directions")</f>
        <v>The PPKMhanya closes the airline of the air sea, believe God still open access to our sustenance from all directions</v>
      </c>
    </row>
    <row r="1369" ht="15.75" customHeight="1">
      <c r="A1369" s="2">
        <v>1368.0</v>
      </c>
      <c r="B1369" s="5" t="s">
        <v>2476</v>
      </c>
      <c r="C1369" s="6">
        <v>1.0</v>
      </c>
      <c r="D1369" s="7" t="s">
        <v>2477</v>
      </c>
      <c r="E1369" s="8" t="str">
        <f>IFERROR(__xludf.DUMMYFUNCTION("googletranslate(D1369,""id"",""en"")"),"Ppkm makes it quiet too")</f>
        <v>Ppkm makes it quiet too</v>
      </c>
    </row>
    <row r="1370" ht="15.75" customHeight="1">
      <c r="A1370" s="2">
        <v>1369.0</v>
      </c>
      <c r="B1370" s="5" t="s">
        <v>2478</v>
      </c>
      <c r="C1370" s="6">
        <v>2.0</v>
      </c>
      <c r="D1370" s="7" t="s">
        <v>2479</v>
      </c>
      <c r="E1370" s="8" t="str">
        <f>IFERROR(__xludf.DUMMYFUNCTION("googletranslate(D1370,""id"",""en"")"),"Hahhhh seriously ppkm until August ??????? !!!!!!? !!?")</f>
        <v>Hahhhh seriously ppkm until August ??????? !!!!!!? !!?</v>
      </c>
    </row>
    <row r="1371" ht="15.75" customHeight="1">
      <c r="A1371" s="2">
        <v>1370.0</v>
      </c>
      <c r="B1371" s="5" t="s">
        <v>2480</v>
      </c>
      <c r="C1371" s="6">
        <v>3.0</v>
      </c>
      <c r="D1371" s="7" t="s">
        <v>2481</v>
      </c>
      <c r="E1371" s="8" t="str">
        <f>IFERROR(__xludf.DUMMYFUNCTION("googletranslate(D1371,""id"",""en"")"),"We must comply with government regulations that will be for the sake of joint safety. Emergency should we run and hopefully this pandemic will end soon.")</f>
        <v>We must comply with government regulations that will be for the sake of joint safety. Emergency should we run and hopefully this pandemic will end soon.</v>
      </c>
    </row>
    <row r="1372" ht="15.75" customHeight="1">
      <c r="A1372" s="2">
        <v>1371.0</v>
      </c>
      <c r="B1372" s="5" t="s">
        <v>2482</v>
      </c>
      <c r="C1372" s="6">
        <v>1.0</v>
      </c>
      <c r="D1372" s="7" t="s">
        <v>2483</v>
      </c>
      <c r="E1372" s="8" t="str">
        <f>IFERROR(__xludf.DUMMYFUNCTION("googletranslate(D1372,""id"",""en"")"),"So the intention of England is more stupid from Indo? Even though in the UK it's already free of masks, World Class Wimbledon Sports Event, Euro, F1 in the title with many spectators, while in the country that has a presidential discourse period even want"&amp;"s to extend the PPKM slowly we die")</f>
        <v>So the intention of England is more stupid from Indo? Even though in the UK it's already free of masks, World Class Wimbledon Sports Event, Euro, F1 in the title with many spectators, while in the country that has a presidential discourse period even wants to extend the PPKM slowly we die</v>
      </c>
    </row>
    <row r="1373" ht="15.75" customHeight="1">
      <c r="A1373" s="2">
        <v>1372.0</v>
      </c>
      <c r="B1373" s="5" t="s">
        <v>2484</v>
      </c>
      <c r="C1373" s="6">
        <v>2.0</v>
      </c>
      <c r="D1373" s="7" t="s">
        <v>2485</v>
      </c>
      <c r="E1373" s="8" t="str">
        <f>IFERROR(__xludf.DUMMYFUNCTION("googletranslate(D1373,""id"",""en"")"),"Good morning. Today is the second day of the day whether the emergency PPKM is extended or not.")</f>
        <v>Good morning. Today is the second day of the day whether the emergency PPKM is extended or not.</v>
      </c>
    </row>
    <row r="1374" ht="15.75" customHeight="1">
      <c r="A1374" s="2">
        <v>1373.0</v>
      </c>
      <c r="B1374" s="5" t="s">
        <v>2486</v>
      </c>
      <c r="C1374" s="6">
        <v>1.0</v>
      </c>
      <c r="D1374" s="7" t="s">
        <v>2487</v>
      </c>
      <c r="E1374" s="8" t="str">
        <f>IFERROR(__xludf.DUMMYFUNCTION("googletranslate(D1374,""id"",""en"")"),"Turn to Bali LG PPKM Anjg.")</f>
        <v>Turn to Bali LG PPKM Anjg.</v>
      </c>
    </row>
    <row r="1375" ht="15.75" customHeight="1">
      <c r="A1375" s="2">
        <v>1374.0</v>
      </c>
      <c r="B1375" s="5" t="s">
        <v>2488</v>
      </c>
      <c r="C1375" s="6">
        <v>1.0</v>
      </c>
      <c r="D1375" s="9" t="s">
        <v>2489</v>
      </c>
      <c r="E1375" s="8" t="str">
        <f>IFERROR(__xludf.DUMMYFUNCTION("googletranslate(D1375,""id"",""en"")"),"Mf tmn2 tlg sharing info may be surfing on the media shgg brtany blm smpt to read. There is not the President of Bpk Jokowi in this pandemic mugasi what is the idea of ​​saving the people? Sorry this is besides dri ppkm ya.ppkm jga bnyk who mngamati ga ef"&amp;"fectively covid is t Lo.")</f>
        <v>Mf tmn2 tlg sharing info may be surfing on the media shgg brtany blm smpt to read. There is not the President of Bpk Jokowi in this pandemic mugasi what is the idea of ​​saving the people? Sorry this is besides dri ppkm ya.ppkm jga bnyk who mngamati ga effectively covid is t Lo.</v>
      </c>
    </row>
    <row r="1376" ht="15.75" customHeight="1">
      <c r="A1376" s="2">
        <v>1375.0</v>
      </c>
      <c r="B1376" s="5" t="s">
        <v>2490</v>
      </c>
      <c r="C1376" s="6">
        <v>1.0</v>
      </c>
      <c r="D1376" s="7" t="s">
        <v>2491</v>
      </c>
      <c r="E1376" s="8" t="str">
        <f>IFERROR(__xludf.DUMMYFUNCTION("googletranslate(D1376,""id"",""en"")"),"Consistently ditest is even raised according to the provisions and if the new case drops, the PPKM can be declared successful. If it is like this, it's called prayers")</f>
        <v>Consistently ditest is even raised according to the provisions and if the new case drops, the PPKM can be declared successful. If it is like this, it's called prayers</v>
      </c>
    </row>
    <row r="1377" ht="15.75" customHeight="1">
      <c r="A1377" s="2">
        <v>1376.0</v>
      </c>
      <c r="B1377" s="5" t="s">
        <v>2492</v>
      </c>
      <c r="C1377" s="6">
        <v>2.0</v>
      </c>
      <c r="D1377" s="7" t="s">
        <v>2493</v>
      </c>
      <c r="E1377" s="8" t="str">
        <f>IFERROR(__xludf.DUMMYFUNCTION("googletranslate(D1377,""id"",""en"")"),"ppkm will be like a week holiday too")</f>
        <v>ppkm will be like a week holiday too</v>
      </c>
    </row>
    <row r="1378" ht="15.75" customHeight="1">
      <c r="A1378" s="2">
        <v>1377.0</v>
      </c>
      <c r="B1378" s="5" t="s">
        <v>2494</v>
      </c>
      <c r="C1378" s="6">
        <v>1.0</v>
      </c>
      <c r="D1378" s="9" t="s">
        <v>2495</v>
      </c>
      <c r="E1378" s="8" t="str">
        <f>IFERROR(__xludf.DUMMYFUNCTION("googletranslate(D1378,""id"",""en"")"),"No prokes .. lg ppkm pp .. bakaran gathering .. pny komorbid .. ttga positive..sok ngritic government .. utegmu mbok gadein ng ndi hi jal ... your normal nor is pak ... as a public figure hrus jd the example of this role model instead Look ... but there i"&amp;"s a fight that is fighting for the room and Oxy, but")</f>
        <v>No prokes .. lg ppkm pp .. bakaran gathering .. pny komorbid .. ttga positive..sok ngritic government .. utegmu mbok gadein ng ndi hi jal ... your normal nor is pak ... as a public figure hrus jd the example of this role model instead Look ... but there is a fight that is fighting for the room and Oxy, but</v>
      </c>
    </row>
    <row r="1379" ht="15.75" customHeight="1">
      <c r="A1379" s="2">
        <v>1378.0</v>
      </c>
      <c r="B1379" s="5" t="s">
        <v>2496</v>
      </c>
      <c r="C1379" s="6">
        <v>2.0</v>
      </c>
      <c r="D1379" s="7" t="s">
        <v>2497</v>
      </c>
      <c r="E1379" s="8" t="str">
        <f>IFERROR(__xludf.DUMMYFUNCTION("googletranslate(D1379,""id"",""en"")"),"Ku itung '' ... my salary ppkm time")</f>
        <v>Ku itung '' ... my salary ppkm time</v>
      </c>
    </row>
    <row r="1380" ht="15.75" customHeight="1">
      <c r="A1380" s="2">
        <v>1379.0</v>
      </c>
      <c r="B1380" s="5" t="s">
        <v>2498</v>
      </c>
      <c r="C1380" s="6">
        <v>3.0</v>
      </c>
      <c r="D1380" s="9" t="s">
        <v>2499</v>
      </c>
      <c r="E1380" s="8" t="str">
        <f>IFERROR(__xludf.DUMMYFUNCTION("googletranslate(D1380,""id"",""en"")"),"O our brothers and sisters of water, help us a little patient to obey the suggestion of this government for the sake of our health with religion: I ask the community not to go home to Eid al-Adha and obey the Circular of Emergency PPKM")</f>
        <v>O our brothers and sisters of water, help us a little patient to obey the suggestion of this government for the sake of our health with religion: I ask the community not to go home to Eid al-Adha and obey the Circular of Emergency PPKM</v>
      </c>
    </row>
    <row r="1381" ht="15.75" customHeight="1">
      <c r="A1381" s="2">
        <v>1380.0</v>
      </c>
      <c r="B1381" s="5" t="s">
        <v>2500</v>
      </c>
      <c r="C1381" s="6">
        <v>1.0</v>
      </c>
      <c r="D1381" s="9" t="s">
        <v>2501</v>
      </c>
      <c r="E1381" s="8" t="str">
        <f>IFERROR(__xludf.DUMMYFUNCTION("googletranslate(D1381,""id"",""en"")"),"I think data &amp; amp; This information all needs to be carried by Opung to read &amp; amp; Understood, so that he so that he raced the statement not optimally implementing the PPKM replaced to PPKM ""Gatot""")</f>
        <v>I think data &amp; amp; This information all needs to be carried by Opung to read &amp; amp; Understood, so that he so that he raced the statement not optimally implementing the PPKM replaced to PPKM "Gatot"</v>
      </c>
    </row>
    <row r="1382" ht="15.75" customHeight="1">
      <c r="A1382" s="2">
        <v>1381.0</v>
      </c>
      <c r="B1382" s="5" t="s">
        <v>2502</v>
      </c>
      <c r="C1382" s="6">
        <v>1.0</v>
      </c>
      <c r="D1382" s="7" t="s">
        <v>2502</v>
      </c>
      <c r="E1382" s="8" t="str">
        <f>IFERROR(__xludf.DUMMYFUNCTION("googletranslate(D1382,""id"",""en"")"),"Effects If you go down the road, there may be some of the perpetrators of the street vendors who actually hate us, because they create a crowd and actually make the PPKM that has been going on in vain, even we will be assessed as the cause if the PPKM pol"&amp;"icy is renewed again.")</f>
        <v>Effects If you go down the road, there may be some of the perpetrators of the street vendors who actually hate us, because they create a crowd and actually make the PPKM that has been going on in vain, even we will be assessed as the cause if the PPKM policy is renewed again.</v>
      </c>
    </row>
    <row r="1383" ht="15.75" customHeight="1">
      <c r="A1383" s="2">
        <v>1382.0</v>
      </c>
      <c r="B1383" s="5" t="s">
        <v>2503</v>
      </c>
      <c r="C1383" s="6">
        <v>2.0</v>
      </c>
      <c r="D1383" s="7" t="s">
        <v>2504</v>
      </c>
      <c r="E1383" s="8" t="str">
        <f>IFERROR(__xludf.DUMMYFUNCTION("googletranslate(D1383,""id"",""en"")"),"Sir, I want to ask: Is there a assistance for Central Java in overseas (Jakarta) during the PPKM? Suwun")</f>
        <v>Sir, I want to ask: Is there a assistance for Central Java in overseas (Jakarta) during the PPKM? Suwun</v>
      </c>
    </row>
    <row r="1384" ht="15.75" customHeight="1">
      <c r="A1384" s="2">
        <v>1383.0</v>
      </c>
      <c r="B1384" s="5" t="s">
        <v>2505</v>
      </c>
      <c r="C1384" s="6">
        <v>3.0</v>
      </c>
      <c r="D1384" s="9" t="s">
        <v>2506</v>
      </c>
      <c r="E1384" s="8" t="str">
        <f>IFERROR(__xludf.DUMMYFUNCTION("googletranslate(D1384,""id"",""en"")"),"PPKM can be successful if all elements synergize are not only authorities, non-essential companies must also be obedient, village officials, both sub-district heads and village heads to RT / RW can socialize KPDA citizens to obey PPKM. : //")</f>
        <v>PPKM can be successful if all elements synergize are not only authorities, non-essential companies must also be obedient, village officials, both sub-district heads and village heads to RT / RW can socialize KPDA citizens to obey PPKM. : //</v>
      </c>
    </row>
    <row r="1385" ht="15.75" customHeight="1">
      <c r="A1385" s="2">
        <v>1384.0</v>
      </c>
      <c r="B1385" s="5" t="s">
        <v>2507</v>
      </c>
      <c r="C1385" s="6">
        <v>1.0</v>
      </c>
      <c r="D1385" s="7" t="s">
        <v>2507</v>
      </c>
      <c r="E1385" s="8" t="str">
        <f>IFERROR(__xludf.DUMMYFUNCTION("googletranslate(D1385,""id"",""en"")"),"Even the ""nakes"" there is someone else drinking while making an instasory trs say ""again ppkm initeh"" While haha ​​hihi")</f>
        <v>Even the "nakes" there is someone else drinking while making an instasory trs say "again ppkm initeh" While haha ​​hihi</v>
      </c>
    </row>
    <row r="1386" ht="15.75" customHeight="1">
      <c r="A1386" s="2">
        <v>1385.0</v>
      </c>
      <c r="B1386" s="5" t="s">
        <v>2508</v>
      </c>
      <c r="C1386" s="6">
        <v>1.0</v>
      </c>
      <c r="D1386" s="9" t="s">
        <v>2509</v>
      </c>
      <c r="E1386" s="8" t="str">
        <f>IFERROR(__xludf.DUMMYFUNCTION("googletranslate(D1386,""id"",""en"")"),"According to the duitologist ... if the money will not violate ... diem2 bae d house, obedient sm ppkm")</f>
        <v>According to the duitologist ... if the money will not violate ... diem2 bae d house, obedient sm ppkm</v>
      </c>
    </row>
    <row r="1387" ht="15.75" customHeight="1">
      <c r="A1387" s="2">
        <v>1386.0</v>
      </c>
      <c r="B1387" s="5" t="s">
        <v>2510</v>
      </c>
      <c r="C1387" s="6">
        <v>2.0</v>
      </c>
      <c r="D1387" s="7" t="s">
        <v>2511</v>
      </c>
      <c r="E1387" s="8" t="str">
        <f>IFERROR(__xludf.DUMMYFUNCTION("googletranslate(D1387,""id"",""en"")"),"Emergency ppkm wkwk.")</f>
        <v>Emergency ppkm wkwk.</v>
      </c>
    </row>
    <row r="1388" ht="15.75" customHeight="1">
      <c r="A1388" s="2">
        <v>1387.0</v>
      </c>
      <c r="B1388" s="5" t="s">
        <v>2512</v>
      </c>
      <c r="C1388" s="6">
        <v>2.0</v>
      </c>
      <c r="D1388" s="7" t="s">
        <v>2513</v>
      </c>
      <c r="E1388" s="8" t="str">
        <f>IFERROR(__xludf.DUMMYFUNCTION("googletranslate(D1388,""id"",""en"")"),"Can't meet Kirain PPKM-coronata her heart is kept.")</f>
        <v>Can't meet Kirain PPKM-coronata her heart is kept.</v>
      </c>
    </row>
    <row r="1389" ht="15.75" customHeight="1">
      <c r="A1389" s="2">
        <v>1388.0</v>
      </c>
      <c r="B1389" s="5" t="s">
        <v>2514</v>
      </c>
      <c r="C1389" s="6">
        <v>2.0</v>
      </c>
      <c r="D1389" s="7" t="s">
        <v>2515</v>
      </c>
      <c r="E1389" s="8" t="str">
        <f>IFERROR(__xludf.DUMMYFUNCTION("googletranslate(D1389,""id"",""en"")"),"Ppkm_r4_fix or ppkm_bismillah_final")</f>
        <v>Ppkm_r4_fix or ppkm_bismillah_final</v>
      </c>
    </row>
    <row r="1390" ht="15.75" customHeight="1">
      <c r="A1390" s="2">
        <v>1389.0</v>
      </c>
      <c r="B1390" s="5" t="s">
        <v>2516</v>
      </c>
      <c r="C1390" s="6">
        <v>1.0</v>
      </c>
      <c r="D1390" s="7" t="s">
        <v>2517</v>
      </c>
      <c r="E1390" s="8" t="str">
        <f>IFERROR(__xludf.DUMMYFUNCTION("googletranslate(D1390,""id"",""en"")"),"PPKM, it is precisely a tantalizing politicization field for the opiscopation of the hunger of the people loudly among the bottom of our country, our country is not about the neighbors until they have to be able to let in hunger")</f>
        <v>PPKM, it is precisely a tantalizing politicization field for the opiscopation of the hunger of the people loudly among the bottom of our country, our country is not about the neighbors until they have to be able to let in hunger</v>
      </c>
    </row>
    <row r="1391" ht="15.75" customHeight="1">
      <c r="A1391" s="2">
        <v>1390.0</v>
      </c>
      <c r="B1391" s="5" t="s">
        <v>2518</v>
      </c>
      <c r="C1391" s="6">
        <v>1.0</v>
      </c>
      <c r="D1391" s="9" t="s">
        <v>2519</v>
      </c>
      <c r="E1391" s="8" t="str">
        <f>IFERROR(__xludf.DUMMYFUNCTION("googletranslate(D1391,""id"",""en"")"),"Not Opung's choice, it must be both. So if you want ppkm psbb or lockdown or the like, ready for help for the affected ones. Don't let it like yesterday bansos are corrupted ... invite daggelan?")</f>
        <v>Not Opung's choice, it must be both. So if you want ppkm psbb or lockdown or the like, ready for help for the affected ones. Don't let it like yesterday bansos are corrupted ... invite daggelan?</v>
      </c>
    </row>
    <row r="1392" ht="15.75" customHeight="1">
      <c r="A1392" s="2">
        <v>1391.0</v>
      </c>
      <c r="B1392" s="5" t="s">
        <v>2520</v>
      </c>
      <c r="C1392" s="6">
        <v>2.0</v>
      </c>
      <c r="D1392" s="7" t="s">
        <v>2521</v>
      </c>
      <c r="E1392" s="8" t="str">
        <f>IFERROR(__xludf.DUMMYFUNCTION("googletranslate(D1392,""id"",""en"")"),"Far to Padang, LG PPKM")</f>
        <v>Far to Padang, LG PPKM</v>
      </c>
    </row>
    <row r="1393" ht="15.75" customHeight="1">
      <c r="A1393" s="2">
        <v>1392.0</v>
      </c>
      <c r="B1393" s="5" t="s">
        <v>2522</v>
      </c>
      <c r="C1393" s="6">
        <v>1.0</v>
      </c>
      <c r="D1393" s="9" t="s">
        <v>2523</v>
      </c>
      <c r="E1393" s="8" t="str">
        <f>IFERROR(__xludf.DUMMYFUNCTION("googletranslate(D1393,""id"",""en"")"),"Tomorrow Eid al-Adha. Don't forget to cook lontong / ketupatnya fried crackers to invite it. Eh snack ""fulfilled jammed. Bodoatamat lh smpm")</f>
        <v>Tomorrow Eid al-Adha. Don't forget to cook lontong / ketupatnya fried crackers to invite it. Eh snack "fulfilled jammed. Bodoatamat lh smpm</v>
      </c>
    </row>
    <row r="1394" ht="15.75" customHeight="1">
      <c r="A1394" s="2">
        <v>1393.0</v>
      </c>
      <c r="B1394" s="5" t="s">
        <v>2524</v>
      </c>
      <c r="C1394" s="6">
        <v>2.0</v>
      </c>
      <c r="D1394" s="7" t="s">
        <v>2525</v>
      </c>
      <c r="E1394" s="8" t="str">
        <f>IFERROR(__xludf.DUMMYFUNCTION("googletranslate(D1394,""id"",""en"")"),"The Olympics began to be extended")</f>
        <v>The Olympics began to be extended</v>
      </c>
    </row>
    <row r="1395" ht="15.75" customHeight="1">
      <c r="A1395" s="2">
        <v>1394.0</v>
      </c>
      <c r="B1395" s="5" t="s">
        <v>2526</v>
      </c>
      <c r="C1395" s="6">
        <v>1.0</v>
      </c>
      <c r="D1395" s="7" t="s">
        <v>2526</v>
      </c>
      <c r="E1395" s="8" t="str">
        <f>IFERROR(__xludf.DUMMYFUNCTION("googletranslate(D1395,""id"",""en"")"),"Ni PPKM Makes Old Crazy")</f>
        <v>Ni PPKM Makes Old Crazy</v>
      </c>
    </row>
    <row r="1396" ht="15.75" customHeight="1">
      <c r="A1396" s="2">
        <v>1395.0</v>
      </c>
      <c r="B1396" s="5" t="s">
        <v>2527</v>
      </c>
      <c r="C1396" s="6">
        <v>3.0</v>
      </c>
      <c r="D1396" s="7" t="s">
        <v>2528</v>
      </c>
      <c r="E1396" s="8" t="str">
        <f>IFERROR(__xludf.DUMMYFUNCTION("googletranslate(D1396,""id"",""en"")"),"Thank you sir even though it was actually late because Emergency PPKM was running on Sunday, but it was better late than not at all")</f>
        <v>Thank you sir even though it was actually late because Emergency PPKM was running on Sunday, but it was better late than not at all</v>
      </c>
    </row>
    <row r="1397" ht="15.75" customHeight="1">
      <c r="A1397" s="2">
        <v>1396.0</v>
      </c>
      <c r="B1397" s="5" t="s">
        <v>2529</v>
      </c>
      <c r="C1397" s="6">
        <v>2.0</v>
      </c>
      <c r="D1397" s="9" t="s">
        <v>2530</v>
      </c>
      <c r="E1397" s="8" t="str">
        <f>IFERROR(__xludf.DUMMYFUNCTION("googletranslate(D1397,""id"",""en"")"),"Dimaafin Klo PPKM GK D Extend .....")</f>
        <v>Dimaafin Klo PPKM GK D Extend .....</v>
      </c>
    </row>
    <row r="1398" ht="15.75" customHeight="1">
      <c r="A1398" s="2">
        <v>1397.0</v>
      </c>
      <c r="B1398" s="5" t="s">
        <v>2531</v>
      </c>
      <c r="C1398" s="6">
        <v>1.0</v>
      </c>
      <c r="D1398" s="7" t="s">
        <v>2531</v>
      </c>
      <c r="E1398" s="8" t="str">
        <f>IFERROR(__xludf.DUMMYFUNCTION("googletranslate(D1398,""id"",""en"")"),"ppkm rich gini want to take care of what is difficult ...")</f>
        <v>ppkm rich gini want to take care of what is difficult ...</v>
      </c>
    </row>
    <row r="1399" ht="15.75" customHeight="1">
      <c r="A1399" s="2">
        <v>1398.0</v>
      </c>
      <c r="B1399" s="5" t="s">
        <v>2532</v>
      </c>
      <c r="C1399" s="6">
        <v>2.0</v>
      </c>
      <c r="D1399" s="7" t="s">
        <v>2533</v>
      </c>
      <c r="E1399" s="8" t="str">
        <f>IFERROR(__xludf.DUMMYFUNCTION("googletranslate(D1399,""id"",""en"")"),"If the PPKM is extended and the results are the same. Then it will continue with penalty shootout.")</f>
        <v>If the PPKM is extended and the results are the same. Then it will continue with penalty shootout.</v>
      </c>
    </row>
    <row r="1400" ht="15.75" customHeight="1">
      <c r="A1400" s="2">
        <v>1399.0</v>
      </c>
      <c r="B1400" s="5" t="s">
        <v>2534</v>
      </c>
      <c r="C1400" s="6">
        <v>2.0</v>
      </c>
      <c r="D1400" s="7" t="s">
        <v>2535</v>
      </c>
      <c r="E1400" s="8" t="str">
        <f>IFERROR(__xludf.DUMMYFUNCTION("googletranslate(D1400,""id"",""en"")"),"Ppkm want to extend in August ... ?? August JD ORA Memorial Day by Kerjo World ...")</f>
        <v>Ppkm want to extend in August ... ?? August JD ORA Memorial Day by Kerjo World ...</v>
      </c>
    </row>
    <row r="1401" ht="15.75" customHeight="1">
      <c r="A1401" s="2">
        <v>1400.0</v>
      </c>
      <c r="B1401" s="5" t="s">
        <v>2536</v>
      </c>
      <c r="C1401" s="6">
        <v>1.0</v>
      </c>
      <c r="D1401" s="7" t="s">
        <v>2537</v>
      </c>
      <c r="E1401" s="8" t="str">
        <f>IFERROR(__xludf.DUMMYFUNCTION("googletranslate(D1401,""id"",""en"")"),"Continue the PPKM so that all these small people get worse from the tribulation ......")</f>
        <v>Continue the PPKM so that all these small people get worse from the tribulation ......</v>
      </c>
    </row>
    <row r="1402" ht="15.75" customHeight="1">
      <c r="A1402" s="2">
        <v>1401.0</v>
      </c>
      <c r="B1402" s="5" t="s">
        <v>2538</v>
      </c>
      <c r="C1402" s="6">
        <v>2.0</v>
      </c>
      <c r="D1402" s="7" t="s">
        <v>2539</v>
      </c>
      <c r="E1402" s="8" t="str">
        <f>IFERROR(__xludf.DUMMYFUNCTION("googletranslate(D1402,""id"",""en"")"),"PPKMPAGI in the morning we asked")</f>
        <v>PPKMPAGI in the morning we asked</v>
      </c>
    </row>
    <row r="1403" ht="15.75" customHeight="1">
      <c r="A1403" s="2">
        <v>1402.0</v>
      </c>
      <c r="B1403" s="5" t="s">
        <v>2540</v>
      </c>
      <c r="C1403" s="6">
        <v>3.0</v>
      </c>
      <c r="D1403" s="7" t="s">
        <v>2541</v>
      </c>
      <c r="E1403" s="8" t="str">
        <f>IFERROR(__xludf.DUMMYFUNCTION("googletranslate(D1403,""id"",""en"")"),"Apparently !!!!!!! There is a very strong and great wisdom behind the '' ppkm''rasa kinship and the attention of fellow citizens of the community to grow and seen in some areas there is always an initiative to help each other and ease the burden of life.")</f>
        <v>Apparently !!!!!!! There is a very strong and great wisdom behind the '' ppkm''rasa kinship and the attention of fellow citizens of the community to grow and seen in some areas there is always an initiative to help each other and ease the burden of life.</v>
      </c>
    </row>
    <row r="1404" ht="15.75" customHeight="1">
      <c r="A1404" s="2">
        <v>1403.0</v>
      </c>
      <c r="B1404" s="5" t="s">
        <v>2542</v>
      </c>
      <c r="C1404" s="6">
        <v>2.0</v>
      </c>
      <c r="D1404" s="7" t="s">
        <v>2543</v>
      </c>
      <c r="E1404" s="8" t="str">
        <f>IFERROR(__xludf.DUMMYFUNCTION("googletranslate(D1404,""id"",""en"")"),"Do you know what happened in the middle of the middle school about the presence of this PPKM ...?")</f>
        <v>Do you know what happened in the middle of the middle school about the presence of this PPKM ...?</v>
      </c>
    </row>
    <row r="1405" ht="15.75" customHeight="1">
      <c r="A1405" s="2">
        <v>1404.0</v>
      </c>
      <c r="B1405" s="5" t="s">
        <v>2544</v>
      </c>
      <c r="C1405" s="6">
        <v>1.0</v>
      </c>
      <c r="D1405" s="9" t="s">
        <v>2545</v>
      </c>
      <c r="E1405" s="8" t="str">
        <f>IFERROR(__xludf.DUMMYFUNCTION("googletranslate(D1405,""id"",""en"")"),"The koar2 for just at home and blame the person who comes out when the PPKM is mostly the org2 who has come out, call and meet a lot of people after the PPKM. They Act Like Corona Exist Pas LG PPKM Aja, SBLM PPKM Yes ... no")</f>
        <v>The koar2 for just at home and blame the person who comes out when the PPKM is mostly the org2 who has come out, call and meet a lot of people after the PPKM. They Act Like Corona Exist Pas LG PPKM Aja, SBLM PPKM Yes ... no</v>
      </c>
    </row>
    <row r="1406" ht="15.75" customHeight="1">
      <c r="A1406" s="2">
        <v>1405.0</v>
      </c>
      <c r="B1406" s="5" t="s">
        <v>2546</v>
      </c>
      <c r="C1406" s="6">
        <v>1.0</v>
      </c>
      <c r="D1406" s="9" t="s">
        <v>2547</v>
      </c>
      <c r="E1406" s="8" t="str">
        <f>IFERROR(__xludf.DUMMYFUNCTION("googletranslate(D1406,""id"",""en"")"),"In the past, it seemed really fierce with petellings, now the martial arts desperately. Hundreds of trillions of implementation How? The reality is a lot in the Korop, the PPKM is not maximal, those who work on the market can get salaries every month like"&amp;" those who use uniforms ... so they think too, if you think.")</f>
        <v>In the past, it seemed really fierce with petellings, now the martial arts desperately. Hundreds of trillions of implementation How? The reality is a lot in the Korop, the PPKM is not maximal, those who work on the market can get salaries every month like those who use uniforms ... so they think too, if you think.</v>
      </c>
    </row>
    <row r="1407" ht="15.75" customHeight="1">
      <c r="A1407" s="2">
        <v>1406.0</v>
      </c>
      <c r="B1407" s="5" t="s">
        <v>2548</v>
      </c>
      <c r="C1407" s="6">
        <v>1.0</v>
      </c>
      <c r="D1407" s="9" t="s">
        <v>2549</v>
      </c>
      <c r="E1407" s="8" t="str">
        <f>IFERROR(__xludf.DUMMYFUNCTION("googletranslate(D1407,""id"",""en"")"),"The president gave an example always ugly, there was a PPKM, he made a crowd.")</f>
        <v>The president gave an example always ugly, there was a PPKM, he made a crowd.</v>
      </c>
    </row>
    <row r="1408" ht="15.75" customHeight="1">
      <c r="A1408" s="2">
        <v>1407.0</v>
      </c>
      <c r="B1408" s="5" t="s">
        <v>2550</v>
      </c>
      <c r="C1408" s="6">
        <v>1.0</v>
      </c>
      <c r="D1408" s="7" t="s">
        <v>2551</v>
      </c>
      <c r="E1408" s="8" t="str">
        <f>IFERROR(__xludf.DUMMYFUNCTION("googletranslate(D1408,""id"",""en"")"),"Emergency PPKM but positive cases and death are increasingly high")</f>
        <v>Emergency PPKM but positive cases and death are increasingly high</v>
      </c>
    </row>
    <row r="1409" ht="15.75" customHeight="1">
      <c r="A1409" s="2">
        <v>1408.0</v>
      </c>
      <c r="B1409" s="5" t="s">
        <v>2552</v>
      </c>
      <c r="C1409" s="6">
        <v>1.0</v>
      </c>
      <c r="D1409" s="9" t="s">
        <v>2553</v>
      </c>
      <c r="E1409" s="8" t="str">
        <f>IFERROR(__xludf.DUMMYFUNCTION("googletranslate(D1409,""id"",""en"")"),"Because my ppkmtemen can't look at the mother who is sick until it finally dies, still can't look at what pellets? How come it's free to come out on the bgr")</f>
        <v>Because my ppkmtemen can't look at the mother who is sick until it finally dies, still can't look at what pellets? How come it's free to come out on the bgr</v>
      </c>
    </row>
    <row r="1410" ht="15.75" customHeight="1">
      <c r="A1410" s="2">
        <v>1409.0</v>
      </c>
      <c r="B1410" s="5" t="s">
        <v>2554</v>
      </c>
      <c r="C1410" s="6">
        <v>2.0</v>
      </c>
      <c r="D1410" s="7" t="s">
        <v>2554</v>
      </c>
      <c r="E1410" s="8" t="str">
        <f>IFERROR(__xludf.DUMMYFUNCTION("googletranslate(D1410,""id"",""en"")"),"Until the PPKM is extended and there is no result, will it continue to penalty?")</f>
        <v>Until the PPKM is extended and there is no result, will it continue to penalty?</v>
      </c>
    </row>
    <row r="1411" ht="15.75" customHeight="1">
      <c r="A1411" s="2">
        <v>1410.0</v>
      </c>
      <c r="B1411" s="5" t="s">
        <v>2555</v>
      </c>
      <c r="C1411" s="6">
        <v>1.0</v>
      </c>
      <c r="D1411" s="7" t="s">
        <v>2556</v>
      </c>
      <c r="E1411" s="8" t="str">
        <f>IFERROR(__xludf.DUMMYFUNCTION("googletranslate(D1411,""id"",""en"")"),"Different from current conditions. Just apologize to be forced / urged here and there. And even then it's just a matter of PPKM, and sorry it is represented.")</f>
        <v>Different from current conditions. Just apologize to be forced / urged here and there. And even then it's just a matter of PPKM, and sorry it is represented.</v>
      </c>
    </row>
    <row r="1412" ht="15.75" customHeight="1">
      <c r="A1412" s="2">
        <v>1411.0</v>
      </c>
      <c r="B1412" s="5" t="s">
        <v>2557</v>
      </c>
      <c r="C1412" s="6">
        <v>2.0</v>
      </c>
      <c r="D1412" s="7" t="s">
        <v>2558</v>
      </c>
      <c r="E1412" s="8" t="str">
        <f>IFERROR(__xludf.DUMMYFUNCTION("googletranslate(D1412,""id"",""en"")"),"Ppkm not bang haji ...?")</f>
        <v>Ppkm not bang haji ...?</v>
      </c>
    </row>
    <row r="1413" ht="15.75" customHeight="1">
      <c r="A1413" s="2">
        <v>1412.0</v>
      </c>
      <c r="B1413" s="5" t="s">
        <v>2559</v>
      </c>
      <c r="C1413" s="6">
        <v>2.0</v>
      </c>
      <c r="D1413" s="10" t="s">
        <v>2560</v>
      </c>
      <c r="E1413" s="8" t="str">
        <f>IFERROR(__xludf.DUMMYFUNCTION("googletranslate(D1413,""id"",""en"")"),"PPKM Ah.")</f>
        <v>PPKM Ah.</v>
      </c>
    </row>
    <row r="1414" ht="15.75" customHeight="1">
      <c r="A1414" s="2">
        <v>1413.0</v>
      </c>
      <c r="B1414" s="5" t="s">
        <v>2561</v>
      </c>
      <c r="C1414" s="6">
        <v>1.0</v>
      </c>
      <c r="D1414" s="9" t="s">
        <v>2562</v>
      </c>
      <c r="E1414" s="8" t="str">
        <f>IFERROR(__xludf.DUMMYFUNCTION("googletranslate(D1414,""id"",""en"")"),"How come you even vacation abroad when Emergency PPKM?")</f>
        <v>How come you even vacation abroad when Emergency PPKM?</v>
      </c>
    </row>
    <row r="1415" ht="15.75" customHeight="1">
      <c r="A1415" s="2">
        <v>1414.0</v>
      </c>
      <c r="B1415" s="5" t="s">
        <v>2563</v>
      </c>
      <c r="C1415" s="6">
        <v>2.0</v>
      </c>
      <c r="D1415" s="10" t="s">
        <v>2564</v>
      </c>
      <c r="E1415" s="8" t="str">
        <f>IFERROR(__xludf.DUMMYFUNCTION("googletranslate(D1415,""id"",""en"")"),"Definitely PPKM")</f>
        <v>Definitely PPKM</v>
      </c>
    </row>
    <row r="1416" ht="15.75" customHeight="1">
      <c r="A1416" s="2">
        <v>1415.0</v>
      </c>
      <c r="B1416" s="5" t="s">
        <v>2565</v>
      </c>
      <c r="C1416" s="6">
        <v>2.0</v>
      </c>
      <c r="D1416" s="7" t="s">
        <v>2566</v>
      </c>
      <c r="E1416" s="8" t="str">
        <f>IFERROR(__xludf.DUMMYFUNCTION("googletranslate(D1416,""id"",""en"")"),"yeah, it's definitely at the limit also helped, now where is the PPKM really ...")</f>
        <v>yeah, it's definitely at the limit also helped, now where is the PPKM really ...</v>
      </c>
    </row>
    <row r="1417" ht="15.75" customHeight="1">
      <c r="A1417" s="2">
        <v>1416.0</v>
      </c>
      <c r="B1417" s="5" t="s">
        <v>2567</v>
      </c>
      <c r="C1417" s="6">
        <v>2.0</v>
      </c>
      <c r="D1417" s="7" t="s">
        <v>2568</v>
      </c>
      <c r="E1417" s="8" t="str">
        <f>IFERROR(__xludf.DUMMYFUNCTION("googletranslate(D1417,""id"",""en"")"),"Ppkm = smart clever, you're looking for a mosque")</f>
        <v>Ppkm = smart clever, you're looking for a mosque</v>
      </c>
    </row>
    <row r="1418" ht="15.75" customHeight="1">
      <c r="A1418" s="2">
        <v>1417.0</v>
      </c>
      <c r="B1418" s="5" t="s">
        <v>2569</v>
      </c>
      <c r="C1418" s="6">
        <v>2.0</v>
      </c>
      <c r="D1418" s="10" t="s">
        <v>2570</v>
      </c>
      <c r="E1418" s="8" t="str">
        <f>IFERROR(__xludf.DUMMYFUNCTION("googletranslate(D1418,""id"",""en"")"),"PPKM")</f>
        <v>PPKM</v>
      </c>
    </row>
    <row r="1419" ht="15.75" customHeight="1">
      <c r="A1419" s="2">
        <v>1418.0</v>
      </c>
      <c r="B1419" s="5" t="s">
        <v>2571</v>
      </c>
      <c r="C1419" s="6">
        <v>2.0</v>
      </c>
      <c r="D1419" s="10" t="s">
        <v>2572</v>
      </c>
      <c r="E1419" s="8" t="str">
        <f>IFERROR(__xludf.DUMMYFUNCTION("googletranslate(D1419,""id"",""en"")"),"Kan PPKM SKSK")</f>
        <v>Kan PPKM SKSK</v>
      </c>
    </row>
    <row r="1420" ht="15.75" customHeight="1">
      <c r="A1420" s="2">
        <v>1419.0</v>
      </c>
      <c r="B1420" s="5" t="s">
        <v>2573</v>
      </c>
      <c r="C1420" s="6">
        <v>1.0</v>
      </c>
      <c r="D1420" s="7" t="s">
        <v>2574</v>
      </c>
      <c r="E1420" s="8" t="str">
        <f>IFERROR(__xludf.DUMMYFUNCTION("googletranslate(D1420,""id"",""en"")"),"So the plunge directly led by PPKM sir, so that it knows the condition of the field, useless lip service continues to reverse the palace")</f>
        <v>So the plunge directly led by PPKM sir, so that it knows the condition of the field, useless lip service continues to reverse the palace</v>
      </c>
    </row>
    <row r="1421" ht="15.75" customHeight="1">
      <c r="A1421" s="2">
        <v>1420.0</v>
      </c>
      <c r="B1421" s="5" t="s">
        <v>2575</v>
      </c>
      <c r="C1421" s="6">
        <v>2.0</v>
      </c>
      <c r="D1421" s="9" t="s">
        <v>2576</v>
      </c>
      <c r="E1421" s="8" t="str">
        <f>IFERROR(__xludf.DUMMYFUNCTION("googletranslate(D1421,""id"",""en"")"),"who is also the one who talks about the same ppkm, read first, bro broww")</f>
        <v>who is also the one who talks about the same ppkm, read first, bro broww</v>
      </c>
    </row>
    <row r="1422" ht="15.75" customHeight="1">
      <c r="A1422" s="2">
        <v>1421.0</v>
      </c>
      <c r="B1422" s="5" t="s">
        <v>2577</v>
      </c>
      <c r="C1422" s="6">
        <v>2.0</v>
      </c>
      <c r="D1422" s="9" t="s">
        <v>2578</v>
      </c>
      <c r="E1422" s="8" t="str">
        <f>IFERROR(__xludf.DUMMYFUNCTION("googletranslate(D1422,""id"",""en"")"),"With the presence of PPKM, what about the flowers whether the flowers are ranked during PPKM, we want to pay before maturity, PPKM July, please have no interest during PPKM, CC")</f>
        <v>With the presence of PPKM, what about the flowers whether the flowers are ranked during PPKM, we want to pay before maturity, PPKM July, please have no interest during PPKM, CC</v>
      </c>
    </row>
    <row r="1423" ht="15.75" customHeight="1">
      <c r="A1423" s="2">
        <v>1422.0</v>
      </c>
      <c r="B1423" s="5" t="s">
        <v>2579</v>
      </c>
      <c r="C1423" s="6">
        <v>2.0</v>
      </c>
      <c r="D1423" s="7" t="s">
        <v>2580</v>
      </c>
      <c r="E1423" s="8" t="str">
        <f>IFERROR(__xludf.DUMMYFUNCTION("googletranslate(D1423,""id"",""en"")"),"In my village gada ppkm, but because it stayed I finally prayed at home alone")</f>
        <v>In my village gada ppkm, but because it stayed I finally prayed at home alone</v>
      </c>
    </row>
    <row r="1424" ht="15.75" customHeight="1">
      <c r="A1424" s="2">
        <v>1423.0</v>
      </c>
      <c r="B1424" s="5" t="s">
        <v>2581</v>
      </c>
      <c r="C1424" s="6">
        <v>2.0</v>
      </c>
      <c r="D1424" s="10" t="s">
        <v>2582</v>
      </c>
      <c r="E1424" s="8" t="str">
        <f>IFERROR(__xludf.DUMMYFUNCTION("googletranslate(D1424,""id"",""en"")"),"ppkm well?")</f>
        <v>ppkm well?</v>
      </c>
    </row>
    <row r="1425" ht="15.75" customHeight="1">
      <c r="A1425" s="2">
        <v>1424.0</v>
      </c>
      <c r="B1425" s="5" t="s">
        <v>2583</v>
      </c>
      <c r="C1425" s="6">
        <v>2.0</v>
      </c>
      <c r="D1425" s="10" t="s">
        <v>2584</v>
      </c>
      <c r="E1425" s="8" t="str">
        <f>IFERROR(__xludf.DUMMYFUNCTION("googletranslate(D1425,""id"",""en"")"),"PPKM Hafis.")</f>
        <v>PPKM Hafis.</v>
      </c>
    </row>
    <row r="1426" ht="15.75" customHeight="1">
      <c r="A1426" s="2">
        <v>1425.0</v>
      </c>
      <c r="B1426" s="5" t="s">
        <v>2585</v>
      </c>
      <c r="C1426" s="6">
        <v>2.0</v>
      </c>
      <c r="D1426" s="10" t="s">
        <v>2582</v>
      </c>
      <c r="E1426" s="8" t="str">
        <f>IFERROR(__xludf.DUMMYFUNCTION("googletranslate(D1426,""id"",""en"")"),"ppkm well?")</f>
        <v>ppkm well?</v>
      </c>
    </row>
    <row r="1427" ht="15.75" customHeight="1">
      <c r="A1427" s="2">
        <v>1426.0</v>
      </c>
      <c r="B1427" s="5" t="s">
        <v>2586</v>
      </c>
      <c r="C1427" s="6">
        <v>1.0</v>
      </c>
      <c r="D1427" s="9" t="s">
        <v>2587</v>
      </c>
      <c r="E1427" s="8" t="str">
        <f>IFERROR(__xludf.DUMMYFUNCTION("googletranslate(D1427,""id"",""en"")"),"Holy, about worship there is no opponent. Mo PPKM, PSBB, Lock Down, et al are still gas to be held. The village / village mosque is the solution, as long as it's not complete. Positive numbers rise instantly, immediately jd green zone. Not a lot of medica"&amp;"l personnel prepared, TP soldiers. Chuaxz")</f>
        <v>Holy, about worship there is no opponent. Mo PPKM, PSBB, Lock Down, et al are still gas to be held. The village / village mosque is the solution, as long as it's not complete. Positive numbers rise instantly, immediately jd green zone. Not a lot of medical personnel prepared, TP soldiers. Chuaxz</v>
      </c>
    </row>
    <row r="1428" ht="15.75" customHeight="1">
      <c r="A1428" s="2">
        <v>1427.0</v>
      </c>
      <c r="B1428" s="5" t="s">
        <v>2588</v>
      </c>
      <c r="C1428" s="6">
        <v>1.0</v>
      </c>
      <c r="D1428" s="7" t="s">
        <v>2589</v>
      </c>
      <c r="E1428" s="8" t="str">
        <f>IFERROR(__xludf.DUMMYFUNCTION("googletranslate(D1428,""id"",""en"")"),"Gabisa, PPKM because.")</f>
        <v>Gabisa, PPKM because.</v>
      </c>
    </row>
    <row r="1429" ht="15.75" customHeight="1">
      <c r="A1429" s="2">
        <v>1428.0</v>
      </c>
      <c r="B1429" s="5" t="s">
        <v>2590</v>
      </c>
      <c r="C1429" s="6">
        <v>1.0</v>
      </c>
      <c r="D1429" s="9" t="s">
        <v>2591</v>
      </c>
      <c r="E1429" s="8" t="str">
        <f>IFERROR(__xludf.DUMMYFUNCTION("googletranslate(D1429,""id"",""en"")"),"The mosque around RMH Sy in Bekasi City still holds ied adha prayer ... emergency PPKM defiance. Religious vanity.")</f>
        <v>The mosque around RMH Sy in Bekasi City still holds ied adha prayer ... emergency PPKM defiance. Religious vanity.</v>
      </c>
    </row>
    <row r="1430" ht="15.75" customHeight="1">
      <c r="A1430" s="2">
        <v>1429.0</v>
      </c>
      <c r="B1430" s="5" t="s">
        <v>2592</v>
      </c>
      <c r="C1430" s="6">
        <v>2.0</v>
      </c>
      <c r="D1430" s="7" t="s">
        <v>2593</v>
      </c>
      <c r="E1430" s="8" t="str">
        <f>IFERROR(__xludf.DUMMYFUNCTION("googletranslate(D1430,""id"",""en"")"),"No, still PPKM gini")</f>
        <v>No, still PPKM gini</v>
      </c>
    </row>
    <row r="1431" ht="15.75" customHeight="1">
      <c r="A1431" s="2">
        <v>1430.0</v>
      </c>
      <c r="B1431" s="5" t="s">
        <v>2594</v>
      </c>
      <c r="C1431" s="6">
        <v>1.0</v>
      </c>
      <c r="D1431" s="9" t="s">
        <v>2595</v>
      </c>
      <c r="E1431" s="8" t="str">
        <f>IFERROR(__xludf.DUMMYFUNCTION("googletranslate(D1431,""id"",""en"")"),"Then if the hospital has already been a nakes, it's already ready? To be a specialist, it took a long time ago, Gabisa, the nurse who just graduated was told by the handle of the corona patient. Think, Bang PPKM, just run a positive, add, suggestion befor"&amp;"e typing it was thought first.")</f>
        <v>Then if the hospital has already been a nakes, it's already ready? To be a specialist, it took a long time ago, Gabisa, the nurse who just graduated was told by the handle of the corona patient. Think, Bang PPKM, just run a positive, add, suggestion before typing it was thought first.</v>
      </c>
    </row>
    <row r="1432" ht="15.75" customHeight="1">
      <c r="A1432" s="2">
        <v>1431.0</v>
      </c>
      <c r="B1432" s="5" t="s">
        <v>2596</v>
      </c>
      <c r="C1432" s="6">
        <v>1.0</v>
      </c>
      <c r="D1432" s="7" t="s">
        <v>2596</v>
      </c>
      <c r="E1432" s="8" t="str">
        <f>IFERROR(__xludf.DUMMYFUNCTION("googletranslate(D1432,""id"",""en"")"),"Anjir is confused about eating what Lebaran is where udh ppkm, warung2 on all closed again")</f>
        <v>Anjir is confused about eating what Lebaran is where udh ppkm, warung2 on all closed again</v>
      </c>
    </row>
    <row r="1433" ht="15.75" customHeight="1">
      <c r="A1433" s="2">
        <v>1432.0</v>
      </c>
      <c r="B1433" s="5" t="s">
        <v>2597</v>
      </c>
      <c r="C1433" s="6">
        <v>1.0</v>
      </c>
      <c r="D1433" s="7" t="s">
        <v>2598</v>
      </c>
      <c r="E1433" s="8" t="str">
        <f>IFERROR(__xludf.DUMMYFUNCTION("googletranslate(D1433,""id"",""en"")"),"crying read the story of people who have to sell this because of PPKM")</f>
        <v>crying read the story of people who have to sell this because of PPKM</v>
      </c>
    </row>
    <row r="1434" ht="15.75" customHeight="1">
      <c r="A1434" s="2">
        <v>1433.0</v>
      </c>
      <c r="B1434" s="5" t="s">
        <v>2599</v>
      </c>
      <c r="C1434" s="6">
        <v>2.0</v>
      </c>
      <c r="D1434" s="7" t="s">
        <v>2599</v>
      </c>
      <c r="E1434" s="8" t="str">
        <f>IFERROR(__xludf.DUMMYFUNCTION("googletranslate(D1434,""id"",""en"")"),"Happy Eid al-Adha in the PPKM era")</f>
        <v>Happy Eid al-Adha in the PPKM era</v>
      </c>
    </row>
    <row r="1435" ht="15.75" customHeight="1">
      <c r="A1435" s="2">
        <v>1434.0</v>
      </c>
      <c r="B1435" s="5" t="s">
        <v>2600</v>
      </c>
      <c r="C1435" s="6">
        <v>2.0</v>
      </c>
      <c r="D1435" s="7" t="s">
        <v>2601</v>
      </c>
      <c r="E1435" s="8" t="str">
        <f>IFERROR(__xludf.DUMMYFUNCTION("googletranslate(D1435,""id"",""en"")"),"The problem is because Kagi PPKM")</f>
        <v>The problem is because Kagi PPKM</v>
      </c>
    </row>
    <row r="1436" ht="15.75" customHeight="1">
      <c r="A1436" s="2">
        <v>1435.0</v>
      </c>
      <c r="B1436" s="5" t="s">
        <v>2602</v>
      </c>
      <c r="C1436" s="6">
        <v>2.0</v>
      </c>
      <c r="D1436" s="7" t="s">
        <v>2602</v>
      </c>
      <c r="E1436" s="8" t="str">
        <f>IFERROR(__xludf.DUMMYFUNCTION("googletranslate(D1436,""id"",""en"")"),"PPKM extended only one goal, so I can't find you.")</f>
        <v>PPKM extended only one goal, so I can't find you.</v>
      </c>
    </row>
    <row r="1437" ht="15.75" customHeight="1">
      <c r="A1437" s="2">
        <v>1436.0</v>
      </c>
      <c r="B1437" s="5" t="s">
        <v>2603</v>
      </c>
      <c r="C1437" s="6">
        <v>2.0</v>
      </c>
      <c r="D1437" s="7" t="s">
        <v>2604</v>
      </c>
      <c r="E1437" s="8" t="str">
        <f>IFERROR(__xludf.DUMMYFUNCTION("googletranslate(D1437,""id"",""en"")"),"After PPKM finished I want to go to school")</f>
        <v>After PPKM finished I want to go to school</v>
      </c>
    </row>
    <row r="1438" ht="15.75" customHeight="1">
      <c r="A1438" s="2">
        <v>1437.0</v>
      </c>
      <c r="B1438" s="5" t="s">
        <v>2605</v>
      </c>
      <c r="C1438" s="6">
        <v>1.0</v>
      </c>
      <c r="D1438" s="7" t="s">
        <v>2605</v>
      </c>
      <c r="E1438" s="8" t="str">
        <f>IFERROR(__xludf.DUMMYFUNCTION("googletranslate(D1438,""id"",""en"")"),"Gegara Kaga Kaga can pray IED: /")</f>
        <v>Gegara Kaga Kaga can pray IED: /</v>
      </c>
    </row>
    <row r="1439" ht="15.75" customHeight="1">
      <c r="A1439" s="2">
        <v>1438.0</v>
      </c>
      <c r="B1439" s="5" t="s">
        <v>2606</v>
      </c>
      <c r="C1439" s="6">
        <v>2.0</v>
      </c>
      <c r="D1439" s="10" t="s">
        <v>2607</v>
      </c>
      <c r="E1439" s="8" t="str">
        <f>IFERROR(__xludf.DUMMYFUNCTION("googletranslate(D1439,""id"",""en"")"),"No, PPKM")</f>
        <v>No, PPKM</v>
      </c>
    </row>
    <row r="1440" ht="15.75" customHeight="1">
      <c r="A1440" s="2">
        <v>1439.0</v>
      </c>
      <c r="B1440" s="5" t="s">
        <v>2608</v>
      </c>
      <c r="C1440" s="6">
        <v>1.0</v>
      </c>
      <c r="D1440" s="9" t="s">
        <v>2609</v>
      </c>
      <c r="E1440" s="8" t="str">
        <f>IFERROR(__xludf.DUMMYFUNCTION("googletranslate(D1440,""id"",""en"")"),"Cm determining PPKM extends what is not confused ... this fuck? If this pandemic is the commander who is a scientist in the health sector ... it is open.")</f>
        <v>Cm determining PPKM extends what is not confused ... this fuck? If this pandemic is the commander who is a scientist in the health sector ... it is open.</v>
      </c>
    </row>
    <row r="1441" ht="15.75" customHeight="1">
      <c r="A1441" s="2">
        <v>1440.0</v>
      </c>
      <c r="B1441" s="5" t="s">
        <v>2610</v>
      </c>
      <c r="C1441" s="6">
        <v>1.0</v>
      </c>
      <c r="D1441" s="7" t="s">
        <v>2611</v>
      </c>
      <c r="E1441" s="8" t="str">
        <f>IFERROR(__xludf.DUMMYFUNCTION("googletranslate(D1441,""id"",""en"")"),"Iyaaa Woii where else isn't the prayer until the qurban can't be asked by PPKM. Dahlah.")</f>
        <v>Iyaaa Woii where else isn't the prayer until the qurban can't be asked by PPKM. Dahlah.</v>
      </c>
    </row>
    <row r="1442" ht="15.75" customHeight="1">
      <c r="A1442" s="2">
        <v>1441.0</v>
      </c>
      <c r="B1442" s="5" t="s">
        <v>2612</v>
      </c>
      <c r="C1442" s="6">
        <v>2.0</v>
      </c>
      <c r="D1442" s="7" t="s">
        <v>2613</v>
      </c>
      <c r="E1442" s="8" t="str">
        <f>IFERROR(__xludf.DUMMYFUNCTION("googletranslate(D1442,""id"",""en"")"),"Return to the Ied Prayer, Cuddling.Masa Lebaran with PPKM.Topat as opor is assembled, sleepy again ..")</f>
        <v>Return to the Ied Prayer, Cuddling.Masa Lebaran with PPKM.Topat as opor is assembled, sleepy again ..</v>
      </c>
    </row>
    <row r="1443" ht="15.75" customHeight="1">
      <c r="A1443" s="2">
        <v>1442.0</v>
      </c>
      <c r="B1443" s="5" t="s">
        <v>2614</v>
      </c>
      <c r="C1443" s="6">
        <v>2.0</v>
      </c>
      <c r="D1443" s="7" t="s">
        <v>2614</v>
      </c>
      <c r="E1443" s="8" t="str">
        <f>IFERROR(__xludf.DUMMYFUNCTION("googletranslate(D1443,""id"",""en"")"),"Emergency PPKM extended to Emyu Champion Premier League.")</f>
        <v>Emergency PPKM extended to Emyu Champion Premier League.</v>
      </c>
    </row>
    <row r="1444" ht="15.75" customHeight="1">
      <c r="A1444" s="2">
        <v>1443.0</v>
      </c>
      <c r="B1444" s="5" t="s">
        <v>2615</v>
      </c>
      <c r="C1444" s="6">
        <v>1.0</v>
      </c>
      <c r="D1444" s="7" t="s">
        <v>2616</v>
      </c>
      <c r="E1444" s="8" t="str">
        <f>IFERROR(__xludf.DUMMYFUNCTION("googletranslate(D1444,""id"",""en"")"),"sad there is no eid prayer here because of the ppkm")</f>
        <v>sad there is no eid prayer here because of the ppkm</v>
      </c>
    </row>
    <row r="1445" ht="15.75" customHeight="1">
      <c r="A1445" s="2">
        <v>1444.0</v>
      </c>
      <c r="B1445" s="5" t="s">
        <v>2617</v>
      </c>
      <c r="C1445" s="6">
        <v>1.0</v>
      </c>
      <c r="D1445" s="9" t="s">
        <v>2618</v>
      </c>
      <c r="E1445" s="8" t="str">
        <f>IFERROR(__xludf.DUMMYFUNCTION("googletranslate(D1445,""id"",""en"")"),"Just protested PPKM. Especially in Lockdown. HadeEewww ...")</f>
        <v>Just protested PPKM. Especially in Lockdown. HadeEewww ...</v>
      </c>
    </row>
    <row r="1446" ht="15.75" customHeight="1">
      <c r="A1446" s="2">
        <v>1445.0</v>
      </c>
      <c r="B1446" s="5" t="s">
        <v>2619</v>
      </c>
      <c r="C1446" s="6">
        <v>2.0</v>
      </c>
      <c r="D1446" s="7" t="s">
        <v>2620</v>
      </c>
      <c r="E1446" s="8" t="str">
        <f>IFERROR(__xludf.DUMMYFUNCTION("googletranslate(D1446,""id"",""en"")"),"ppkm, again obstacle, or nonmus?")</f>
        <v>ppkm, again obstacle, or nonmus?</v>
      </c>
    </row>
    <row r="1447" ht="15.75" customHeight="1">
      <c r="A1447" s="2">
        <v>1446.0</v>
      </c>
      <c r="B1447" s="5" t="s">
        <v>2621</v>
      </c>
      <c r="C1447" s="6">
        <v>2.0</v>
      </c>
      <c r="D1447" s="9" t="s">
        <v>2622</v>
      </c>
      <c r="E1447" s="8" t="str">
        <f>IFERROR(__xludf.DUMMYFUNCTION("googletranslate(D1447,""id"",""en"")"),"missed his postpone was still ppkm")</f>
        <v>missed his postpone was still ppkm</v>
      </c>
    </row>
    <row r="1448" ht="15.75" customHeight="1">
      <c r="A1448" s="2">
        <v>1447.0</v>
      </c>
      <c r="B1448" s="5" t="s">
        <v>2623</v>
      </c>
      <c r="C1448" s="6">
        <v>1.0</v>
      </c>
      <c r="D1448" s="7" t="s">
        <v>2624</v>
      </c>
      <c r="E1448" s="8" t="str">
        <f>IFERROR(__xludf.DUMMYFUNCTION("googletranslate(D1448,""id"",""en"")"),"O God, it feels like you can't go to the IED prayer. Overslept and just want to pay home")</f>
        <v>O God, it feels like you can't go to the IED prayer. Overslept and just want to pay home</v>
      </c>
    </row>
    <row r="1449" ht="15.75" customHeight="1">
      <c r="A1449" s="2">
        <v>1448.0</v>
      </c>
      <c r="B1449" s="5" t="s">
        <v>2625</v>
      </c>
      <c r="C1449" s="6">
        <v>1.0</v>
      </c>
      <c r="D1449" s="7" t="s">
        <v>2626</v>
      </c>
      <c r="E1449" s="8" t="str">
        <f>IFERROR(__xludf.DUMMYFUNCTION("googletranslate(D1449,""id"",""en"")"),"How do you want to succeed, the wacannya is just changing the name of the PSBB to PPKM! But the government has never implemented the Quarantine Law (supporting the community)")</f>
        <v>How do you want to succeed, the wacannya is just changing the name of the PSBB to PPKM! But the government has never implemented the Quarantine Law (supporting the community)</v>
      </c>
    </row>
    <row r="1450" ht="15.75" customHeight="1">
      <c r="A1450" s="2">
        <v>1449.0</v>
      </c>
      <c r="B1450" s="5" t="s">
        <v>2627</v>
      </c>
      <c r="C1450" s="6">
        <v>1.0</v>
      </c>
      <c r="D1450" s="7" t="s">
        <v>2628</v>
      </c>
      <c r="E1450" s="8" t="str">
        <f>IFERROR(__xludf.DUMMYFUNCTION("googletranslate(D1450,""id"",""en"")"),"Sorry, do you know the meaning of the prokes? The Prokes with PPKM is different, selling selling money, yes, look for money but still prokes. How come ah")</f>
        <v>Sorry, do you know the meaning of the prokes? The Prokes with PPKM is different, selling selling money, yes, look for money but still prokes. How come ah</v>
      </c>
    </row>
    <row r="1451" ht="15.75" customHeight="1">
      <c r="A1451" s="2">
        <v>1450.0</v>
      </c>
      <c r="B1451" s="5" t="s">
        <v>2629</v>
      </c>
      <c r="C1451" s="6">
        <v>1.0</v>
      </c>
      <c r="D1451" s="7" t="s">
        <v>2630</v>
      </c>
      <c r="E1451" s="8" t="str">
        <f>IFERROR(__xludf.DUMMYFUNCTION("googletranslate(D1451,""id"",""en"")"),"In the Emergency Emergency PPKM period now in traditional markets, the average seller does not use masks and there is no control u that. The control of the use of masks by officers is actually better when still PSBB. According to me this is strange.")</f>
        <v>In the Emergency Emergency PPKM period now in traditional markets, the average seller does not use masks and there is no control u that. The control of the use of masks by officers is actually better when still PSBB. According to me this is strange.</v>
      </c>
    </row>
    <row r="1452" ht="15.75" customHeight="1">
      <c r="A1452" s="2">
        <v>1451.0</v>
      </c>
      <c r="B1452" s="5" t="s">
        <v>2631</v>
      </c>
      <c r="C1452" s="6">
        <v>2.0</v>
      </c>
      <c r="D1452" s="9" t="s">
        <v>2632</v>
      </c>
      <c r="E1452" s="8" t="str">
        <f>IFERROR(__xludf.DUMMYFUNCTION("googletranslate(D1452,""id"",""en"")"),"long time not up photos on Twitter, long before PPKM")</f>
        <v>long time not up photos on Twitter, long before PPKM</v>
      </c>
    </row>
    <row r="1453" ht="15.75" customHeight="1">
      <c r="A1453" s="2">
        <v>1452.0</v>
      </c>
      <c r="B1453" s="5" t="s">
        <v>2633</v>
      </c>
      <c r="C1453" s="6">
        <v>2.0</v>
      </c>
      <c r="D1453" s="9" t="s">
        <v>2634</v>
      </c>
      <c r="E1453" s="8" t="str">
        <f>IFERROR(__xludf.DUMMYFUNCTION("googletranslate(D1453,""id"",""en"")"),"According to friends whether Javanese Emergency PPKM Bali needs to be extended in July or just finished July?")</f>
        <v>According to friends whether Javanese Emergency PPKM Bali needs to be extended in July or just finished July?</v>
      </c>
    </row>
    <row r="1454" ht="15.75" customHeight="1">
      <c r="A1454" s="2">
        <v>1453.0</v>
      </c>
      <c r="B1454" s="5" t="s">
        <v>2635</v>
      </c>
      <c r="C1454" s="6">
        <v>2.0</v>
      </c>
      <c r="D1454" s="7" t="s">
        <v>2636</v>
      </c>
      <c r="E1454" s="8" t="str">
        <f>IFERROR(__xludf.DUMMYFUNCTION("googletranslate(D1454,""id"",""en"")"),"PPKMP Handing goat together")</f>
        <v>PPKMP Handing goat together</v>
      </c>
    </row>
    <row r="1455" ht="15.75" customHeight="1">
      <c r="A1455" s="2">
        <v>1454.0</v>
      </c>
      <c r="B1455" s="5" t="s">
        <v>2637</v>
      </c>
      <c r="C1455" s="6">
        <v>3.0</v>
      </c>
      <c r="D1455" s="9" t="s">
        <v>2637</v>
      </c>
      <c r="E1455" s="8" t="str">
        <f>IFERROR(__xludf.DUMMYFUNCTION("googletranslate(D1455,""id"",""en"")"),"My RT management is rich in a donation so that it helps residents who have the PPKM impact")</f>
        <v>My RT management is rich in a donation so that it helps residents who have the PPKM impact</v>
      </c>
    </row>
    <row r="1456" ht="15.75" customHeight="1">
      <c r="A1456" s="2">
        <v>1455.0</v>
      </c>
      <c r="B1456" s="5" t="s">
        <v>2638</v>
      </c>
      <c r="C1456" s="6">
        <v>1.0</v>
      </c>
      <c r="D1456" s="7" t="s">
        <v>2639</v>
      </c>
      <c r="E1456" s="8" t="str">
        <f>IFERROR(__xludf.DUMMYFUNCTION("googletranslate(D1456,""id"",""en"")"),"in a few days, my area has risen the level of Emergency PPKM")</f>
        <v>in a few days, my area has risen the level of Emergency PPKM</v>
      </c>
    </row>
    <row r="1457" ht="15.75" customHeight="1">
      <c r="A1457" s="2">
        <v>1456.0</v>
      </c>
      <c r="B1457" s="5" t="s">
        <v>2640</v>
      </c>
      <c r="C1457" s="6">
        <v>2.0</v>
      </c>
      <c r="D1457" s="7" t="s">
        <v>2641</v>
      </c>
      <c r="E1457" s="8" t="str">
        <f>IFERROR(__xludf.DUMMYFUNCTION("googletranslate(D1457,""id"",""en"")"),"even though after PPKM want to go to the angkringan pack of panut")</f>
        <v>even though after PPKM want to go to the angkringan pack of panut</v>
      </c>
    </row>
    <row r="1458" ht="15.75" customHeight="1">
      <c r="A1458" s="2">
        <v>1457.0</v>
      </c>
      <c r="B1458" s="5" t="s">
        <v>2642</v>
      </c>
      <c r="C1458" s="6">
        <v>2.0</v>
      </c>
      <c r="D1458" s="7" t="s">
        <v>2642</v>
      </c>
      <c r="E1458" s="8" t="str">
        <f>IFERROR(__xludf.DUMMYFUNCTION("googletranslate(D1458,""id"",""en"")"),"ppkm early in the morning I want to eat")</f>
        <v>ppkm early in the morning I want to eat</v>
      </c>
    </row>
    <row r="1459" ht="15.75" customHeight="1">
      <c r="A1459" s="2">
        <v>1458.0</v>
      </c>
      <c r="B1459" s="5" t="s">
        <v>2643</v>
      </c>
      <c r="C1459" s="6">
        <v>1.0</v>
      </c>
      <c r="D1459" s="7" t="s">
        <v>2644</v>
      </c>
      <c r="E1459" s="8" t="str">
        <f>IFERROR(__xludf.DUMMYFUNCTION("googletranslate(D1459,""id"",""en"")"),"Mirisssssditengah emergency ppkm..udh dloga Eid prayer adha brjamaah in the mosque..msih just ngeyel, stubborn..dmna ptt this pol pp, where is the rt rw ?? Kel meruya southern rw $ number $ kec ambangan..mesjid baitul rahman..gmn want to be covid")</f>
        <v>Mirisssssditengah emergency ppkm..udh dloga Eid prayer adha brjamaah in the mosque..msih just ngeyel, stubborn..dmna ptt this pol pp, where is the rt rw ?? Kel meruya southern rw $ number $ kec ambangan..mesjid baitul rahman..gmn want to be covid</v>
      </c>
    </row>
    <row r="1460" ht="15.75" customHeight="1">
      <c r="A1460" s="2">
        <v>1459.0</v>
      </c>
      <c r="B1460" s="5" t="s">
        <v>2645</v>
      </c>
      <c r="C1460" s="6">
        <v>1.0</v>
      </c>
      <c r="D1460" s="7" t="s">
        <v>2645</v>
      </c>
      <c r="E1460" s="8" t="str">
        <f>IFERROR(__xludf.DUMMYFUNCTION("googletranslate(D1460,""id"",""en"")"),"Guess Yok Abis Emergency PPKM Next Name What is Hayo? The same system and the same results.")</f>
        <v>Guess Yok Abis Emergency PPKM Next Name What is Hayo? The same system and the same results.</v>
      </c>
    </row>
    <row r="1461" ht="15.75" customHeight="1">
      <c r="A1461" s="2">
        <v>1460.0</v>
      </c>
      <c r="B1461" s="5" t="s">
        <v>2646</v>
      </c>
      <c r="C1461" s="6">
        <v>2.0</v>
      </c>
      <c r="D1461" s="7" t="s">
        <v>2647</v>
      </c>
      <c r="E1461" s="8" t="str">
        <f>IFERROR(__xludf.DUMMYFUNCTION("googletranslate(D1461,""id"",""en"")"),"Still PPKM Sayank")</f>
        <v>Still PPKM Sayank</v>
      </c>
    </row>
    <row r="1462" ht="15.75" customHeight="1">
      <c r="A1462" s="2">
        <v>1461.0</v>
      </c>
      <c r="B1462" s="5" t="s">
        <v>2648</v>
      </c>
      <c r="C1462" s="6">
        <v>2.0</v>
      </c>
      <c r="D1462" s="10" t="s">
        <v>2649</v>
      </c>
      <c r="E1462" s="8" t="str">
        <f>IFERROR(__xludf.DUMMYFUNCTION("googletranslate(D1462,""id"",""en"")"),"Kah ppkm?")</f>
        <v>Kah ppkm?</v>
      </c>
    </row>
    <row r="1463" ht="15.75" customHeight="1">
      <c r="A1463" s="2">
        <v>1462.0</v>
      </c>
      <c r="B1463" s="5" t="s">
        <v>2650</v>
      </c>
      <c r="C1463" s="6">
        <v>1.0</v>
      </c>
      <c r="D1463" s="7" t="s">
        <v>2651</v>
      </c>
      <c r="E1463" s="8" t="str">
        <f>IFERROR(__xludf.DUMMYFUNCTION("googletranslate(D1463,""id"",""en"")"),"Mr. Hopefully the PPKM is not extended. Because ordinary people have no permanent income like PPKM officers. People are far more than rich people who are injured by their economy because more PPKM packs.")</f>
        <v>Mr. Hopefully the PPKM is not extended. Because ordinary people have no permanent income like PPKM officers. People are far more than rich people who are injured by their economy because more PPKM packs.</v>
      </c>
    </row>
    <row r="1464" ht="15.75" customHeight="1">
      <c r="A1464" s="2">
        <v>1463.0</v>
      </c>
      <c r="B1464" s="5" t="s">
        <v>2652</v>
      </c>
      <c r="C1464" s="6">
        <v>3.0</v>
      </c>
      <c r="D1464" s="7" t="s">
        <v>2653</v>
      </c>
      <c r="E1464" s="8" t="str">
        <f>IFERROR(__xludf.DUMMYFUNCTION("googletranslate(D1464,""id"",""en"")"),"Eid Mubarak Guys Even though PPKM is still the spirit of Eid al-Qurban Yogyakarta")</f>
        <v>Eid Mubarak Guys Even though PPKM is still the spirit of Eid al-Qurban Yogyakarta</v>
      </c>
    </row>
    <row r="1465" ht="15.75" customHeight="1">
      <c r="A1465" s="2">
        <v>1464.0</v>
      </c>
      <c r="B1465" s="5" t="s">
        <v>2654</v>
      </c>
      <c r="C1465" s="6">
        <v>2.0</v>
      </c>
      <c r="D1465" s="7" t="s">
        <v>2655</v>
      </c>
      <c r="E1465" s="8" t="str">
        <f>IFERROR(__xludf.DUMMYFUNCTION("googletranslate(D1465,""id"",""en"")"),"Happy Eid al-Adha, hopefully the PPKM is fast")</f>
        <v>Happy Eid al-Adha, hopefully the PPKM is fast</v>
      </c>
    </row>
    <row r="1466" ht="15.75" customHeight="1">
      <c r="A1466" s="2">
        <v>1465.0</v>
      </c>
      <c r="B1466" s="5" t="s">
        <v>2656</v>
      </c>
      <c r="C1466" s="6">
        <v>3.0</v>
      </c>
      <c r="D1466" s="7" t="s">
        <v>2657</v>
      </c>
      <c r="E1466" s="8" t="str">
        <f>IFERROR(__xludf.DUMMYFUNCTION("googletranslate(D1466,""id"",""en"")"),"Takbir, the majesty expression of Allah SWT has reverberated. In the period of PPKM Ink, we remain obeying the prokes for all our health. Happy Eid al-Adha H. Hopefully forgiveness and blessings will always be transferred to all of us. Amen....")</f>
        <v>Takbir, the majesty expression of Allah SWT has reverberated. In the period of PPKM Ink, we remain obeying the prokes for all our health. Happy Eid al-Adha H. Hopefully forgiveness and blessings will always be transferred to all of us. Amen....</v>
      </c>
    </row>
    <row r="1467" ht="15.75" customHeight="1">
      <c r="A1467" s="2">
        <v>1466.0</v>
      </c>
      <c r="B1467" s="5" t="s">
        <v>2658</v>
      </c>
      <c r="C1467" s="6">
        <v>1.0</v>
      </c>
      <c r="D1467" s="9" t="s">
        <v>2658</v>
      </c>
      <c r="E1467" s="8" t="str">
        <f>IFERROR(__xludf.DUMMYFUNCTION("googletranslate(D1467,""id"",""en"")"),"Where did I really have a crowd? From the era of PSBB to PPKM, there was just Friday prayers and IED prayers. Even most are maskeran. It seems that covid is just a dream.")</f>
        <v>Where did I really have a crowd? From the era of PSBB to PPKM, there was just Friday prayers and IED prayers. Even most are maskeran. It seems that covid is just a dream.</v>
      </c>
    </row>
    <row r="1468" ht="15.75" customHeight="1">
      <c r="A1468" s="2">
        <v>1467.0</v>
      </c>
      <c r="B1468" s="5" t="s">
        <v>2659</v>
      </c>
      <c r="C1468" s="6">
        <v>1.0</v>
      </c>
      <c r="D1468" s="7" t="s">
        <v>2660</v>
      </c>
      <c r="E1468" s="8" t="str">
        <f>IFERROR(__xludf.DUMMYFUNCTION("googletranslate(D1468,""id"",""en"")"),"PPKM Jdi GK Diadain Prayer IED")</f>
        <v>PPKM Jdi GK Diadain Prayer IED</v>
      </c>
    </row>
    <row r="1469" ht="15.75" customHeight="1">
      <c r="A1469" s="2">
        <v>1468.0</v>
      </c>
      <c r="B1469" s="5" t="s">
        <v>2661</v>
      </c>
      <c r="C1469" s="6">
        <v>1.0</v>
      </c>
      <c r="D1469" s="7" t="s">
        <v>2662</v>
      </c>
      <c r="E1469" s="8" t="str">
        <f>IFERROR(__xludf.DUMMYFUNCTION("googletranslate(D1469,""id"",""en"")"),"Ehe no sis, just told to just make it to take it, he wanted to help you want it just not given the same father because of the PPKM")</f>
        <v>Ehe no sis, just told to just make it to take it, he wanted to help you want it just not given the same father because of the PPKM</v>
      </c>
    </row>
    <row r="1470" ht="15.75" customHeight="1">
      <c r="A1470" s="2">
        <v>1469.0</v>
      </c>
      <c r="B1470" s="5" t="s">
        <v>2663</v>
      </c>
      <c r="C1470" s="6">
        <v>1.0</v>
      </c>
      <c r="D1470" s="9" t="s">
        <v>2664</v>
      </c>
      <c r="E1470" s="8" t="str">
        <f>IFERROR(__xludf.DUMMYFUNCTION("googletranslate(D1470,""id"",""en"")"),"This PPKM is in creation by Tito Carnavian whose hands are always covered in blood.")</f>
        <v>This PPKM is in creation by Tito Carnavian whose hands are always covered in blood.</v>
      </c>
    </row>
    <row r="1471" ht="15.75" customHeight="1">
      <c r="A1471" s="2">
        <v>1470.0</v>
      </c>
      <c r="B1471" s="5" t="s">
        <v>2665</v>
      </c>
      <c r="C1471" s="6">
        <v>1.0</v>
      </c>
      <c r="D1471" s="9" t="s">
        <v>2665</v>
      </c>
      <c r="E1471" s="8" t="str">
        <f>IFERROR(__xludf.DUMMYFUNCTION("googletranslate(D1471,""id"",""en"")"),"Because ppkm aing can't meet with doi: '(")</f>
        <v>Because ppkm aing can't meet with doi: '(</v>
      </c>
    </row>
    <row r="1472" ht="15.75" customHeight="1">
      <c r="A1472" s="2">
        <v>1471.0</v>
      </c>
      <c r="B1472" s="5" t="s">
        <v>2666</v>
      </c>
      <c r="C1472" s="6">
        <v>2.0</v>
      </c>
      <c r="D1472" s="10" t="s">
        <v>2667</v>
      </c>
      <c r="E1472" s="8" t="str">
        <f>IFERROR(__xludf.DUMMYFUNCTION("googletranslate(D1472,""id"",""en"")"),"Ga PPKM Yuu?")</f>
        <v>Ga PPKM Yuu?</v>
      </c>
    </row>
    <row r="1473" ht="15.75" customHeight="1">
      <c r="A1473" s="2">
        <v>1472.0</v>
      </c>
      <c r="B1473" s="5" t="s">
        <v>2668</v>
      </c>
      <c r="C1473" s="6">
        <v>3.0</v>
      </c>
      <c r="D1473" s="7" t="s">
        <v>2669</v>
      </c>
      <c r="E1473" s="8" t="str">
        <f>IFERROR(__xludf.DUMMYFUNCTION("googletranslate(D1473,""id"",""en"")"),"PPKM struggle ...")</f>
        <v>PPKM struggle ...</v>
      </c>
    </row>
    <row r="1474" ht="15.75" customHeight="1">
      <c r="A1474" s="2">
        <v>1473.0</v>
      </c>
      <c r="B1474" s="5" t="s">
        <v>2670</v>
      </c>
      <c r="C1474" s="6">
        <v>1.0</v>
      </c>
      <c r="D1474" s="7" t="s">
        <v>2670</v>
      </c>
      <c r="E1474" s="8" t="str">
        <f>IFERROR(__xludf.DUMMYFUNCTION("googletranslate(D1474,""id"",""en"")"),"pgn sushi aeon ashskakskdkdsk pls ppkm udhn dong hhhh")</f>
        <v>pgn sushi aeon ashskakskdkdsk pls ppkm udhn dong hhhh</v>
      </c>
    </row>
    <row r="1475" ht="15.75" customHeight="1">
      <c r="A1475" s="2">
        <v>1474.0</v>
      </c>
      <c r="B1475" s="5" t="s">
        <v>2671</v>
      </c>
      <c r="C1475" s="6">
        <v>2.0</v>
      </c>
      <c r="D1475" s="7" t="s">
        <v>2672</v>
      </c>
      <c r="E1475" s="8" t="str">
        <f>IFERROR(__xludf.DUMMYFUNCTION("googletranslate(D1475,""id"",""en"")"),"ohhh yes iyaa dongg, ppkm sorted out gases")</f>
        <v>ohhh yes iyaa dongg, ppkm sorted out gases</v>
      </c>
    </row>
    <row r="1476" ht="15.75" customHeight="1">
      <c r="A1476" s="2">
        <v>1475.0</v>
      </c>
      <c r="B1476" s="5" t="s">
        <v>2673</v>
      </c>
      <c r="C1476" s="6">
        <v>2.0</v>
      </c>
      <c r="D1476" s="7" t="s">
        <v>2674</v>
      </c>
      <c r="E1476" s="8" t="str">
        <f>IFERROR(__xludf.DUMMYFUNCTION("googletranslate(D1476,""id"",""en"")"),"Eid al-Fitr psbbidul adha ppkm")</f>
        <v>Eid al-Fitr psbbidul adha ppkm</v>
      </c>
    </row>
    <row r="1477" ht="15.75" customHeight="1">
      <c r="A1477" s="2">
        <v>1476.0</v>
      </c>
      <c r="B1477" s="5" t="s">
        <v>2675</v>
      </c>
      <c r="C1477" s="6">
        <v>1.0</v>
      </c>
      <c r="D1477" s="7" t="s">
        <v>2676</v>
      </c>
      <c r="E1477" s="8" t="str">
        <f>IFERROR(__xludf.DUMMYFUNCTION("googletranslate(D1477,""id"",""en"")"),"Join the Ied prayer or not? I don't ... The mosque is closed GRGM. Sad")</f>
        <v>Join the Ied prayer or not? I don't ... The mosque is closed GRGM. Sad</v>
      </c>
    </row>
    <row r="1478" ht="15.75" customHeight="1">
      <c r="A1478" s="2">
        <v>1477.0</v>
      </c>
      <c r="B1478" s="5" t="s">
        <v>2677</v>
      </c>
      <c r="C1478" s="6">
        <v>1.0</v>
      </c>
      <c r="D1478" s="7" t="s">
        <v>2678</v>
      </c>
      <c r="E1478" s="8" t="str">
        <f>IFERROR(__xludf.DUMMYFUNCTION("googletranslate(D1478,""id"",""en"")"),"Just look for a case sir, then one suro ppkm again ... uh, one muharrom.")</f>
        <v>Just look for a case sir, then one suro ppkm again ... uh, one muharrom.</v>
      </c>
    </row>
    <row r="1479" ht="15.75" customHeight="1">
      <c r="A1479" s="2">
        <v>1478.0</v>
      </c>
      <c r="B1479" s="5" t="s">
        <v>2679</v>
      </c>
      <c r="C1479" s="6">
        <v>2.0</v>
      </c>
      <c r="D1479" s="7" t="s">
        <v>2680</v>
      </c>
      <c r="E1479" s="8" t="str">
        <f>IFERROR(__xludf.DUMMYFUNCTION("googletranslate(D1479,""id"",""en"")"),"I mean sacrificed watching her slaughter live conferences. Ppkm gabol there anyone watching")</f>
        <v>I mean sacrificed watching her slaughter live conferences. Ppkm gabol there anyone watching</v>
      </c>
    </row>
    <row r="1480" ht="15.75" customHeight="1">
      <c r="A1480" s="2">
        <v>1479.0</v>
      </c>
      <c r="B1480" s="5" t="s">
        <v>2681</v>
      </c>
      <c r="C1480" s="6">
        <v>3.0</v>
      </c>
      <c r="D1480" s="9" t="s">
        <v>2682</v>
      </c>
      <c r="E1480" s="8" t="str">
        <f>IFERROR(__xludf.DUMMYFUNCTION("googletranslate(D1480,""id"",""en"")"),"Allahu akbar ... Allahu akbar ... Let's just Sholad Ied at home with my family. We take care of each other &amp; amp; Our environment is all Dr. Corona Virus Variant Delta attacks. Obey m prokes when emergency ppkm, for those who have not been vaccinated, has"&amp;"tily")</f>
        <v>Allahu akbar ... Allahu akbar ... Let's just Sholad Ied at home with my family. We take care of each other &amp; amp; Our environment is all Dr. Corona Virus Variant Delta attacks. Obey m prokes when emergency ppkm, for those who have not been vaccinated, hastily</v>
      </c>
    </row>
    <row r="1481" ht="15.75" customHeight="1">
      <c r="A1481" s="2">
        <v>1480.0</v>
      </c>
      <c r="B1481" s="5" t="s">
        <v>2683</v>
      </c>
      <c r="C1481" s="6">
        <v>2.0</v>
      </c>
      <c r="D1481" s="9" t="s">
        <v>2684</v>
      </c>
      <c r="E1481" s="8" t="str">
        <f>IFERROR(__xludf.DUMMYFUNCTION("googletranslate(D1481,""id"",""en"")"),"Kirain ppkm the streets that are blocked are also medsos ku too.kwkwkwk")</f>
        <v>Kirain ppkm the streets that are blocked are also medsos ku too.kwkwkwk</v>
      </c>
    </row>
    <row r="1482" ht="15.75" customHeight="1">
      <c r="A1482" s="2">
        <v>1481.0</v>
      </c>
      <c r="B1482" s="5" t="s">
        <v>2685</v>
      </c>
      <c r="C1482" s="6">
        <v>2.0</v>
      </c>
      <c r="D1482" s="7" t="s">
        <v>2685</v>
      </c>
      <c r="E1482" s="8" t="str">
        <f>IFERROR(__xludf.DUMMYFUNCTION("googletranslate(D1482,""id"",""en"")"),"No. Ied prayer besides PPKM, yes because Males is also Sie")</f>
        <v>No. Ied prayer besides PPKM, yes because Males is also Sie</v>
      </c>
    </row>
    <row r="1483" ht="15.75" customHeight="1">
      <c r="A1483" s="2">
        <v>1482.0</v>
      </c>
      <c r="B1483" s="5" t="s">
        <v>2686</v>
      </c>
      <c r="C1483" s="6">
        <v>1.0</v>
      </c>
      <c r="D1483" s="9" t="s">
        <v>2687</v>
      </c>
      <c r="E1483" s="8" t="str">
        <f>IFERROR(__xludf.DUMMYFUNCTION("googletranslate(D1483,""id"",""en"")"),"in the gaada boarding house that prays in the mosque ... continue to pray with the same prayer with the boarding house, confused his prayer how ueeue ... the usual kek it was pulkam before PPKM: ""I wake up oversleep because it can't sleep because the ulc"&amp;"ers relapses, it's not comfortable BGT")</f>
        <v>in the gaada boarding house that prays in the mosque ... continue to pray with the same prayer with the boarding house, confused his prayer how ueeue ... the usual kek it was pulkam before PPKM: "I wake up oversleep because it can't sleep because the ulcers relapses, it's not comfortable BGT</v>
      </c>
    </row>
    <row r="1484" ht="15.75" customHeight="1">
      <c r="A1484" s="2">
        <v>1483.0</v>
      </c>
      <c r="B1484" s="5" t="s">
        <v>2688</v>
      </c>
      <c r="C1484" s="6">
        <v>2.0</v>
      </c>
      <c r="D1484" s="9" t="s">
        <v>2689</v>
      </c>
      <c r="E1484" s="8" t="str">
        <f>IFERROR(__xludf.DUMMYFUNCTION("googletranslate(D1484,""id"",""en"")"),"Hello Bung asked his opinion that during the PPKM period, in Kupang two days ago, a regional head died of Covid, but his body was allowed to be flown back to his home region to be buried.")</f>
        <v>Hello Bung asked his opinion that during the PPKM period, in Kupang two days ago, a regional head died of Covid, but his body was allowed to be flown back to his home region to be buried.</v>
      </c>
    </row>
    <row r="1485" ht="15.75" customHeight="1">
      <c r="A1485" s="2">
        <v>1484.0</v>
      </c>
      <c r="B1485" s="5" t="s">
        <v>2690</v>
      </c>
      <c r="C1485" s="6">
        <v>1.0</v>
      </c>
      <c r="D1485" s="7" t="s">
        <v>2690</v>
      </c>
      <c r="E1485" s="8" t="str">
        <f>IFERROR(__xludf.DUMMYFUNCTION("googletranslate(D1485,""id"",""en"")"),"PPKM is troubling the prayers we did not have in SIP")</f>
        <v>PPKM is troubling the prayers we did not have in SIP</v>
      </c>
    </row>
    <row r="1486" ht="15.75" customHeight="1">
      <c r="A1486" s="2">
        <v>1485.0</v>
      </c>
      <c r="B1486" s="5" t="s">
        <v>2691</v>
      </c>
      <c r="C1486" s="6">
        <v>1.0</v>
      </c>
      <c r="D1486" s="7" t="s">
        <v>2692</v>
      </c>
      <c r="E1486" s="8" t="str">
        <f>IFERROR(__xludf.DUMMYFUNCTION("googletranslate(D1486,""id"",""en"")"),"Life - Dead Citizens Affairs of Residents ... Besides that only government statistics. PPKM is only miserable residents")</f>
        <v>Life - Dead Citizens Affairs of Residents ... Besides that only government statistics. PPKM is only miserable residents</v>
      </c>
    </row>
    <row r="1487" ht="15.75" customHeight="1">
      <c r="A1487" s="2">
        <v>1486.0</v>
      </c>
      <c r="B1487" s="5" t="s">
        <v>2693</v>
      </c>
      <c r="C1487" s="6">
        <v>2.0</v>
      </c>
      <c r="D1487" s="7" t="s">
        <v>2694</v>
      </c>
      <c r="E1487" s="8" t="str">
        <f>IFERROR(__xludf.DUMMYFUNCTION("googletranslate(D1487,""id"",""en"")"),"Each goat should be gave hand sanitizer afraid it will be gone with other goats, then it is also considered to be afraid when there is a lazy one who has a road to the mall, the ppkm is not allowed")</f>
        <v>Each goat should be gave hand sanitizer afraid it will be gone with other goats, then it is also considered to be afraid when there is a lazy one who has a road to the mall, the ppkm is not allowed</v>
      </c>
    </row>
    <row r="1488" ht="15.75" customHeight="1">
      <c r="A1488" s="2">
        <v>1487.0</v>
      </c>
      <c r="B1488" s="5" t="s">
        <v>2695</v>
      </c>
      <c r="C1488" s="6">
        <v>2.0</v>
      </c>
      <c r="D1488" s="7" t="s">
        <v>2696</v>
      </c>
      <c r="E1488" s="8" t="str">
        <f>IFERROR(__xludf.DUMMYFUNCTION("googletranslate(D1488,""id"",""en"")"),"Kan PPKM is extended again")</f>
        <v>Kan PPKM is extended again</v>
      </c>
    </row>
    <row r="1489" ht="15.75" customHeight="1">
      <c r="A1489" s="2">
        <v>1488.0</v>
      </c>
      <c r="B1489" s="5" t="s">
        <v>2697</v>
      </c>
      <c r="C1489" s="6">
        <v>1.0</v>
      </c>
      <c r="D1489" s="7" t="s">
        <v>2698</v>
      </c>
      <c r="E1489" s="8" t="str">
        <f>IFERROR(__xludf.DUMMYFUNCTION("googletranslate(D1489,""id"",""en"")"),"What is worth remembering the regulation is made to be implemented instead of changing a lot of PSBB narratives, New Normal, PPKM? The quarantine law doesn't practice half of them, the question of the government can not bear the cost of living a poor pers"&amp;"on whose house is dangget2an?")</f>
        <v>What is worth remembering the regulation is made to be implemented instead of changing a lot of PSBB narratives, New Normal, PPKM? The quarantine law doesn't practice half of them, the question of the government can not bear the cost of living a poor person whose house is dangget2an?</v>
      </c>
    </row>
    <row r="1490" ht="15.75" customHeight="1">
      <c r="A1490" s="2">
        <v>1489.0</v>
      </c>
      <c r="B1490" s="5" t="s">
        <v>2699</v>
      </c>
      <c r="C1490" s="6">
        <v>2.0</v>
      </c>
      <c r="D1490" s="7" t="s">
        <v>2700</v>
      </c>
      <c r="E1490" s="8" t="str">
        <f>IFERROR(__xludf.DUMMYFUNCTION("googletranslate(D1490,""id"",""en"")"),"I don't know, ppkm, you want to pray at the house who wants imamin")</f>
        <v>I don't know, ppkm, you want to pray at the house who wants imamin</v>
      </c>
    </row>
    <row r="1491" ht="15.75" customHeight="1">
      <c r="A1491" s="2">
        <v>1490.0</v>
      </c>
      <c r="B1491" s="5" t="s">
        <v>2701</v>
      </c>
      <c r="C1491" s="6">
        <v>2.0</v>
      </c>
      <c r="D1491" s="7" t="s">
        <v>2701</v>
      </c>
      <c r="E1491" s="8" t="str">
        <f>IFERROR(__xludf.DUMMYFUNCTION("googletranslate(D1491,""id"",""en"")"),"PPKM // Week cut into sacrifice.")</f>
        <v>PPKM // Week cut into sacrifice.</v>
      </c>
    </row>
    <row r="1492" ht="15.75" customHeight="1">
      <c r="A1492" s="2">
        <v>1491.0</v>
      </c>
      <c r="B1492" s="5" t="s">
        <v>2702</v>
      </c>
      <c r="C1492" s="6">
        <v>1.0</v>
      </c>
      <c r="D1492" s="7" t="s">
        <v>2702</v>
      </c>
      <c r="E1492" s="8" t="str">
        <f>IFERROR(__xludf.DUMMYFUNCTION("googletranslate(D1492,""id"",""en"")"),"Patrol officers and PPKM terms are a scary thing for me. Contrived helpless, collapse.")</f>
        <v>Patrol officers and PPKM terms are a scary thing for me. Contrived helpless, collapse.</v>
      </c>
    </row>
    <row r="1493" ht="15.75" customHeight="1">
      <c r="A1493" s="2">
        <v>1492.0</v>
      </c>
      <c r="B1493" s="5" t="s">
        <v>2703</v>
      </c>
      <c r="C1493" s="6">
        <v>1.0</v>
      </c>
      <c r="D1493" s="9" t="s">
        <v>2704</v>
      </c>
      <c r="E1493" s="8" t="str">
        <f>IFERROR(__xludf.DUMMYFUNCTION("googletranslate(D1493,""id"",""en"")"),"Have you had breakfast bong? Breakfast giiih coz pretend to be happy it's periiih rich belly loe that gets ppkm")</f>
        <v>Have you had breakfast bong? Breakfast giiih coz pretend to be happy it's periiih rich belly loe that gets ppkm</v>
      </c>
    </row>
    <row r="1494" ht="15.75" customHeight="1">
      <c r="A1494" s="2">
        <v>1493.0</v>
      </c>
      <c r="B1494" s="5" t="s">
        <v>2705</v>
      </c>
      <c r="C1494" s="6">
        <v>2.0</v>
      </c>
      <c r="D1494" s="9" t="s">
        <v>2706</v>
      </c>
      <c r="E1494" s="8" t="str">
        <f>IFERROR(__xludf.DUMMYFUNCTION("googletranslate(D1494,""id"",""en"")"),"NOTED. The husband was far away the vaccination list, because of the SMG KTP, DPT in the 1st schedule at SMG last June. Because of work on JKT, then go back there. Then there is PPKM. And KAI does not include the 2nd vaccination needs as an urgent interes"&amp;"t. The solution is Pak Suwun")</f>
        <v>NOTED. The husband was far away the vaccination list, because of the SMG KTP, DPT in the 1st schedule at SMG last June. Because of work on JKT, then go back there. Then there is PPKM. And KAI does not include the 2nd vaccination needs as an urgent interest. The solution is Pak Suwun</v>
      </c>
    </row>
    <row r="1495" ht="15.75" customHeight="1">
      <c r="A1495" s="2">
        <v>1494.0</v>
      </c>
      <c r="B1495" s="5" t="s">
        <v>2707</v>
      </c>
      <c r="C1495" s="6">
        <v>2.0</v>
      </c>
      <c r="D1495" s="7" t="s">
        <v>2708</v>
      </c>
      <c r="E1495" s="8" t="str">
        <f>IFERROR(__xludf.DUMMYFUNCTION("googletranslate(D1495,""id"",""en"")"),"yes maybe because of PPKM")</f>
        <v>yes maybe because of PPKM</v>
      </c>
    </row>
    <row r="1496" ht="15.75" customHeight="1">
      <c r="A1496" s="2">
        <v>1495.0</v>
      </c>
      <c r="B1496" s="5" t="s">
        <v>2709</v>
      </c>
      <c r="C1496" s="6">
        <v>2.0</v>
      </c>
      <c r="D1496" s="7" t="s">
        <v>2710</v>
      </c>
      <c r="E1496" s="8" t="str">
        <f>IFERROR(__xludf.DUMMYFUNCTION("googletranslate(D1496,""id"",""en"")"),"The cow with his goat was slaughtered virtual or not? Lgi PPKM")</f>
        <v>The cow with his goat was slaughtered virtual or not? Lgi PPKM</v>
      </c>
    </row>
    <row r="1497" ht="15.75" customHeight="1">
      <c r="A1497" s="2">
        <v>1496.0</v>
      </c>
      <c r="B1497" s="5" t="s">
        <v>2711</v>
      </c>
      <c r="C1497" s="6">
        <v>1.0</v>
      </c>
      <c r="D1497" s="9" t="s">
        <v>2712</v>
      </c>
      <c r="E1497" s="8" t="str">
        <f>IFERROR(__xludf.DUMMYFUNCTION("googletranslate(D1497,""id"",""en"")"),"Well iyagasiiiiii, this is already on heavy stress Jakarta tuh. Everything is gabisa, just yesterday I want to apply to work so it can't be ppkm. It hasn't been able to feel like it feels like it's hard to use the emot, then the prayer is still red so it'"&amp;"s fast. I'm still opinion")</f>
        <v>Well iyagasiiiiii, this is already on heavy stress Jakarta tuh. Everything is gabisa, just yesterday I want to apply to work so it can't be ppkm. It hasn't been able to feel like it feels like it's hard to use the emot, then the prayer is still red so it's fast. I'm still opinion</v>
      </c>
    </row>
    <row r="1498" ht="15.75" customHeight="1">
      <c r="A1498" s="2">
        <v>1497.0</v>
      </c>
      <c r="B1498" s="5" t="s">
        <v>2713</v>
      </c>
      <c r="C1498" s="6">
        <v>2.0</v>
      </c>
      <c r="D1498" s="7" t="s">
        <v>2714</v>
      </c>
      <c r="E1498" s="8" t="str">
        <f>IFERROR(__xludf.DUMMYFUNCTION("googletranslate(D1498,""id"",""en"")"),"Well yeah hahahhahaha, like, again ppkm jufa")</f>
        <v>Well yeah hahahhahaha, like, again ppkm jufa</v>
      </c>
    </row>
    <row r="1499" ht="15.75" customHeight="1">
      <c r="A1499" s="2">
        <v>1498.0</v>
      </c>
      <c r="B1499" s="5" t="s">
        <v>2715</v>
      </c>
      <c r="C1499" s="6">
        <v>2.0</v>
      </c>
      <c r="D1499" s="9" t="s">
        <v>2716</v>
      </c>
      <c r="E1499" s="8" t="str">
        <f>IFERROR(__xludf.DUMMYFUNCTION("googletranslate(D1499,""id"",""en"")"),"ppkm can't go home, if it's just a vc?")</f>
        <v>ppkm can't go home, if it's just a vc?</v>
      </c>
    </row>
    <row r="1500" ht="15.75" customHeight="1">
      <c r="A1500" s="2">
        <v>1499.0</v>
      </c>
      <c r="B1500" s="5" t="s">
        <v>2717</v>
      </c>
      <c r="C1500" s="6">
        <v>1.0</v>
      </c>
      <c r="D1500" s="7" t="s">
        <v>2718</v>
      </c>
      <c r="E1500" s="8" t="str">
        <f>IFERROR(__xludf.DUMMYFUNCTION("googletranslate(D1500,""id"",""en"")"),"It's true that the center for the core stop the trip, the gas station is closed at the time of the PPKM. It's done, it's not complicated ...")</f>
        <v>It's true that the center for the core stop the trip, the gas station is closed at the time of the PPKM. It's done, it's not complicated ...</v>
      </c>
    </row>
    <row r="1501" ht="15.75" customHeight="1">
      <c r="A1501" s="2">
        <v>1500.0</v>
      </c>
      <c r="B1501" s="5" t="s">
        <v>2719</v>
      </c>
      <c r="C1501" s="6">
        <v>3.0</v>
      </c>
      <c r="D1501" s="9" t="s">
        <v>2720</v>
      </c>
      <c r="E1501" s="8" t="str">
        <f>IFERROR(__xludf.DUMMYFUNCTION("googletranslate(D1501,""id"",""en"")"),"Lebaran this year and yesterday yeah, just the house, Ga Bole left the PPKM. Stay Healthy. Happy Ied Adha Olllllll")</f>
        <v>Lebaran this year and yesterday yeah, just the house, Ga Bole left the PPKM. Stay Healthy. Happy Ied Adha Olllllll</v>
      </c>
    </row>
    <row r="1502" ht="15.75" customHeight="1">
      <c r="A1502" s="2">
        <v>1501.0</v>
      </c>
      <c r="B1502" s="5" t="s">
        <v>2721</v>
      </c>
      <c r="C1502" s="6">
        <v>2.0</v>
      </c>
      <c r="D1502" s="7" t="s">
        <v>2722</v>
      </c>
      <c r="E1502" s="8" t="str">
        <f>IFERROR(__xludf.DUMMYFUNCTION("googletranslate(D1502,""id"",""en"")"),"My PPKM life")</f>
        <v>My PPKM life</v>
      </c>
    </row>
    <row r="1503" ht="15.75" customHeight="1">
      <c r="A1503" s="2">
        <v>1502.0</v>
      </c>
      <c r="B1503" s="5" t="s">
        <v>2723</v>
      </c>
      <c r="C1503" s="6">
        <v>1.0</v>
      </c>
      <c r="D1503" s="9" t="s">
        <v>2724</v>
      </c>
      <c r="E1503" s="8" t="str">
        <f>IFERROR(__xludf.DUMMYFUNCTION("googletranslate(D1503,""id"",""en"")"),"If loose, I don't need to be PPKM.")</f>
        <v>If loose, I don't need to be PPKM.</v>
      </c>
    </row>
    <row r="1504" ht="15.75" customHeight="1">
      <c r="A1504" s="2">
        <v>1503.0</v>
      </c>
      <c r="B1504" s="5" t="s">
        <v>2725</v>
      </c>
      <c r="C1504" s="6">
        <v>1.0</v>
      </c>
      <c r="D1504" s="7" t="s">
        <v>2726</v>
      </c>
      <c r="E1504" s="8" t="str">
        <f>IFERROR(__xludf.DUMMYFUNCTION("googletranslate(D1504,""id"",""en"")"),"Suggest strategies ... say no ... on PPKM ...")</f>
        <v>Suggest strategies ... say no ... on PPKM ...</v>
      </c>
    </row>
    <row r="1505" ht="15.75" customHeight="1">
      <c r="A1505" s="2">
        <v>1504.0</v>
      </c>
      <c r="B1505" s="5" t="s">
        <v>2727</v>
      </c>
      <c r="C1505" s="6">
        <v>1.0</v>
      </c>
      <c r="D1505" s="7" t="s">
        <v>2728</v>
      </c>
      <c r="E1505" s="8" t="str">
        <f>IFERROR(__xludf.DUMMYFUNCTION("googletranslate(D1505,""id"",""en"")"),"sedi bget nie again ppkm jdi can be everywhere where the prayer is in their homes")</f>
        <v>sedi bget nie again ppkm jdi can be everywhere where the prayer is in their homes</v>
      </c>
    </row>
    <row r="1506" ht="15.75" customHeight="1">
      <c r="A1506" s="2">
        <v>1505.0</v>
      </c>
      <c r="B1506" s="5" t="s">
        <v>2729</v>
      </c>
      <c r="C1506" s="6">
        <v>2.0</v>
      </c>
      <c r="D1506" s="10" t="s">
        <v>2730</v>
      </c>
      <c r="E1506" s="8" t="str">
        <f>IFERROR(__xludf.DUMMYFUNCTION("googletranslate(D1506,""id"",""en"")"),"Atuhhh PPKM")</f>
        <v>Atuhhh PPKM</v>
      </c>
    </row>
    <row r="1507" ht="15.75" customHeight="1">
      <c r="A1507" s="2">
        <v>1506.0</v>
      </c>
      <c r="B1507" s="5" t="s">
        <v>2731</v>
      </c>
      <c r="C1507" s="6">
        <v>1.0</v>
      </c>
      <c r="D1507" s="7" t="s">
        <v>2732</v>
      </c>
      <c r="E1507" s="8" t="str">
        <f>IFERROR(__xludf.DUMMYFUNCTION("googletranslate(D1507,""id"",""en"")"),"The damn PPKM arrived when the dream was chased by the police")</f>
        <v>The damn PPKM arrived when the dream was chased by the police</v>
      </c>
    </row>
    <row r="1508" ht="15.75" customHeight="1">
      <c r="A1508" s="2">
        <v>1507.0</v>
      </c>
      <c r="B1508" s="5" t="s">
        <v>2733</v>
      </c>
      <c r="C1508" s="6">
        <v>1.0</v>
      </c>
      <c r="D1508" s="9" t="s">
        <v>2733</v>
      </c>
      <c r="E1508" s="8" t="str">
        <f>IFERROR(__xludf.DUMMYFUNCTION("googletranslate(D1508,""id"",""en"")"),"Gemboran ""Melu Government PPKM, form the help of YO Seko Government, it is the turn of the government to recommend the IED prayer at each house"" Ra Didugu, even though the Ono Bars of the Case of Jamaah Mosque Cluster. Ealaaah.")</f>
        <v>Gemboran "Melu Government PPKM, form the help of YO Seko Government, it is the turn of the government to recommend the IED prayer at each house" Ra Didugu, even though the Ono Bars of the Case of Jamaah Mosque Cluster. Ealaaah.</v>
      </c>
    </row>
    <row r="1509" ht="15.75" customHeight="1">
      <c r="A1509" s="2">
        <v>1508.0</v>
      </c>
      <c r="B1509" s="5" t="s">
        <v>2734</v>
      </c>
      <c r="C1509" s="6">
        <v>1.0</v>
      </c>
      <c r="D1509" s="7" t="s">
        <v>2734</v>
      </c>
      <c r="E1509" s="8" t="str">
        <f>IFERROR(__xludf.DUMMYFUNCTION("googletranslate(D1509,""id"",""en"")"),"Hmm Eid al-Adha can't be everywhere because it's still ppkm, what do you do today ceilah")</f>
        <v>Hmm Eid al-Adha can't be everywhere because it's still ppkm, what do you do today ceilah</v>
      </c>
    </row>
    <row r="1510" ht="15.75" customHeight="1">
      <c r="A1510" s="2">
        <v>1509.0</v>
      </c>
      <c r="B1510" s="5" t="s">
        <v>2735</v>
      </c>
      <c r="C1510" s="6">
        <v>3.0</v>
      </c>
      <c r="D1510" s="9" t="s">
        <v>2736</v>
      </c>
      <c r="E1510" s="8" t="str">
        <f>IFERROR(__xludf.DUMMYFUNCTION("googletranslate(D1510,""id"",""en"")"),"S3Mlamat Eid al-Adha, friend, it must be very different from last year's last year, there is a BCS PPKM still healthy friend there quickly improve my grandmother and let's get off the mask let's get it again")</f>
        <v>S3Mlamat Eid al-Adha, friend, it must be very different from last year's last year, there is a BCS PPKM still healthy friend there quickly improve my grandmother and let's get off the mask let's get it again</v>
      </c>
    </row>
    <row r="1511" ht="15.75" customHeight="1">
      <c r="A1511" s="2">
        <v>1510.0</v>
      </c>
      <c r="B1511" s="5" t="s">
        <v>2737</v>
      </c>
      <c r="C1511" s="6">
        <v>1.0</v>
      </c>
      <c r="D1511" s="9" t="s">
        <v>2738</v>
      </c>
      <c r="E1511" s="8" t="str">
        <f>IFERROR(__xludf.DUMMYFUNCTION("googletranslate(D1511,""id"",""en"")"),"Lha was a new caught ... who wasn't caught, it seems like it's so much that I haven't been in the Indian WNA which was passed at the airport. So that the PPKM is a month if you get conceded like this is useless")</f>
        <v>Lha was a new caught ... who wasn't caught, it seems like it's so much that I haven't been in the Indian WNA which was passed at the airport. So that the PPKM is a month if you get conceded like this is useless</v>
      </c>
    </row>
    <row r="1512" ht="15.75" customHeight="1">
      <c r="A1512" s="2">
        <v>1511.0</v>
      </c>
      <c r="B1512" s="5" t="s">
        <v>2739</v>
      </c>
      <c r="C1512" s="6">
        <v>2.0</v>
      </c>
      <c r="D1512" s="7" t="s">
        <v>2740</v>
      </c>
      <c r="E1512" s="8" t="str">
        <f>IFERROR(__xludf.DUMMYFUNCTION("googletranslate(D1512,""id"",""en"")"),"Ana's brain followed by PPKM")</f>
        <v>Ana's brain followed by PPKM</v>
      </c>
    </row>
    <row r="1513" ht="15.75" customHeight="1">
      <c r="A1513" s="2">
        <v>1512.0</v>
      </c>
      <c r="B1513" s="5" t="s">
        <v>2741</v>
      </c>
      <c r="C1513" s="6">
        <v>1.0</v>
      </c>
      <c r="D1513" s="7" t="s">
        <v>2741</v>
      </c>
      <c r="E1513" s="8" t="str">
        <f>IFERROR(__xludf.DUMMYFUNCTION("googletranslate(D1513,""id"",""en"")"),"Ppkm = slowly finance thinning")</f>
        <v>Ppkm = slowly finance thinning</v>
      </c>
    </row>
    <row r="1514" ht="15.75" customHeight="1">
      <c r="A1514" s="2">
        <v>1513.0</v>
      </c>
      <c r="B1514" s="5" t="s">
        <v>2742</v>
      </c>
      <c r="C1514" s="6">
        <v>1.0</v>
      </c>
      <c r="D1514" s="9" t="s">
        <v>2743</v>
      </c>
      <c r="E1514" s="8" t="str">
        <f>IFERROR(__xludf.DUMMYFUNCTION("googletranslate(D1514,""id"",""en"")"),"Bodoatamat if Indo is still PPKM on October, I will wait for the release in the cinema until the bengkotan is also waiting")</f>
        <v>Bodoatamat if Indo is still PPKM on October, I will wait for the release in the cinema until the bengkotan is also waiting</v>
      </c>
    </row>
    <row r="1515" ht="15.75" customHeight="1">
      <c r="A1515" s="2">
        <v>1514.0</v>
      </c>
      <c r="B1515" s="5" t="s">
        <v>2744</v>
      </c>
      <c r="C1515" s="6">
        <v>1.0</v>
      </c>
      <c r="D1515" s="9" t="s">
        <v>2745</v>
      </c>
      <c r="E1515" s="8" t="str">
        <f>IFERROR(__xludf.DUMMYFUNCTION("googletranslate(D1515,""id"",""en"")"),"Usually if the prayer is ied, it starts at it. And because again the PPKM is like I think if it starts at the most hour set. then I arrived at the clock, it's already finished anjrittttt")</f>
        <v>Usually if the prayer is ied, it starts at it. And because again the PPKM is like I think if it starts at the most hour set. then I arrived at the clock, it's already finished anjrittttt</v>
      </c>
    </row>
    <row r="1516" ht="15.75" customHeight="1">
      <c r="A1516" s="2">
        <v>1515.0</v>
      </c>
      <c r="B1516" s="5" t="s">
        <v>2746</v>
      </c>
      <c r="C1516" s="6">
        <v>3.0</v>
      </c>
      <c r="D1516" s="7" t="s">
        <v>2747</v>
      </c>
      <c r="E1516" s="8" t="str">
        <f>IFERROR(__xludf.DUMMYFUNCTION("googletranslate(D1516,""id"",""en"")"),"Gapapa Again PPKM too, Happy Ied Adha")</f>
        <v>Gapapa Again PPKM too, Happy Ied Adha</v>
      </c>
    </row>
    <row r="1517" ht="15.75" customHeight="1">
      <c r="A1517" s="2">
        <v>1516.0</v>
      </c>
      <c r="B1517" s="5" t="s">
        <v>2748</v>
      </c>
      <c r="C1517" s="6">
        <v>2.0</v>
      </c>
      <c r="D1517" s="9" t="s">
        <v>2749</v>
      </c>
      <c r="E1517" s="8" t="str">
        <f>IFERROR(__xludf.DUMMYFUNCTION("googletranslate(D1517,""id"",""en"")"),"Euy during the ppkm, how about your expenses ... press what is still as usual!")</f>
        <v>Euy during the ppkm, how about your expenses ... press what is still as usual!</v>
      </c>
    </row>
    <row r="1518" ht="15.75" customHeight="1">
      <c r="A1518" s="2">
        <v>1517.0</v>
      </c>
      <c r="B1518" s="5" t="s">
        <v>2750</v>
      </c>
      <c r="C1518" s="6">
        <v>1.0</v>
      </c>
      <c r="D1518" s="7" t="s">
        <v>2751</v>
      </c>
      <c r="E1518" s="8" t="str">
        <f>IFERROR(__xludf.DUMMYFUNCTION("googletranslate(D1518,""id"",""en"")"),"In my dict, I don't want to pray IED because of PPKM")</f>
        <v>In my dict, I don't want to pray IED because of PPKM</v>
      </c>
    </row>
    <row r="1519" ht="15.75" customHeight="1">
      <c r="A1519" s="2">
        <v>1518.0</v>
      </c>
      <c r="B1519" s="5" t="s">
        <v>2752</v>
      </c>
      <c r="C1519" s="6">
        <v>2.0</v>
      </c>
      <c r="D1519" s="7" t="s">
        <v>2753</v>
      </c>
      <c r="E1519" s="8" t="str">
        <f>IFERROR(__xludf.DUMMYFUNCTION("googletranslate(D1519,""id"",""en"")"),"Because of the PPKM huh?")</f>
        <v>Because of the PPKM huh?</v>
      </c>
    </row>
    <row r="1520" ht="15.75" customHeight="1">
      <c r="A1520" s="2">
        <v>1519.0</v>
      </c>
      <c r="B1520" s="5" t="s">
        <v>2754</v>
      </c>
      <c r="C1520" s="6">
        <v>1.0</v>
      </c>
      <c r="D1520" s="7" t="s">
        <v>2755</v>
      </c>
      <c r="E1520" s="8" t="str">
        <f>IFERROR(__xludf.DUMMYFUNCTION("googletranslate(D1520,""id"",""en"")"),"It's better not to need PPKM so that people live as usual. Living life still alive that doesn't survive, hopefully calm down.")</f>
        <v>It's better not to need PPKM so that people live as usual. Living life still alive that doesn't survive, hopefully calm down.</v>
      </c>
    </row>
    <row r="1521" ht="15.75" customHeight="1">
      <c r="A1521" s="2">
        <v>1520.0</v>
      </c>
      <c r="B1521" s="5" t="s">
        <v>2756</v>
      </c>
      <c r="C1521" s="6">
        <v>1.0</v>
      </c>
      <c r="D1521" s="7" t="s">
        <v>2757</v>
      </c>
      <c r="E1521" s="8" t="str">
        <f>IFERROR(__xludf.DUMMYFUNCTION("googletranslate(D1521,""id"",""en"")"),"The non-essential sector may still carry out work activities with kariawan who work online (WFH) that is one of the sounds of the PPKM article in Wkwkwkland")</f>
        <v>The non-essential sector may still carry out work activities with kariawan who work online (WFH) that is one of the sounds of the PPKM article in Wkwkwkland</v>
      </c>
    </row>
    <row r="1522" ht="15.75" customHeight="1">
      <c r="A1522" s="2">
        <v>1521.0</v>
      </c>
      <c r="B1522" s="5" t="s">
        <v>2758</v>
      </c>
      <c r="C1522" s="6">
        <v>2.0</v>
      </c>
      <c r="D1522" s="7" t="s">
        <v>2759</v>
      </c>
      <c r="E1522" s="8" t="str">
        <f>IFERROR(__xludf.DUMMYFUNCTION("googletranslate(D1522,""id"",""en"")"),"Yes cb. Ppkm etapi gatau mr diy open what is not")</f>
        <v>Yes cb. Ppkm etapi gatau mr diy open what is not</v>
      </c>
    </row>
    <row r="1523" ht="15.75" customHeight="1">
      <c r="A1523" s="2">
        <v>1522.0</v>
      </c>
      <c r="B1523" s="5" t="s">
        <v>2760</v>
      </c>
      <c r="C1523" s="6">
        <v>3.0</v>
      </c>
      <c r="D1523" s="7" t="s">
        <v>2761</v>
      </c>
      <c r="E1523" s="8" t="str">
        <f>IFERROR(__xludf.DUMMYFUNCTION("googletranslate(D1523,""id"",""en"")"),"I suggest in the implementation of the PPKM Emergency Emergency PPKM &amp; Ampaerah Deploy all volunteers &amp; ampetugas Satgascovid to directly provide assistance to residents' homes. Pak so that it is evenly distributed &amp; amp; there is no crowd in disbursement"&amp;".")</f>
        <v>I suggest in the implementation of the PPKM Emergency Emergency PPKM &amp; Ampaerah Deploy all volunteers &amp; ampetugas Satgascovid to directly provide assistance to residents' homes. Pak so that it is evenly distributed &amp; amp; there is no crowd in disbursement.</v>
      </c>
    </row>
    <row r="1524" ht="15.75" customHeight="1">
      <c r="A1524" s="2">
        <v>1523.0</v>
      </c>
      <c r="B1524" s="5" t="s">
        <v>2762</v>
      </c>
      <c r="C1524" s="6">
        <v>2.0</v>
      </c>
      <c r="D1524" s="7" t="s">
        <v>2763</v>
      </c>
      <c r="E1524" s="8" t="str">
        <f>IFERROR(__xludf.DUMMYFUNCTION("googletranslate(D1524,""id"",""en"")"),"why? ppkm kh?")</f>
        <v>why? ppkm kh?</v>
      </c>
    </row>
    <row r="1525" ht="15.75" customHeight="1">
      <c r="A1525" s="2">
        <v>1524.0</v>
      </c>
      <c r="B1525" s="5" t="s">
        <v>2764</v>
      </c>
      <c r="C1525" s="6">
        <v>2.0</v>
      </c>
      <c r="D1525" s="7" t="s">
        <v>2765</v>
      </c>
      <c r="E1525" s="8" t="str">
        <f>IFERROR(__xludf.DUMMYFUNCTION("googletranslate(D1525,""id"",""en"")"),"Kelon PPKM wkwk")</f>
        <v>Kelon PPKM wkwk</v>
      </c>
    </row>
    <row r="1526" ht="15.75" customHeight="1">
      <c r="A1526" s="2">
        <v>1525.0</v>
      </c>
      <c r="B1526" s="5" t="s">
        <v>2766</v>
      </c>
      <c r="C1526" s="6">
        <v>2.0</v>
      </c>
      <c r="D1526" s="9" t="s">
        <v>2767</v>
      </c>
      <c r="E1526" s="8" t="str">
        <f>IFERROR(__xludf.DUMMYFUNCTION("googletranslate(D1526,""id"",""en"")"),"Honestly until this moment I can't go ppkm")</f>
        <v>Honestly until this moment I can't go ppkm</v>
      </c>
    </row>
    <row r="1527" ht="15.75" customHeight="1">
      <c r="A1527" s="2">
        <v>1526.0</v>
      </c>
      <c r="B1527" s="5" t="s">
        <v>2768</v>
      </c>
      <c r="C1527" s="6">
        <v>2.0</v>
      </c>
      <c r="D1527" s="7" t="s">
        <v>2769</v>
      </c>
      <c r="E1527" s="8" t="str">
        <f>IFERROR(__xludf.DUMMYFUNCTION("googletranslate(D1527,""id"",""en"")"),"Ppkm = morning morning dick in")</f>
        <v>Ppkm = morning morning dick in</v>
      </c>
    </row>
    <row r="1528" ht="15.75" customHeight="1">
      <c r="A1528" s="2">
        <v>1527.0</v>
      </c>
      <c r="B1528" s="5" t="s">
        <v>2770</v>
      </c>
      <c r="C1528" s="6">
        <v>3.0</v>
      </c>
      <c r="D1528" s="7" t="s">
        <v>2771</v>
      </c>
      <c r="E1528" s="8" t="str">
        <f>IFERROR(__xludf.DUMMYFUNCTION("googletranslate(D1528,""id"",""en"")"),"Eid al-Adha Version of PPKM XIXi, Alhamdulillah")</f>
        <v>Eid al-Adha Version of PPKM XIXi, Alhamdulillah</v>
      </c>
    </row>
    <row r="1529" ht="15.75" customHeight="1">
      <c r="A1529" s="2">
        <v>1528.0</v>
      </c>
      <c r="B1529" s="5" t="s">
        <v>2772</v>
      </c>
      <c r="C1529" s="6">
        <v>2.0</v>
      </c>
      <c r="D1529" s="7" t="s">
        <v>2773</v>
      </c>
      <c r="E1529" s="8" t="str">
        <f>IFERROR(__xludf.DUMMYFUNCTION("googletranslate(D1529,""id"",""en"")"),"ppkm in the budget")</f>
        <v>ppkm in the budget</v>
      </c>
    </row>
    <row r="1530" ht="15.75" customHeight="1">
      <c r="A1530" s="2">
        <v>1529.0</v>
      </c>
      <c r="B1530" s="5" t="s">
        <v>2774</v>
      </c>
      <c r="C1530" s="6">
        <v>2.0</v>
      </c>
      <c r="D1530" s="7" t="s">
        <v>2774</v>
      </c>
      <c r="E1530" s="8" t="str">
        <f>IFERROR(__xludf.DUMMYFUNCTION("googletranslate(D1530,""id"",""en"")"),"This isn't the ppkm right?")</f>
        <v>This isn't the ppkm right?</v>
      </c>
    </row>
    <row r="1531" ht="15.75" customHeight="1">
      <c r="A1531" s="2">
        <v>1530.0</v>
      </c>
      <c r="B1531" s="5" t="s">
        <v>2775</v>
      </c>
      <c r="C1531" s="6">
        <v>2.0</v>
      </c>
      <c r="D1531" s="7" t="s">
        <v>2776</v>
      </c>
      <c r="E1531" s="8" t="str">
        <f>IFERROR(__xludf.DUMMYFUNCTION("googletranslate(D1531,""id"",""en"")"),"why? ppkm yh?")</f>
        <v>why? ppkm yh?</v>
      </c>
    </row>
    <row r="1532" ht="15.75" customHeight="1">
      <c r="A1532" s="2">
        <v>1531.0</v>
      </c>
      <c r="B1532" s="5" t="s">
        <v>2777</v>
      </c>
      <c r="C1532" s="6">
        <v>2.0</v>
      </c>
      <c r="D1532" s="10" t="s">
        <v>2778</v>
      </c>
      <c r="E1532" s="8" t="str">
        <f>IFERROR(__xludf.DUMMYFUNCTION("googletranslate(D1532,""id"",""en"")"),"ppkm deh.")</f>
        <v>ppkm deh.</v>
      </c>
    </row>
    <row r="1533" ht="15.75" customHeight="1">
      <c r="A1533" s="2">
        <v>1532.0</v>
      </c>
      <c r="B1533" s="5" t="s">
        <v>2779</v>
      </c>
      <c r="C1533" s="6">
        <v>2.0</v>
      </c>
      <c r="D1533" s="7" t="s">
        <v>2776</v>
      </c>
      <c r="E1533" s="8" t="str">
        <f>IFERROR(__xludf.DUMMYFUNCTION("googletranslate(D1533,""id"",""en"")"),"why? ppkm yh?")</f>
        <v>why? ppkm yh?</v>
      </c>
    </row>
    <row r="1534" ht="15.75" customHeight="1">
      <c r="A1534" s="2">
        <v>1533.0</v>
      </c>
      <c r="B1534" s="5" t="s">
        <v>2780</v>
      </c>
      <c r="C1534" s="6">
        <v>1.0</v>
      </c>
      <c r="D1534" s="7" t="s">
        <v>2781</v>
      </c>
      <c r="E1534" s="8" t="str">
        <f>IFERROR(__xludf.DUMMYFUNCTION("googletranslate(D1534,""id"",""en"")"),"So the mosque is close to the house, you want to pray eid but because of the diem ppkm")</f>
        <v>So the mosque is close to the house, you want to pray eid but because of the diem ppkm</v>
      </c>
    </row>
    <row r="1535" ht="15.75" customHeight="1">
      <c r="A1535" s="2">
        <v>1534.0</v>
      </c>
      <c r="B1535" s="5" t="s">
        <v>2782</v>
      </c>
      <c r="C1535" s="6">
        <v>1.0</v>
      </c>
      <c r="D1535" s="7" t="s">
        <v>2783</v>
      </c>
      <c r="E1535" s="8" t="str">
        <f>IFERROR(__xludf.DUMMYFUNCTION("googletranslate(D1535,""id"",""en"")"),"Ppkm + isoman wants to be crazy, a month is laid off")</f>
        <v>Ppkm + isoman wants to be crazy, a month is laid off</v>
      </c>
    </row>
    <row r="1536" ht="15.75" customHeight="1">
      <c r="A1536" s="2">
        <v>1535.0</v>
      </c>
      <c r="B1536" s="5" t="s">
        <v>2784</v>
      </c>
      <c r="C1536" s="6">
        <v>2.0</v>
      </c>
      <c r="D1536" s="7" t="s">
        <v>2785</v>
      </c>
      <c r="E1536" s="8" t="str">
        <f>IFERROR(__xludf.DUMMYFUNCTION("googletranslate(D1536,""id"",""en"")"),"Why ?? Kahh ppkm?")</f>
        <v>Why ?? Kahh ppkm?</v>
      </c>
    </row>
    <row r="1537" ht="15.75" customHeight="1">
      <c r="A1537" s="2">
        <v>1536.0</v>
      </c>
      <c r="B1537" s="5" t="s">
        <v>2786</v>
      </c>
      <c r="C1537" s="6">
        <v>2.0</v>
      </c>
      <c r="D1537" s="7" t="s">
        <v>2787</v>
      </c>
      <c r="E1537" s="8" t="str">
        <f>IFERROR(__xludf.DUMMYFUNCTION("googletranslate(D1537,""id"",""en"")"),"Correct PPKM or PSBB?")</f>
        <v>Correct PPKM or PSBB?</v>
      </c>
    </row>
    <row r="1538" ht="15.75" customHeight="1">
      <c r="A1538" s="2">
        <v>1537.0</v>
      </c>
      <c r="B1538" s="5" t="s">
        <v>2788</v>
      </c>
      <c r="C1538" s="6">
        <v>3.0</v>
      </c>
      <c r="D1538" s="7" t="s">
        <v>2789</v>
      </c>
      <c r="E1538" s="8" t="str">
        <f>IFERROR(__xludf.DUMMYFUNCTION("googletranslate(D1538,""id"",""en"")"),"President Joko Widodo emphasized the PPKM law in ways that humanist, polite, human &amp; amp; Not excessive even though it remains firm. PPKM is a form of state protecting the safety of its people. Pandemic")</f>
        <v>President Joko Widodo emphasized the PPKM law in ways that humanist, polite, human &amp; amp; Not excessive even though it remains firm. PPKM is a form of state protecting the safety of its people. Pandemic</v>
      </c>
    </row>
    <row r="1539" ht="15.75" customHeight="1">
      <c r="A1539" s="2">
        <v>1538.0</v>
      </c>
      <c r="B1539" s="5" t="s">
        <v>2790</v>
      </c>
      <c r="C1539" s="6">
        <v>2.0</v>
      </c>
      <c r="D1539" s="7" t="s">
        <v>2791</v>
      </c>
      <c r="E1539" s="8" t="str">
        <f>IFERROR(__xludf.DUMMYFUNCTION("googletranslate(D1539,""id"",""en"")"),"The Java Balinese Emergency PPKM is extended not?")</f>
        <v>The Java Balinese Emergency PPKM is extended not?</v>
      </c>
    </row>
    <row r="1540" ht="15.75" customHeight="1">
      <c r="A1540" s="2">
        <v>1539.0</v>
      </c>
      <c r="B1540" s="5" t="s">
        <v>2792</v>
      </c>
      <c r="C1540" s="6">
        <v>2.0</v>
      </c>
      <c r="D1540" s="7" t="s">
        <v>2793</v>
      </c>
      <c r="E1540" s="8" t="str">
        <f>IFERROR(__xludf.DUMMYFUNCTION("googletranslate(D1540,""id"",""en"")"),"Ppkm becomes extended sir?")</f>
        <v>Ppkm becomes extended sir?</v>
      </c>
    </row>
    <row r="1541" ht="15.75" customHeight="1">
      <c r="A1541" s="2">
        <v>1540.0</v>
      </c>
      <c r="B1541" s="5" t="s">
        <v>2794</v>
      </c>
      <c r="C1541" s="6">
        <v>1.0</v>
      </c>
      <c r="D1541" s="9" t="s">
        <v>2795</v>
      </c>
      <c r="E1541" s="8" t="str">
        <f>IFERROR(__xludf.DUMMYFUNCTION("googletranslate(D1541,""id"",""en"")"),"The PPKM decision will not be pleasant to continue the small people scream of their trouble. On loose right with the risk of a surge in case, Nakes screamed their fatigue. So please whatever the decision doesn't think we support the steps of the governmen"&amp;"t hope all in the protection of Allah")</f>
        <v>The PPKM decision will not be pleasant to continue the small people scream of their trouble. On loose right with the risk of a surge in case, Nakes screamed their fatigue. So please whatever the decision doesn't think we support the steps of the government hope all in the protection of Allah</v>
      </c>
    </row>
    <row r="1542" ht="15.75" customHeight="1">
      <c r="A1542" s="2">
        <v>1541.0</v>
      </c>
      <c r="B1542" s="5" t="s">
        <v>2796</v>
      </c>
      <c r="C1542" s="6">
        <v>2.0</v>
      </c>
      <c r="D1542" s="7" t="s">
        <v>2797</v>
      </c>
      <c r="E1542" s="8" t="str">
        <f>IFERROR(__xludf.DUMMYFUNCTION("googletranslate(D1542,""id"",""en"")"),"Ppkm beb, syapppp u too")</f>
        <v>Ppkm beb, syapppp u too</v>
      </c>
    </row>
    <row r="1543" ht="15.75" customHeight="1">
      <c r="A1543" s="2">
        <v>1542.0</v>
      </c>
      <c r="B1543" s="5" t="s">
        <v>2798</v>
      </c>
      <c r="C1543" s="6">
        <v>3.0</v>
      </c>
      <c r="D1543" s="7" t="s">
        <v>2799</v>
      </c>
      <c r="E1543" s="8" t="str">
        <f>IFERROR(__xludf.DUMMYFUNCTION("googletranslate(D1543,""id"",""en"")"),"Happy Eid al-Adha, keep prokes and there is no open house because of PPKM !! Stay Safe Everybody")</f>
        <v>Happy Eid al-Adha, keep prokes and there is no open house because of PPKM !! Stay Safe Everybody</v>
      </c>
    </row>
    <row r="1544" ht="15.75" customHeight="1">
      <c r="A1544" s="2">
        <v>1543.0</v>
      </c>
      <c r="B1544" s="5" t="s">
        <v>2800</v>
      </c>
      <c r="C1544" s="6">
        <v>1.0</v>
      </c>
      <c r="D1544" s="7" t="s">
        <v>2800</v>
      </c>
      <c r="E1544" s="8" t="str">
        <f>IFERROR(__xludf.DUMMYFUNCTION("googletranslate(D1544,""id"",""en"")"),"National PPKM failure is the failure of the Central Government of the failure of the President of the Republic of Indonesia, Jokowi, Jokowi, FTL PPKM: The citizens are limited to the mobility / activity of the economy, SMTR NGR / the government ignores th"&amp;"e KBTHAN, especially this FTL.")</f>
        <v>National PPKM failure is the failure of the Central Government of the failure of the President of the Republic of Indonesia, Jokowi, Jokowi, FTL PPKM: The citizens are limited to the mobility / activity of the economy, SMTR NGR / the government ignores the KBTHAN, especially this FTL.</v>
      </c>
    </row>
    <row r="1545" ht="15.75" customHeight="1">
      <c r="A1545" s="2">
        <v>1544.0</v>
      </c>
      <c r="B1545" s="5" t="s">
        <v>2801</v>
      </c>
      <c r="C1545" s="6">
        <v>2.0</v>
      </c>
      <c r="D1545" s="7" t="s">
        <v>2802</v>
      </c>
      <c r="E1545" s="8" t="str">
        <f>IFERROR(__xludf.DUMMYFUNCTION("googletranslate(D1545,""id"",""en"")"),"Yes I'm still quarantine if it's not a ppkm let's go ace three")</f>
        <v>Yes I'm still quarantine if it's not a ppkm let's go ace three</v>
      </c>
    </row>
    <row r="1546" ht="15.75" customHeight="1">
      <c r="A1546" s="2">
        <v>1545.0</v>
      </c>
      <c r="B1546" s="5" t="s">
        <v>2803</v>
      </c>
      <c r="C1546" s="6">
        <v>1.0</v>
      </c>
      <c r="D1546" s="9" t="s">
        <v>2804</v>
      </c>
      <c r="E1546" s="8" t="str">
        <f>IFERROR(__xludf.DUMMYFUNCTION("googletranslate(D1546,""id"",""en"")"),"Sad Lebaran this time can't join the Alif's family because of PPKM")</f>
        <v>Sad Lebaran this time can't join the Alif's family because of PPKM</v>
      </c>
    </row>
    <row r="1547" ht="15.75" customHeight="1">
      <c r="A1547" s="2">
        <v>1546.0</v>
      </c>
      <c r="B1547" s="5" t="s">
        <v>2805</v>
      </c>
      <c r="C1547" s="6">
        <v>3.0</v>
      </c>
      <c r="D1547" s="9" t="s">
        <v>2806</v>
      </c>
      <c r="E1547" s="8" t="str">
        <f>IFERROR(__xludf.DUMMYFUNCTION("googletranslate(D1547,""id"",""en"")"),"PPKM with a new concept. PPKM needs to reduce the positive number of Covid and suppress the spread of transmission. What needs to be evaluated because all the lines of life have to walk. Do you vaccine ... !!! Come on vaccines ... !!")</f>
        <v>PPKM with a new concept. PPKM needs to reduce the positive number of Covid and suppress the spread of transmission. What needs to be evaluated because all the lines of life have to walk. Do you vaccine ... !!! Come on vaccines ... !!</v>
      </c>
    </row>
    <row r="1548" ht="15.75" customHeight="1">
      <c r="A1548" s="2">
        <v>1547.0</v>
      </c>
      <c r="B1548" s="5" t="s">
        <v>2807</v>
      </c>
      <c r="C1548" s="6">
        <v>1.0</v>
      </c>
      <c r="D1548" s="9" t="s">
        <v>2808</v>
      </c>
      <c r="E1548" s="8" t="str">
        <f>IFERROR(__xludf.DUMMYFUNCTION("googletranslate(D1548,""id"",""en"")"),"Most a very mosque open. That's just one alley there is a positive family. God just doesn't burden his people in worshiping this is really complicated? Gnian Problems Gnian Cuat Koar Worship Better Rame, Gliran PPKM was told to be at the House Aja Kek Wor"&amp;"ms for Establishment for Senegara")</f>
        <v>Most a very mosque open. That's just one alley there is a positive family. God just doesn't burden his people in worshiping this is really complicated? Gnian Problems Gnian Cuat Koar Worship Better Rame, Gliran PPKM was told to be at the House Aja Kek Worms for Establishment for Senegara</v>
      </c>
    </row>
    <row r="1549" ht="15.75" customHeight="1">
      <c r="A1549" s="2">
        <v>1548.0</v>
      </c>
      <c r="B1549" s="5" t="s">
        <v>2809</v>
      </c>
      <c r="C1549" s="6">
        <v>1.0</v>
      </c>
      <c r="D1549" s="7" t="s">
        <v>2810</v>
      </c>
      <c r="E1549" s="8" t="str">
        <f>IFERROR(__xludf.DUMMYFUNCTION("googletranslate(D1549,""id"",""en"")"),"Again ppkm ga anywhere it's better for the clothes what skincare mekup isn't really happy to regret it")</f>
        <v>Again ppkm ga anywhere it's better for the clothes what skincare mekup isn't really happy to regret it</v>
      </c>
    </row>
    <row r="1550" ht="15.75" customHeight="1">
      <c r="A1550" s="2">
        <v>1549.0</v>
      </c>
      <c r="B1550" s="5" t="s">
        <v>2811</v>
      </c>
      <c r="C1550" s="6">
        <v>2.0</v>
      </c>
      <c r="D1550" s="10" t="s">
        <v>2812</v>
      </c>
      <c r="E1550" s="8" t="str">
        <f>IFERROR(__xludf.DUMMYFUNCTION("googletranslate(D1550,""id"",""en"")"),"again PPKM BLI):")</f>
        <v>again PPKM BLI):</v>
      </c>
    </row>
    <row r="1551" ht="15.75" customHeight="1">
      <c r="A1551" s="2">
        <v>1550.0</v>
      </c>
      <c r="B1551" s="5" t="s">
        <v>2813</v>
      </c>
      <c r="C1551" s="6">
        <v>2.0</v>
      </c>
      <c r="D1551" s="7" t="s">
        <v>2814</v>
      </c>
      <c r="E1551" s="8" t="str">
        <f>IFERROR(__xludf.DUMMYFUNCTION("googletranslate(D1551,""id"",""en"")"),"After PPKM finished I want to learn the same play with friends ...")</f>
        <v>After PPKM finished I want to learn the same play with friends ...</v>
      </c>
    </row>
    <row r="1552" ht="15.75" customHeight="1">
      <c r="A1552" s="2">
        <v>1551.0</v>
      </c>
      <c r="B1552" s="5" t="s">
        <v>2815</v>
      </c>
      <c r="C1552" s="6">
        <v>2.0</v>
      </c>
      <c r="D1552" s="7" t="s">
        <v>2816</v>
      </c>
      <c r="E1552" s="8" t="str">
        <f>IFERROR(__xludf.DUMMYFUNCTION("googletranslate(D1552,""id"",""en"")"),"PPKM, Live Conferences")</f>
        <v>PPKM, Live Conferences</v>
      </c>
    </row>
    <row r="1553" ht="15.75" customHeight="1">
      <c r="A1553" s="2">
        <v>1552.0</v>
      </c>
      <c r="B1553" s="5" t="s">
        <v>2817</v>
      </c>
      <c r="C1553" s="6">
        <v>1.0</v>
      </c>
      <c r="D1553" s="9" t="s">
        <v>2818</v>
      </c>
      <c r="E1553" s="8" t="str">
        <f>IFERROR(__xludf.DUMMYFUNCTION("googletranslate(D1553,""id"",""en"")"),"Ntar who arrived at the people only RB for one family and PPKM a month, eat Indomie with eggs every day")</f>
        <v>Ntar who arrived at the people only RB for one family and PPKM a month, eat Indomie with eggs every day</v>
      </c>
    </row>
    <row r="1554" ht="15.75" customHeight="1">
      <c r="A1554" s="2">
        <v>1553.0</v>
      </c>
      <c r="B1554" s="5" t="s">
        <v>2819</v>
      </c>
      <c r="C1554" s="6">
        <v>1.0</v>
      </c>
      <c r="D1554" s="7" t="s">
        <v>2820</v>
      </c>
      <c r="E1554" s="8" t="str">
        <f>IFERROR(__xludf.DUMMYFUNCTION("googletranslate(D1554,""id"",""en"")"),"Confused by the words of the President ... pls don't work anymore you don't think of the people getting worse ...")</f>
        <v>Confused by the words of the President ... pls don't work anymore you don't think of the people getting worse ...</v>
      </c>
    </row>
    <row r="1555" ht="15.75" customHeight="1">
      <c r="A1555" s="2">
        <v>1554.0</v>
      </c>
      <c r="B1555" s="5" t="s">
        <v>2821</v>
      </c>
      <c r="C1555" s="6">
        <v>1.0</v>
      </c>
      <c r="D1555" s="7" t="s">
        <v>2822</v>
      </c>
      <c r="E1555" s="8" t="str">
        <f>IFERROR(__xludf.DUMMYFUNCTION("googletranslate(D1555,""id"",""en"")"),"The people are Bobok or LG PPKM = slowly we die, so there is no move. Moreover there is no command")</f>
        <v>The people are Bobok or LG PPKM = slowly we die, so there is no move. Moreover there is no command</v>
      </c>
    </row>
    <row r="1556" ht="15.75" customHeight="1">
      <c r="A1556" s="2">
        <v>1555.0</v>
      </c>
      <c r="B1556" s="5" t="s">
        <v>2823</v>
      </c>
      <c r="C1556" s="6">
        <v>1.0</v>
      </c>
      <c r="D1556" s="7" t="s">
        <v>2824</v>
      </c>
      <c r="E1556" s="8" t="str">
        <f>IFERROR(__xludf.DUMMYFUNCTION("googletranslate(D1556,""id"",""en"")"),"Means it will be extended? Cool, even though this PPKM fails to be able to pressure the active case ... continue what the purpose is")</f>
        <v>Means it will be extended? Cool, even though this PPKM fails to be able to pressure the active case ... continue what the purpose is</v>
      </c>
    </row>
    <row r="1557" ht="15.75" customHeight="1">
      <c r="A1557" s="2">
        <v>1556.0</v>
      </c>
      <c r="B1557" s="5" t="s">
        <v>2825</v>
      </c>
      <c r="C1557" s="6">
        <v>2.0</v>
      </c>
      <c r="D1557" s="10" t="s">
        <v>2826</v>
      </c>
      <c r="E1557" s="8" t="str">
        <f>IFERROR(__xludf.DUMMYFUNCTION("googletranslate(D1557,""id"",""en"")"),"PPKM Purushi.")</f>
        <v>PPKM Purushi.</v>
      </c>
    </row>
    <row r="1558" ht="15.75" customHeight="1">
      <c r="A1558" s="2">
        <v>1557.0</v>
      </c>
      <c r="B1558" s="5" t="s">
        <v>2827</v>
      </c>
      <c r="C1558" s="6">
        <v>1.0</v>
      </c>
      <c r="D1558" s="7" t="s">
        <v>2827</v>
      </c>
      <c r="E1558" s="8" t="str">
        <f>IFERROR(__xludf.DUMMYFUNCTION("googletranslate(D1558,""id"",""en"")"),"SNM quota in collapses, the campus chancellor knows nile is not pure, already staped this ko ppkm instead of extending the sir, just say the boss's funds for party wagyu a5")</f>
        <v>SNM quota in collapses, the campus chancellor knows nile is not pure, already staped this ko ppkm instead of extending the sir, just say the boss's funds for party wagyu a5</v>
      </c>
    </row>
    <row r="1559" ht="15.75" customHeight="1">
      <c r="A1559" s="2">
        <v>1558.0</v>
      </c>
      <c r="B1559" s="5" t="s">
        <v>2828</v>
      </c>
      <c r="C1559" s="6">
        <v>1.0</v>
      </c>
      <c r="D1559" s="9" t="s">
        <v>2829</v>
      </c>
      <c r="E1559" s="8" t="str">
        <f>IFERROR(__xludf.DUMMYFUNCTION("googletranslate(D1559,""id"",""en"")"),"Your salary, Pak Cut, Lougain to buy rice and then it is divided into residents of the PPKM impact, if we sacrifice, what are you sacrificed? Get money every day, you don't know, you don't really do it")</f>
        <v>Your salary, Pak Cut, Lougain to buy rice and then it is divided into residents of the PPKM impact, if we sacrifice, what are you sacrificed? Get money every day, you don't know, you don't really do it</v>
      </c>
    </row>
    <row r="1560" ht="15.75" customHeight="1">
      <c r="A1560" s="2">
        <v>1559.0</v>
      </c>
      <c r="B1560" s="5" t="s">
        <v>2830</v>
      </c>
      <c r="C1560" s="6">
        <v>2.0</v>
      </c>
      <c r="D1560" s="7" t="s">
        <v>2830</v>
      </c>
      <c r="E1560" s="8" t="str">
        <f>IFERROR(__xludf.DUMMYFUNCTION("googletranslate(D1560,""id"",""en"")"),"PPKM extended until Edho Zell End Live YouTube streaming.")</f>
        <v>PPKM extended until Edho Zell End Live YouTube streaming.</v>
      </c>
    </row>
    <row r="1561" ht="15.75" customHeight="1">
      <c r="A1561" s="2">
        <v>1560.0</v>
      </c>
      <c r="B1561" s="5" t="s">
        <v>2831</v>
      </c>
      <c r="C1561" s="6">
        <v>1.0</v>
      </c>
      <c r="D1561" s="9" t="s">
        <v>2832</v>
      </c>
      <c r="E1561" s="8" t="str">
        <f>IFERROR(__xludf.DUMMYFUNCTION("googletranslate(D1561,""id"",""en"")"),"If you don't want micro or emergency PPKM just leave it ... but in the lock there is nothing you can get out / enter the area, go straight for the fence ... if there is an increase that is exposed we already know the cause, it turns out to be more dangero"&amp;"us than the C19Delta virus.")</f>
        <v>If you don't want micro or emergency PPKM just leave it ... but in the lock there is nothing you can get out / enter the area, go straight for the fence ... if there is an increase that is exposed we already know the cause, it turns out to be more dangerous than the C19Delta virus.</v>
      </c>
    </row>
    <row r="1562" ht="15.75" customHeight="1">
      <c r="A1562" s="2">
        <v>1561.0</v>
      </c>
      <c r="B1562" s="5" t="s">
        <v>2833</v>
      </c>
      <c r="C1562" s="6">
        <v>2.0</v>
      </c>
      <c r="D1562" s="9" t="s">
        <v>2834</v>
      </c>
      <c r="E1562" s="8" t="str">
        <f>IFERROR(__xludf.DUMMYFUNCTION("googletranslate(D1562,""id"",""en"")"),"Ws! If the tiktok scroll takes it, I want to want to remember if this is my ppkm, you don't really do it")</f>
        <v>Ws! If the tiktok scroll takes it, I want to want to remember if this is my ppkm, you don't really do it</v>
      </c>
    </row>
    <row r="1563" ht="15.75" customHeight="1">
      <c r="A1563" s="2">
        <v>1562.0</v>
      </c>
      <c r="B1563" s="5" t="s">
        <v>2835</v>
      </c>
      <c r="C1563" s="6">
        <v>1.0</v>
      </c>
      <c r="D1563" s="9" t="s">
        <v>2836</v>
      </c>
      <c r="E1563" s="8" t="str">
        <f>IFERROR(__xludf.DUMMYFUNCTION("googletranslate(D1563,""id"",""en"")"),"If the emergency ppkm must be today to attack")</f>
        <v>If the emergency ppkm must be today to attack</v>
      </c>
    </row>
    <row r="1564" ht="15.75" customHeight="1">
      <c r="A1564" s="2">
        <v>1563.0</v>
      </c>
      <c r="B1564" s="5" t="s">
        <v>2837</v>
      </c>
      <c r="C1564" s="6">
        <v>1.0</v>
      </c>
      <c r="D1564" s="7" t="s">
        <v>2838</v>
      </c>
      <c r="E1564" s="8" t="str">
        <f>IFERROR(__xludf.DUMMYFUNCTION("googletranslate(D1564,""id"",""en"")"),"in my place PPKM JD Gabisa Ied Prayers in the field")</f>
        <v>in my place PPKM JD Gabisa Ied Prayers in the field</v>
      </c>
    </row>
    <row r="1565" ht="15.75" customHeight="1">
      <c r="A1565" s="2">
        <v>1564.0</v>
      </c>
      <c r="B1565" s="5" t="s">
        <v>2839</v>
      </c>
      <c r="C1565" s="6">
        <v>2.0</v>
      </c>
      <c r="D1565" s="9" t="s">
        <v>2840</v>
      </c>
      <c r="E1565" s="8" t="str">
        <f>IFERROR(__xludf.DUMMYFUNCTION("googletranslate(D1565,""id"",""en"")"),"Severe pouring pempek rama dr before ppkm severe !!! btw night cream erha abis wkakakakak")</f>
        <v>Severe pouring pempek rama dr before ppkm severe !!! btw night cream erha abis wkakakakak</v>
      </c>
    </row>
    <row r="1566" ht="15.75" customHeight="1">
      <c r="A1566" s="2">
        <v>1565.0</v>
      </c>
      <c r="B1566" s="5" t="s">
        <v>2841</v>
      </c>
      <c r="C1566" s="6">
        <v>2.0</v>
      </c>
      <c r="D1566" s="7" t="s">
        <v>2842</v>
      </c>
      <c r="E1566" s="8" t="str">
        <f>IFERROR(__xludf.DUMMYFUNCTION("googletranslate(D1566,""id"",""en"")"),"omg yaa yaa omyaa yaa ...")</f>
        <v>omg yaa yaa omyaa yaa ...</v>
      </c>
    </row>
    <row r="1567" ht="15.75" customHeight="1">
      <c r="A1567" s="2">
        <v>1566.0</v>
      </c>
      <c r="B1567" s="5" t="s">
        <v>2843</v>
      </c>
      <c r="C1567" s="6">
        <v>2.0</v>
      </c>
      <c r="D1567" s="7" t="s">
        <v>2843</v>
      </c>
      <c r="E1567" s="8" t="str">
        <f>IFERROR(__xludf.DUMMYFUNCTION("googletranslate(D1567,""id"",""en"")"),"Idhul Adha = PPKM (slowly you widened slowly)")</f>
        <v>Idhul Adha = PPKM (slowly you widened slowly)</v>
      </c>
    </row>
    <row r="1568" ht="15.75" customHeight="1">
      <c r="A1568" s="2">
        <v>1567.0</v>
      </c>
      <c r="B1568" s="5" t="s">
        <v>2844</v>
      </c>
      <c r="C1568" s="6">
        <v>2.0</v>
      </c>
      <c r="D1568" s="7" t="s">
        <v>2844</v>
      </c>
      <c r="E1568" s="8" t="str">
        <f>IFERROR(__xludf.DUMMYFUNCTION("googletranslate(D1568,""id"",""en"")"),"PPKM, once cared then fed up")</f>
        <v>PPKM, once cared then fed up</v>
      </c>
    </row>
    <row r="1569" ht="15.75" customHeight="1">
      <c r="A1569" s="2">
        <v>1568.0</v>
      </c>
      <c r="B1569" s="5" t="s">
        <v>2845</v>
      </c>
      <c r="C1569" s="6">
        <v>1.0</v>
      </c>
      <c r="D1569" s="9" t="s">
        <v>2846</v>
      </c>
      <c r="E1569" s="8" t="str">
        <f>IFERROR(__xludf.DUMMYFUNCTION("googletranslate(D1569,""id"",""en"")"),"why don't you make a borong of warung merchandise open when the ppkm just let it be closed on time, it's not closed simultaneously during the week, so that it is even if you don't do a good winning solution, it is class, the transparency is gaadajeritanik"&amp;"at")</f>
        <v>why don't you make a borong of warung merchandise open when the ppkm just let it be closed on time, it's not closed simultaneously during the week, so that it is even if you don't do a good winning solution, it is class, the transparency is gaadajeritanikat</v>
      </c>
    </row>
    <row r="1570" ht="15.75" customHeight="1">
      <c r="A1570" s="2">
        <v>1569.0</v>
      </c>
      <c r="B1570" s="5" t="s">
        <v>2847</v>
      </c>
      <c r="C1570" s="6">
        <v>1.0</v>
      </c>
      <c r="D1570" s="7" t="s">
        <v>2847</v>
      </c>
      <c r="E1570" s="8" t="str">
        <f>IFERROR(__xludf.DUMMYFUNCTION("googletranslate(D1570,""id"",""en"")"),"Better PPKM is stopped, ready or not ready, the community must be more mature, but collateral will occur for them weak, the old ones who are sick and inedible hoax, but life goes on. So Pick Your Poison.")</f>
        <v>Better PPKM is stopped, ready or not ready, the community must be more mature, but collateral will occur for them weak, the old ones who are sick and inedible hoax, but life goes on. So Pick Your Poison.</v>
      </c>
    </row>
    <row r="1571" ht="15.75" customHeight="1">
      <c r="A1571" s="2">
        <v>1570.0</v>
      </c>
      <c r="B1571" s="5" t="s">
        <v>2848</v>
      </c>
      <c r="C1571" s="6">
        <v>2.0</v>
      </c>
      <c r="D1571" s="7" t="s">
        <v>2849</v>
      </c>
      <c r="E1571" s="8" t="str">
        <f>IFERROR(__xludf.DUMMYFUNCTION("googletranslate(D1571,""id"",""en"")"),"Not also NDERR, DSINI PPKM too. Clock shops also have been closed.")</f>
        <v>Not also NDERR, DSINI PPKM too. Clock shops also have been closed.</v>
      </c>
    </row>
    <row r="1572" ht="15.75" customHeight="1">
      <c r="A1572" s="2">
        <v>1571.0</v>
      </c>
      <c r="B1572" s="5" t="s">
        <v>2850</v>
      </c>
      <c r="C1572" s="6">
        <v>1.0</v>
      </c>
      <c r="D1572" s="9" t="s">
        <v>2851</v>
      </c>
      <c r="E1572" s="8" t="str">
        <f>IFERROR(__xludf.DUMMYFUNCTION("googletranslate(D1572,""id"",""en"")"),"sir if there is a PPKM, please consider LG related to transportation to work outside the city. Local kerneta is closed, finally passengers on running to the bus in the general economic bus Prokes are lacking in my opinion especially if the road fleet is n"&amp;"ot%")</f>
        <v>sir if there is a PPKM, please consider LG related to transportation to work outside the city. Local kerneta is closed, finally passengers on running to the bus in the general economic bus Prokes are lacking in my opinion especially if the road fleet is not%</v>
      </c>
    </row>
    <row r="1573" ht="15.75" customHeight="1">
      <c r="A1573" s="2">
        <v>1572.0</v>
      </c>
      <c r="B1573" s="5" t="s">
        <v>2852</v>
      </c>
      <c r="C1573" s="6">
        <v>2.0</v>
      </c>
      <c r="D1573" s="7" t="s">
        <v>2852</v>
      </c>
      <c r="E1573" s="8" t="str">
        <f>IFERROR(__xludf.DUMMYFUNCTION("googletranslate(D1573,""id"",""en"")"),"So it's extended, this is the PPKM?")</f>
        <v>So it's extended, this is the PPKM?</v>
      </c>
    </row>
    <row r="1574" ht="15.75" customHeight="1">
      <c r="A1574" s="2">
        <v>1573.0</v>
      </c>
      <c r="B1574" s="5" t="s">
        <v>2853</v>
      </c>
      <c r="C1574" s="6">
        <v>1.0</v>
      </c>
      <c r="D1574" s="7" t="s">
        <v>2854</v>
      </c>
      <c r="E1574" s="8" t="str">
        <f>IFERROR(__xludf.DUMMYFUNCTION("googletranslate(D1574,""id"",""en"")"),"ppkm is not able to pray in congregation")</f>
        <v>ppkm is not able to pray in congregation</v>
      </c>
    </row>
    <row r="1575" ht="15.75" customHeight="1">
      <c r="A1575" s="2">
        <v>1574.0</v>
      </c>
      <c r="B1575" s="5" t="s">
        <v>2855</v>
      </c>
      <c r="C1575" s="6">
        <v>2.0</v>
      </c>
      <c r="D1575" s="7" t="s">
        <v>2856</v>
      </c>
      <c r="E1575" s="8" t="str">
        <f>IFERROR(__xludf.DUMMYFUNCTION("googletranslate(D1575,""id"",""en"")"),"Want to experience but again PPKM")</f>
        <v>Want to experience but again PPKM</v>
      </c>
    </row>
    <row r="1576" ht="15.75" customHeight="1">
      <c r="A1576" s="2">
        <v>1575.0</v>
      </c>
      <c r="B1576" s="5" t="s">
        <v>2857</v>
      </c>
      <c r="C1576" s="6">
        <v>2.0</v>
      </c>
      <c r="D1576" s="7" t="s">
        <v>2858</v>
      </c>
      <c r="E1576" s="8" t="str">
        <f>IFERROR(__xludf.DUMMYFUNCTION("googletranslate(D1576,""id"",""en"")"),"ppkm jawa bali, just as well")</f>
        <v>ppkm jawa bali, just as well</v>
      </c>
    </row>
    <row r="1577" ht="15.75" customHeight="1">
      <c r="A1577" s="2">
        <v>1576.0</v>
      </c>
      <c r="B1577" s="5" t="s">
        <v>2859</v>
      </c>
      <c r="C1577" s="6">
        <v>2.0</v>
      </c>
      <c r="D1577" s="10" t="s">
        <v>2860</v>
      </c>
      <c r="E1577" s="8" t="str">
        <f>IFERROR(__xludf.DUMMYFUNCTION("googletranslate(D1577,""id"",""en"")"),"PPKM PO? ha ha")</f>
        <v>PPKM PO? ha ha</v>
      </c>
    </row>
    <row r="1578" ht="15.75" customHeight="1">
      <c r="A1578" s="2">
        <v>1577.0</v>
      </c>
      <c r="B1578" s="5" t="s">
        <v>2861</v>
      </c>
      <c r="C1578" s="6">
        <v>1.0</v>
      </c>
      <c r="D1578" s="9" t="s">
        <v>2862</v>
      </c>
      <c r="E1578" s="8" t="str">
        <f>IFERROR(__xludf.DUMMYFUNCTION("googletranslate(D1578,""id"",""en"")"),"Funny bin funny bin ndagel real example of jokowi hnya passive.GK has an initiative of what ppkm he depends on the policy of his subordinates.")</f>
        <v>Funny bin funny bin ndagel real example of jokowi hnya passive.GK has an initiative of what ppkm he depends on the policy of his subordinates.</v>
      </c>
    </row>
    <row r="1579" ht="15.75" customHeight="1">
      <c r="A1579" s="2">
        <v>1578.0</v>
      </c>
      <c r="B1579" s="5" t="s">
        <v>2863</v>
      </c>
      <c r="C1579" s="6">
        <v>2.0</v>
      </c>
      <c r="D1579" s="7" t="s">
        <v>2864</v>
      </c>
      <c r="E1579" s="8" t="str">
        <f>IFERROR(__xludf.DUMMYFUNCTION("googletranslate(D1579,""id"",""en"")"),"why? ppkm huh?")</f>
        <v>why? ppkm huh?</v>
      </c>
    </row>
    <row r="1580" ht="15.75" customHeight="1">
      <c r="A1580" s="2">
        <v>1579.0</v>
      </c>
      <c r="B1580" s="5" t="s">
        <v>2865</v>
      </c>
      <c r="C1580" s="6">
        <v>1.0</v>
      </c>
      <c r="D1580" s="9" t="s">
        <v>2866</v>
      </c>
      <c r="E1580" s="8" t="str">
        <f>IFERROR(__xludf.DUMMYFUNCTION("googletranslate(D1580,""id"",""en"")"),"Hmm, it's interesting, sir, continue sir. Must be analyzed continuously the film2-enchanted film related to the law, while PPKM time is still implemented. Unless there is a call, sir, just work LG")</f>
        <v>Hmm, it's interesting, sir, continue sir. Must be analyzed continuously the film2-enchanted film related to the law, while PPKM time is still implemented. Unless there is a call, sir, just work LG</v>
      </c>
    </row>
    <row r="1581" ht="15.75" customHeight="1">
      <c r="A1581" s="2">
        <v>1580.0</v>
      </c>
      <c r="B1581" s="5" t="s">
        <v>2867</v>
      </c>
      <c r="C1581" s="6">
        <v>2.0</v>
      </c>
      <c r="D1581" s="7" t="s">
        <v>2868</v>
      </c>
      <c r="E1581" s="8" t="str">
        <f>IFERROR(__xludf.DUMMYFUNCTION("googletranslate(D1581,""id"",""en"")"),"not because of PPKM too ...")</f>
        <v>not because of PPKM too ...</v>
      </c>
    </row>
    <row r="1582" ht="15.75" customHeight="1">
      <c r="A1582" s="2">
        <v>1581.0</v>
      </c>
      <c r="B1582" s="5" t="s">
        <v>2869</v>
      </c>
      <c r="C1582" s="6">
        <v>2.0</v>
      </c>
      <c r="D1582" s="10" t="s">
        <v>2870</v>
      </c>
      <c r="E1582" s="8" t="str">
        <f>IFERROR(__xludf.DUMMYFUNCTION("googletranslate(D1582,""id"",""en"")"),"ppkm huh?")</f>
        <v>ppkm huh?</v>
      </c>
    </row>
    <row r="1583" ht="15.75" customHeight="1">
      <c r="A1583" s="2">
        <v>1582.0</v>
      </c>
      <c r="B1583" s="5" t="s">
        <v>2871</v>
      </c>
      <c r="C1583" s="6">
        <v>2.0</v>
      </c>
      <c r="D1583" s="10" t="s">
        <v>2570</v>
      </c>
      <c r="E1583" s="8" t="str">
        <f>IFERROR(__xludf.DUMMYFUNCTION("googletranslate(D1583,""id"",""en"")"),"PPKM")</f>
        <v>PPKM</v>
      </c>
    </row>
    <row r="1584" ht="15.75" customHeight="1">
      <c r="A1584" s="2">
        <v>1583.0</v>
      </c>
      <c r="B1584" s="5" t="s">
        <v>2872</v>
      </c>
      <c r="C1584" s="6">
        <v>3.0</v>
      </c>
      <c r="D1584" s="7" t="s">
        <v>2873</v>
      </c>
      <c r="E1584" s="8" t="str">
        <f>IFERROR(__xludf.DUMMYFUNCTION("googletranslate(D1584,""id"",""en"")"),"Emergency PPKM through ZOOM SHG MRK BS continues to be resulted and improves its performance. For mrk, the tolerance sells HRS wears a mask and must wash the hands using soap before. Make and this is used to be used")</f>
        <v>Emergency PPKM through ZOOM SHG MRK BS continues to be resulted and improves its performance. For mrk, the tolerance sells HRS wears a mask and must wash the hands using soap before. Make and this is used to be used</v>
      </c>
    </row>
    <row r="1585" ht="15.75" customHeight="1">
      <c r="A1585" s="2">
        <v>1584.0</v>
      </c>
      <c r="B1585" s="5" t="s">
        <v>2874</v>
      </c>
      <c r="C1585" s="6">
        <v>2.0</v>
      </c>
      <c r="D1585" s="7" t="s">
        <v>2875</v>
      </c>
      <c r="E1585" s="8" t="str">
        <f>IFERROR(__xludf.DUMMYFUNCTION("googletranslate(D1585,""id"",""en"")"),"Please the info, PPKM in Makassar is extended? Tabe")</f>
        <v>Please the info, PPKM in Makassar is extended? Tabe</v>
      </c>
    </row>
    <row r="1586" ht="15.75" customHeight="1">
      <c r="A1586" s="2">
        <v>1585.0</v>
      </c>
      <c r="B1586" s="5" t="s">
        <v>2876</v>
      </c>
      <c r="C1586" s="6">
        <v>2.0</v>
      </c>
      <c r="D1586" s="9" t="s">
        <v>2876</v>
      </c>
      <c r="E1586" s="8" t="str">
        <f>IFERROR(__xludf.DUMMYFUNCTION("googletranslate(D1586,""id"",""en"")"),"Info, if you want to go to Jogja, when you get a ppkm, you can not")</f>
        <v>Info, if you want to go to Jogja, when you get a ppkm, you can not</v>
      </c>
    </row>
    <row r="1587" ht="15.75" customHeight="1">
      <c r="A1587" s="2">
        <v>1586.0</v>
      </c>
      <c r="B1587" s="5" t="s">
        <v>2877</v>
      </c>
      <c r="C1587" s="6">
        <v>2.0</v>
      </c>
      <c r="D1587" s="7" t="s">
        <v>2877</v>
      </c>
      <c r="E1587" s="8" t="str">
        <f>IFERROR(__xludf.DUMMYFUNCTION("googletranslate(D1587,""id"",""en"")"),"Ppkm = have a boyfriend sadly")</f>
        <v>Ppkm = have a boyfriend sadly</v>
      </c>
    </row>
    <row r="1588" ht="15.75" customHeight="1">
      <c r="A1588" s="2">
        <v>1587.0</v>
      </c>
      <c r="B1588" s="5" t="s">
        <v>2878</v>
      </c>
      <c r="C1588" s="6">
        <v>1.0</v>
      </c>
      <c r="D1588" s="7" t="s">
        <v>2879</v>
      </c>
      <c r="E1588" s="8" t="str">
        <f>IFERROR(__xludf.DUMMYFUNCTION("googletranslate(D1588,""id"",""en"")"),"This ppkm what kind of ppkm, use all levels - levelan ..")</f>
        <v>This ppkm what kind of ppkm, use all levels - levelan ..</v>
      </c>
    </row>
    <row r="1589" ht="15.75" customHeight="1">
      <c r="A1589" s="2">
        <v>1588.0</v>
      </c>
      <c r="B1589" s="5" t="s">
        <v>2880</v>
      </c>
      <c r="C1589" s="6">
        <v>3.0</v>
      </c>
      <c r="D1589" s="7" t="s">
        <v>2881</v>
      </c>
      <c r="E1589" s="8" t="str">
        <f>IFERROR(__xludf.DUMMYFUNCTION("googletranslate(D1589,""id"",""en"")"),"I am patient waiting for PPKM to be completed")</f>
        <v>I am patient waiting for PPKM to be completed</v>
      </c>
    </row>
    <row r="1590" ht="15.75" customHeight="1">
      <c r="A1590" s="2">
        <v>1589.0</v>
      </c>
      <c r="B1590" s="5" t="s">
        <v>2882</v>
      </c>
      <c r="C1590" s="6">
        <v>1.0</v>
      </c>
      <c r="D1590" s="9" t="s">
        <v>2883</v>
      </c>
      <c r="E1590" s="8" t="str">
        <f>IFERROR(__xludf.DUMMYFUNCTION("googletranslate(D1590,""id"",""en"")"),"What? PPKM many who are riding, Lockdown must be Chaos ...")</f>
        <v>What? PPKM many who are riding, Lockdown must be Chaos ...</v>
      </c>
    </row>
    <row r="1591" ht="15.75" customHeight="1">
      <c r="A1591" s="2">
        <v>1590.0</v>
      </c>
      <c r="B1591" s="5" t="s">
        <v>2884</v>
      </c>
      <c r="C1591" s="6">
        <v>1.0</v>
      </c>
      <c r="D1591" s="7" t="s">
        <v>2885</v>
      </c>
      <c r="E1591" s="8" t="str">
        <f>IFERROR(__xludf.DUMMYFUNCTION("googletranslate(D1591,""id"",""en"")"),"Deg degan because of PPKM Ivo Mah, afraid of being banned by the Task Force")</f>
        <v>Deg degan because of PPKM Ivo Mah, afraid of being banned by the Task Force</v>
      </c>
    </row>
    <row r="1592" ht="15.75" customHeight="1">
      <c r="A1592" s="2">
        <v>1591.0</v>
      </c>
      <c r="B1592" s="5" t="s">
        <v>2886</v>
      </c>
      <c r="C1592" s="6">
        <v>1.0</v>
      </c>
      <c r="D1592" s="9" t="s">
        <v>2887</v>
      </c>
      <c r="E1592" s="8" t="str">
        <f>IFERROR(__xludf.DUMMYFUNCTION("googletranslate(D1592,""id"",""en"")"),"Confused about where to replace the PPKM cover, and the Law is the same. Who bang psbb and ppkm is not quarantine here I'm a boool to use pointed bamboo")</f>
        <v>Confused about where to replace the PPKM cover, and the Law is the same. Who bang psbb and ppkm is not quarantine here I'm a boool to use pointed bamboo</v>
      </c>
    </row>
    <row r="1593" ht="15.75" customHeight="1">
      <c r="A1593" s="2">
        <v>1592.0</v>
      </c>
      <c r="B1593" s="5" t="s">
        <v>2888</v>
      </c>
      <c r="C1593" s="6">
        <v>2.0</v>
      </c>
      <c r="D1593" s="7" t="s">
        <v>2889</v>
      </c>
      <c r="E1593" s="8" t="str">
        <f>IFERROR(__xludf.DUMMYFUNCTION("googletranslate(D1593,""id"",""en"")"),"There is a rule that tickles me at the Emergency PPKM version. Awarung meal in the open space is permitted to open until the time of meals for a maximum of minutes. Is this what told to hold the timer?")</f>
        <v>There is a rule that tickles me at the Emergency PPKM version. Awarung meal in the open space is permitted to open until the time of meals for a maximum of minutes. Is this what told to hold the timer?</v>
      </c>
    </row>
    <row r="1594" ht="15.75" customHeight="1">
      <c r="A1594" s="2">
        <v>1593.0</v>
      </c>
      <c r="B1594" s="5" t="s">
        <v>2890</v>
      </c>
      <c r="C1594" s="6">
        <v>2.0</v>
      </c>
      <c r="D1594" s="7" t="s">
        <v>2890</v>
      </c>
      <c r="E1594" s="8" t="str">
        <f>IFERROR(__xludf.DUMMYFUNCTION("googletranslate(D1594,""id"",""en"")"),"PGN watches the father of Okin please in the broker ngide bgt ppkm extended")</f>
        <v>PGN watches the father of Okin please in the broker ngide bgt ppkm extended</v>
      </c>
    </row>
    <row r="1595" ht="15.75" customHeight="1">
      <c r="A1595" s="2">
        <v>1594.0</v>
      </c>
      <c r="B1595" s="5" t="s">
        <v>2891</v>
      </c>
      <c r="C1595" s="6">
        <v>1.0</v>
      </c>
      <c r="D1595" s="7" t="s">
        <v>2892</v>
      </c>
      <c r="E1595" s="8" t="str">
        <f>IFERROR(__xludf.DUMMYFUNCTION("googletranslate(D1595,""id"",""en"")"),"The Bansos where many victims have fallen due to PPKM and the government's violence")</f>
        <v>The Bansos where many victims have fallen due to PPKM and the government's violence</v>
      </c>
    </row>
    <row r="1596" ht="15.75" customHeight="1">
      <c r="A1596" s="2">
        <v>1595.0</v>
      </c>
      <c r="B1596" s="5" t="s">
        <v>2893</v>
      </c>
      <c r="C1596" s="6">
        <v>2.0</v>
      </c>
      <c r="D1596" s="9" t="s">
        <v>2894</v>
      </c>
      <c r="E1596" s="8" t="str">
        <f>IFERROR(__xludf.DUMMYFUNCTION("googletranslate(D1596,""id"",""en"")"),"So want to be steak21 ayce. But again PPKM level doesn't know in Medan. Hmmm")</f>
        <v>So want to be steak21 ayce. But again PPKM level doesn't know in Medan. Hmmm</v>
      </c>
    </row>
    <row r="1597" ht="15.75" customHeight="1">
      <c r="A1597" s="2">
        <v>1596.0</v>
      </c>
      <c r="B1597" s="5" t="s">
        <v>2895</v>
      </c>
      <c r="C1597" s="6">
        <v>2.0</v>
      </c>
      <c r="D1597" s="7" t="s">
        <v>2896</v>
      </c>
      <c r="E1597" s="8" t="str">
        <f>IFERROR(__xludf.DUMMYFUNCTION("googletranslate(D1597,""id"",""en"")"),"The PPKM assignment letter to ride the KRL is true of the effect of a month or not")</f>
        <v>The PPKM assignment letter to ride the KRL is true of the effect of a month or not</v>
      </c>
    </row>
    <row r="1598" ht="15.75" customHeight="1">
      <c r="A1598" s="2">
        <v>1597.0</v>
      </c>
      <c r="B1598" s="5" t="s">
        <v>2897</v>
      </c>
      <c r="C1598" s="6">
        <v>1.0</v>
      </c>
      <c r="D1598" s="7" t="s">
        <v>2898</v>
      </c>
      <c r="E1598" s="8" t="str">
        <f>IFERROR(__xludf.DUMMYFUNCTION("googletranslate(D1598,""id"",""en"")"),"PPKM-level Emergency Level Ngga Pedes -Level Half Pedes -Level Rubber Rubber Pedes2-Level Full Pedes Don't Tear Sobek Sangsi's Problems and Rules According to the Udel")</f>
        <v>PPKM-level Emergency Level Ngga Pedes -Level Half Pedes -Level Rubber Rubber Pedes2-Level Full Pedes Don't Tear Sobek Sangsi's Problems and Rules According to the Udel</v>
      </c>
    </row>
    <row r="1599" ht="15.75" customHeight="1">
      <c r="A1599" s="2">
        <v>1598.0</v>
      </c>
      <c r="B1599" s="5" t="s">
        <v>2899</v>
      </c>
      <c r="C1599" s="6">
        <v>3.0</v>
      </c>
      <c r="D1599" s="7" t="s">
        <v>2900</v>
      </c>
      <c r="E1599" s="8" t="str">
        <f>IFERROR(__xludf.DUMMYFUNCTION("googletranslate(D1599,""id"",""en"")"),"Allhamdulillah, sis, I'm still going to be well, hopefully this month the Kaka PPKM will get more, sis, sis the bansos!")</f>
        <v>Allhamdulillah, sis, I'm still going to be well, hopefully this month the Kaka PPKM will get more, sis, sis the bansos!</v>
      </c>
    </row>
    <row r="1600" ht="15.75" customHeight="1">
      <c r="A1600" s="2">
        <v>1599.0</v>
      </c>
      <c r="B1600" s="5" t="s">
        <v>2901</v>
      </c>
      <c r="C1600" s="6">
        <v>2.0</v>
      </c>
      <c r="D1600" s="7" t="s">
        <v>2901</v>
      </c>
      <c r="E1600" s="8" t="str">
        <f>IFERROR(__xludf.DUMMYFUNCTION("googletranslate(D1600,""id"",""en"")"),"As long as the PPKM is often scolded by his wife because if asked, I never answered, I wanted to help you work on home too. Even though it's right according to the government's suggestion to stay home.")</f>
        <v>As long as the PPKM is often scolded by his wife because if asked, I never answered, I wanted to help you work on home too. Even though it's right according to the government's suggestion to stay home.</v>
      </c>
    </row>
    <row r="1601" ht="15.75" customHeight="1">
      <c r="A1601" s="2">
        <v>1600.0</v>
      </c>
      <c r="B1601" s="5" t="s">
        <v>2902</v>
      </c>
      <c r="C1601" s="6">
        <v>1.0</v>
      </c>
      <c r="D1601" s="7" t="s">
        <v>2903</v>
      </c>
      <c r="E1601" s="8" t="str">
        <f>IFERROR(__xludf.DUMMYFUNCTION("googletranslate(D1601,""id"",""en"")"),"The term Emergency PPKM will be converted to the level of $ Number $, where the entry level category = Emergency PPKM ... this country has just used Candy Crush. That whole loss from the word ""quarantine"" so it can't be sued by SCR Law?")</f>
        <v>The term Emergency PPKM will be converted to the level of $ Number $, where the entry level category = Emergency PPKM ... this country has just used Candy Crush. That whole loss from the word "quarantine" so it can't be sued by SCR Law?</v>
      </c>
    </row>
    <row r="1602" ht="15.75" customHeight="1">
      <c r="A1602" s="2">
        <v>1601.0</v>
      </c>
      <c r="B1602" s="5" t="s">
        <v>2904</v>
      </c>
      <c r="C1602" s="6">
        <v>1.0</v>
      </c>
      <c r="D1602" s="9" t="s">
        <v>2905</v>
      </c>
      <c r="E1602" s="8" t="str">
        <f>IFERROR(__xludf.DUMMYFUNCTION("googletranslate(D1602,""id"",""en"")"),"How Emergency PPKM will be effective, if it has concerned the word of law enforcement is not able to do anything. How dare it just be with small traders, restaurants etc. Already just this PPKM. Just focus on masif vaccination &amp; amp; Prokes. And let all e"&amp;"conomic activities run")</f>
        <v>How Emergency PPKM will be effective, if it has concerned the word of law enforcement is not able to do anything. How dare it just be with small traders, restaurants etc. Already just this PPKM. Just focus on masif vaccination &amp; amp; Prokes. And let all economic activities run</v>
      </c>
    </row>
    <row r="1603" ht="15.75" customHeight="1">
      <c r="A1603" s="2">
        <v>1602.0</v>
      </c>
      <c r="B1603" s="5" t="s">
        <v>2906</v>
      </c>
      <c r="C1603" s="6">
        <v>2.0</v>
      </c>
      <c r="D1603" s="7" t="s">
        <v>2907</v>
      </c>
      <c r="E1603" s="8" t="str">
        <f>IFERROR(__xludf.DUMMYFUNCTION("googletranslate(D1603,""id"",""en"")"),"I like PPKM Gapake M")</f>
        <v>I like PPKM Gapake M</v>
      </c>
    </row>
    <row r="1604" ht="15.75" customHeight="1">
      <c r="A1604" s="2">
        <v>1603.0</v>
      </c>
      <c r="B1604" s="5" t="s">
        <v>2908</v>
      </c>
      <c r="C1604" s="6">
        <v>2.0</v>
      </c>
      <c r="D1604" s="7" t="s">
        <v>2909</v>
      </c>
      <c r="E1604" s="8" t="str">
        <f>IFERROR(__xludf.DUMMYFUNCTION("googletranslate(D1604,""id"",""en"")"),"PPKM February Jakarta")</f>
        <v>PPKM February Jakarta</v>
      </c>
    </row>
    <row r="1605" ht="15.75" customHeight="1">
      <c r="A1605" s="2">
        <v>1604.0</v>
      </c>
      <c r="B1605" s="5" t="s">
        <v>2910</v>
      </c>
      <c r="C1605" s="6">
        <v>1.0</v>
      </c>
      <c r="D1605" s="7" t="s">
        <v>2911</v>
      </c>
      <c r="E1605" s="8" t="str">
        <f>IFERROR(__xludf.DUMMYFUNCTION("googletranslate(D1605,""id"",""en"")"),"Jogja City KTP, living in Kab.Bantul, work in Kab.Sleman, enthusiasm penetrating the PPKM barricade!")</f>
        <v>Jogja City KTP, living in Kab.Bantul, work in Kab.Sleman, enthusiasm penetrating the PPKM barricade!</v>
      </c>
    </row>
    <row r="1606" ht="15.75" customHeight="1">
      <c r="A1606" s="2">
        <v>1605.0</v>
      </c>
      <c r="B1606" s="5" t="s">
        <v>2912</v>
      </c>
      <c r="C1606" s="6">
        <v>2.0</v>
      </c>
      <c r="D1606" s="7" t="s">
        <v>2913</v>
      </c>
      <c r="E1606" s="8" t="str">
        <f>IFERROR(__xludf.DUMMYFUNCTION("googletranslate(D1606,""id"",""en"")"),"wkwkwk my hand emg like brutal alike can't be diem so yes while going to the mall lgi ppkm")</f>
        <v>wkwkwk my hand emg like brutal alike can't be diem so yes while going to the mall lgi ppkm</v>
      </c>
    </row>
    <row r="1607" ht="15.75" customHeight="1">
      <c r="A1607" s="2">
        <v>1606.0</v>
      </c>
      <c r="B1607" s="5" t="s">
        <v>2914</v>
      </c>
      <c r="C1607" s="6">
        <v>2.0</v>
      </c>
      <c r="D1607" s="9" t="s">
        <v>2914</v>
      </c>
      <c r="E1607" s="8" t="str">
        <f>IFERROR(__xludf.DUMMYFUNCTION("googletranslate(D1607,""id"",""en"")"),"Ppkm = slowly if you enter")</f>
        <v>Ppkm = slowly if you enter</v>
      </c>
    </row>
    <row r="1608" ht="15.75" customHeight="1">
      <c r="A1608" s="2">
        <v>1607.0</v>
      </c>
      <c r="B1608" s="5" t="s">
        <v>2915</v>
      </c>
      <c r="C1608" s="6">
        <v>3.0</v>
      </c>
      <c r="D1608" s="7" t="s">
        <v>2916</v>
      </c>
      <c r="E1608" s="8" t="str">
        <f>IFERROR(__xludf.DUMMYFUNCTION("googletranslate(D1608,""id"",""en"")"),"Many don't work at TLSemoga can be entertainment at the time of the PPKM Extends Healthy Fixed Spirit of Have A Nice Day")</f>
        <v>Many don't work at TLSemoga can be entertainment at the time of the PPKM Extends Healthy Fixed Spirit of Have A Nice Day</v>
      </c>
    </row>
    <row r="1609" ht="15.75" customHeight="1">
      <c r="A1609" s="2">
        <v>1608.0</v>
      </c>
      <c r="B1609" s="5" t="s">
        <v>2917</v>
      </c>
      <c r="C1609" s="6">
        <v>1.0</v>
      </c>
      <c r="D1609" s="9" t="s">
        <v>2918</v>
      </c>
      <c r="E1609" s="8" t="str">
        <f>IFERROR(__xludf.DUMMYFUNCTION("googletranslate(D1609,""id"",""en"")"),"If it's right before the PPKM, the morning it's raining it is ""disaster"" for us the ice tea traders poci nd the seller of drinks + the other ice ... but now it's a blessing, coz doesn't do it, the important thing is the next week's cigarette stock is st"&amp;"ill safe with controlled ... unemployment")</f>
        <v>If it's right before the PPKM, the morning it's raining it is "disaster" for us the ice tea traders poci nd the seller of drinks + the other ice ... but now it's a blessing, coz doesn't do it, the important thing is the next week's cigarette stock is still safe with controlled ... unemployment</v>
      </c>
    </row>
    <row r="1610" ht="15.75" customHeight="1">
      <c r="A1610" s="2">
        <v>1609.0</v>
      </c>
      <c r="B1610" s="5" t="s">
        <v>2919</v>
      </c>
      <c r="C1610" s="6">
        <v>1.0</v>
      </c>
      <c r="D1610" s="9" t="s">
        <v>2920</v>
      </c>
      <c r="E1610" s="8" t="str">
        <f>IFERROR(__xludf.DUMMYFUNCTION("googletranslate(D1610,""id"",""en"")"),"yes for a group of stubborn, it doesn't affect PPKM ... it's still there are funds that can be corrupted ... the stomach is not kwatir ... if you get the law, the law is foxed so that you can get it ...")</f>
        <v>yes for a group of stubborn, it doesn't affect PPKM ... it's still there are funds that can be corrupted ... the stomach is not kwatir ... if you get the law, the law is foxed so that you can get it ...</v>
      </c>
    </row>
    <row r="1611" ht="15.75" customHeight="1">
      <c r="A1611" s="2">
        <v>1610.0</v>
      </c>
      <c r="B1611" s="5" t="s">
        <v>2921</v>
      </c>
      <c r="C1611" s="6">
        <v>3.0</v>
      </c>
      <c r="D1611" s="9" t="s">
        <v>2922</v>
      </c>
      <c r="E1611" s="8" t="str">
        <f>IFERROR(__xludf.DUMMYFUNCTION("googletranslate(D1611,""id"",""en"")"),"People since PPKM become more creative, salute")</f>
        <v>People since PPKM become more creative, salute</v>
      </c>
    </row>
    <row r="1612" ht="15.75" customHeight="1">
      <c r="A1612" s="2">
        <v>1611.0</v>
      </c>
      <c r="B1612" s="5" t="s">
        <v>2923</v>
      </c>
      <c r="C1612" s="6">
        <v>2.0</v>
      </c>
      <c r="D1612" s="7" t="s">
        <v>2924</v>
      </c>
      <c r="E1612" s="8" t="str">
        <f>IFERROR(__xludf.DUMMYFUNCTION("googletranslate(D1612,""id"",""en"")"),"Min want to ask, during this PPKM angkot GP, Elf car, &amp; amp; Angkot in the city of D1-D9 still operates normally or not?")</f>
        <v>Min want to ask, during this PPKM angkot GP, Elf car, &amp; amp; Angkot in the city of D1-D9 still operates normally or not?</v>
      </c>
    </row>
    <row r="1613" ht="15.75" customHeight="1">
      <c r="A1613" s="2">
        <v>1612.0</v>
      </c>
      <c r="B1613" s="5" t="s">
        <v>2925</v>
      </c>
      <c r="C1613" s="6">
        <v>2.0</v>
      </c>
      <c r="D1613" s="7" t="s">
        <v>2925</v>
      </c>
      <c r="E1613" s="8" t="str">
        <f>IFERROR(__xludf.DUMMYFUNCTION("googletranslate(D1613,""id"",""en"")"),"Is the PPKM already finished ??")</f>
        <v>Is the PPKM already finished ??</v>
      </c>
    </row>
    <row r="1614" ht="15.75" customHeight="1">
      <c r="A1614" s="2">
        <v>1613.0</v>
      </c>
      <c r="B1614" s="5" t="s">
        <v>2926</v>
      </c>
      <c r="C1614" s="6">
        <v>1.0</v>
      </c>
      <c r="D1614" s="9" t="s">
        <v>2927</v>
      </c>
      <c r="E1614" s="8" t="str">
        <f>IFERROR(__xludf.DUMMYFUNCTION("googletranslate(D1614,""id"",""en"")"),"If you are asked to be grateful that I am grateful, I am only the PPKM system that he said, it was not working at home at home, my father was just looking for work money outside, if I couldn't work, I wanted to go on the way.")</f>
        <v>If you are asked to be grateful that I am grateful, I am only the PPKM system that he said, it was not working at home at home, my father was just looking for work money outside, if I couldn't work, I wanted to go on the way.</v>
      </c>
    </row>
    <row r="1615" ht="15.75" customHeight="1">
      <c r="A1615" s="2">
        <v>1614.0</v>
      </c>
      <c r="B1615" s="5" t="s">
        <v>2928</v>
      </c>
      <c r="C1615" s="6">
        <v>1.0</v>
      </c>
      <c r="D1615" s="7" t="s">
        <v>2929</v>
      </c>
      <c r="E1615" s="8" t="str">
        <f>IFERROR(__xludf.DUMMYFUNCTION("googletranslate(D1615,""id"",""en"")"),"Huft is not ADO Happynya PPKM")</f>
        <v>Huft is not ADO Happynya PPKM</v>
      </c>
    </row>
    <row r="1616" ht="15.75" customHeight="1">
      <c r="A1616" s="2">
        <v>1615.0</v>
      </c>
      <c r="B1616" s="5" t="s">
        <v>2930</v>
      </c>
      <c r="C1616" s="6">
        <v>2.0</v>
      </c>
      <c r="D1616" s="9" t="s">
        <v>2931</v>
      </c>
      <c r="E1616" s="8" t="str">
        <f>IFERROR(__xludf.DUMMYFUNCTION("googletranslate(D1616,""id"",""en"")"),"Hey my ppkm sappol numbers hugs unless there is a taste")</f>
        <v>Hey my ppkm sappol numbers hugs unless there is a taste</v>
      </c>
    </row>
    <row r="1617" ht="15.75" customHeight="1">
      <c r="A1617" s="2">
        <v>1616.0</v>
      </c>
      <c r="B1617" s="5" t="s">
        <v>2932</v>
      </c>
      <c r="C1617" s="6">
        <v>1.0</v>
      </c>
      <c r="D1617" s="9" t="s">
        <v>2933</v>
      </c>
      <c r="E1617" s="8" t="str">
        <f>IFERROR(__xludf.DUMMYFUNCTION("googletranslate(D1617,""id"",""en"")"),"It used to also say that, the proof of the police is still allowing the hoax spreader about vaccines, Hoax about PPKM, Hoax about Covid. Even though the culprit is from the same group.")</f>
        <v>It used to also say that, the proof of the police is still allowing the hoax spreader about vaccines, Hoax about PPKM, Hoax about Covid. Even though the culprit is from the same group.</v>
      </c>
    </row>
    <row r="1618" ht="15.75" customHeight="1">
      <c r="A1618" s="2">
        <v>1617.0</v>
      </c>
      <c r="B1618" s="5" t="s">
        <v>2934</v>
      </c>
      <c r="C1618" s="6">
        <v>1.0</v>
      </c>
      <c r="D1618" s="9" t="s">
        <v>2935</v>
      </c>
      <c r="E1618" s="8" t="str">
        <f>IFERROR(__xludf.DUMMYFUNCTION("googletranslate(D1618,""id"",""en"")"),"I don't agree with the way PPKM, I suggest tightened proces and m")</f>
        <v>I don't agree with the way PPKM, I suggest tightened proces and m</v>
      </c>
    </row>
    <row r="1619" ht="15.75" customHeight="1">
      <c r="A1619" s="2">
        <v>1618.0</v>
      </c>
      <c r="B1619" s="5" t="s">
        <v>2936</v>
      </c>
      <c r="C1619" s="6">
        <v>2.0</v>
      </c>
      <c r="D1619" s="7" t="s">
        <v>2937</v>
      </c>
      <c r="E1619" s="8" t="str">
        <f>IFERROR(__xludf.DUMMYFUNCTION("googletranslate(D1619,""id"",""en"")"),"Kirain PPKM Pro.")</f>
        <v>Kirain PPKM Pro.</v>
      </c>
    </row>
    <row r="1620" ht="15.75" customHeight="1">
      <c r="A1620" s="2">
        <v>1619.0</v>
      </c>
      <c r="B1620" s="5" t="s">
        <v>2938</v>
      </c>
      <c r="C1620" s="6">
        <v>2.0</v>
      </c>
      <c r="D1620" s="10" t="s">
        <v>2939</v>
      </c>
      <c r="E1620" s="8" t="str">
        <f>IFERROR(__xludf.DUMMYFUNCTION("googletranslate(D1620,""id"",""en"")"),"PPKM Mas.")</f>
        <v>PPKM Mas.</v>
      </c>
    </row>
    <row r="1621" ht="15.75" customHeight="1">
      <c r="A1621" s="2">
        <v>1620.0</v>
      </c>
      <c r="B1621" s="5" t="s">
        <v>2940</v>
      </c>
      <c r="C1621" s="6">
        <v>1.0</v>
      </c>
      <c r="D1621" s="7" t="s">
        <v>2941</v>
      </c>
      <c r="E1621" s="8" t="str">
        <f>IFERROR(__xludf.DUMMYFUNCTION("googletranslate(D1621,""id"",""en"")"),"But sir, if the Indonesian stock market collapsed and fomes weakened until the end of the year, will it be PPKM to the end of the year?")</f>
        <v>But sir, if the Indonesian stock market collapsed and fomes weakened until the end of the year, will it be PPKM to the end of the year?</v>
      </c>
    </row>
    <row r="1622" ht="15.75" customHeight="1">
      <c r="A1622" s="2">
        <v>1621.0</v>
      </c>
      <c r="B1622" s="5" t="s">
        <v>2942</v>
      </c>
      <c r="C1622" s="6">
        <v>2.0</v>
      </c>
      <c r="D1622" s="7" t="s">
        <v>2942</v>
      </c>
      <c r="E1622" s="8" t="str">
        <f>IFERROR(__xludf.DUMMYFUNCTION("googletranslate(D1622,""id"",""en"")"),"Passing through the Slm Corona, PSBB and PPKM with the same org xixixi")</f>
        <v>Passing through the Slm Corona, PSBB and PPKM with the same org xixixi</v>
      </c>
    </row>
    <row r="1623" ht="15.75" customHeight="1">
      <c r="A1623" s="2">
        <v>1622.0</v>
      </c>
      <c r="B1623" s="5" t="s">
        <v>2943</v>
      </c>
      <c r="C1623" s="6">
        <v>2.0</v>
      </c>
      <c r="D1623" s="7" t="s">
        <v>2943</v>
      </c>
      <c r="E1623" s="8" t="str">
        <f>IFERROR(__xludf.DUMMYFUNCTION("googletranslate(D1623,""id"",""en"")"),"Banjarmasin PPKM?")</f>
        <v>Banjarmasin PPKM?</v>
      </c>
    </row>
    <row r="1624" ht="15.75" customHeight="1">
      <c r="A1624" s="2">
        <v>1623.0</v>
      </c>
      <c r="B1624" s="5" t="s">
        <v>2944</v>
      </c>
      <c r="C1624" s="6">
        <v>2.0</v>
      </c>
      <c r="D1624" s="7" t="s">
        <v>2944</v>
      </c>
      <c r="E1624" s="8" t="str">
        <f>IFERROR(__xludf.DUMMYFUNCTION("googletranslate(D1624,""id"",""en"")"),"This PPKM is not extended right?")</f>
        <v>This PPKM is not extended right?</v>
      </c>
    </row>
    <row r="1625" ht="15.75" customHeight="1">
      <c r="A1625" s="2">
        <v>1624.0</v>
      </c>
      <c r="B1625" s="5" t="s">
        <v>2945</v>
      </c>
      <c r="C1625" s="6">
        <v>3.0</v>
      </c>
      <c r="D1625" s="7" t="s">
        <v>2946</v>
      </c>
      <c r="E1625" s="8" t="str">
        <f>IFERROR(__xludf.DUMMYFUNCTION("googletranslate(D1625,""id"",""en"")"),"Tetep Santuy even though PPKM was extended.")</f>
        <v>Tetep Santuy even though PPKM was extended.</v>
      </c>
    </row>
    <row r="1626" ht="15.75" customHeight="1">
      <c r="A1626" s="2">
        <v>1625.0</v>
      </c>
      <c r="B1626" s="5" t="s">
        <v>2947</v>
      </c>
      <c r="C1626" s="6">
        <v>1.0</v>
      </c>
      <c r="D1626" s="9" t="s">
        <v>2947</v>
      </c>
      <c r="E1626" s="8" t="str">
        <f>IFERROR(__xludf.DUMMYFUNCTION("googletranslate(D1626,""id"",""en"")"),"PPKM = PLANGA PLONGO LESS MONEY")</f>
        <v>PPKM = PLANGA PLONGO LESS MONEY</v>
      </c>
    </row>
    <row r="1627" ht="15.75" customHeight="1">
      <c r="A1627" s="2">
        <v>1626.0</v>
      </c>
      <c r="B1627" s="5" t="s">
        <v>2948</v>
      </c>
      <c r="C1627" s="6">
        <v>2.0</v>
      </c>
      <c r="D1627" s="7" t="s">
        <v>2948</v>
      </c>
      <c r="E1627" s="8" t="str">
        <f>IFERROR(__xludf.DUMMYFUNCTION("googletranslate(D1627,""id"",""en"")"),"After the PPKM finished we will go to school offline?")</f>
        <v>After the PPKM finished we will go to school offline?</v>
      </c>
    </row>
    <row r="1628" ht="15.75" customHeight="1">
      <c r="A1628" s="2">
        <v>1627.0</v>
      </c>
      <c r="B1628" s="5" t="s">
        <v>2949</v>
      </c>
      <c r="C1628" s="6">
        <v>1.0</v>
      </c>
      <c r="D1628" s="9" t="s">
        <v>2950</v>
      </c>
      <c r="E1628" s="8" t="str">
        <f>IFERROR(__xludf.DUMMYFUNCTION("googletranslate(D1628,""id"",""en"")"),"The choice is only two, lockdown / ppkm and free. Lockdown / PPKM if someone is infected and severe, rumkit and free treatment. If you are free, your own treatment and vaccine. Choose where? If you think it's a brain, it's used. The President thinks of PP"&amp;"KM for the good of the people.")</f>
        <v>The choice is only two, lockdown / ppkm and free. Lockdown / PPKM if someone is infected and severe, rumkit and free treatment. If you are free, your own treatment and vaccine. Choose where? If you think it's a brain, it's used. The President thinks of PPKM for the good of the people.</v>
      </c>
    </row>
    <row r="1629" ht="15.75" customHeight="1">
      <c r="A1629" s="2">
        <v>1628.0</v>
      </c>
      <c r="B1629" s="5" t="s">
        <v>2951</v>
      </c>
      <c r="C1629" s="6">
        <v>1.0</v>
      </c>
      <c r="D1629" s="7" t="s">
        <v>2952</v>
      </c>
      <c r="E1629" s="8" t="str">
        <f>IFERROR(__xludf.DUMMYFUNCTION("googletranslate(D1629,""id"",""en"")"),"Examples of local governments and local figures who have never gercep adhere to the wise goodness of the central government in front of the Bansostapy Affairs of Ngeyel in the truth who is actually the ppkm that is ""a lot"" and the fact that people also "&amp;"ngeylan do not want to be patient so sad")</f>
        <v>Examples of local governments and local figures who have never gercep adhere to the wise goodness of the central government in front of the Bansostapy Affairs of Ngeyel in the truth who is actually the ppkm that is "a lot" and the fact that people also ngeylan do not want to be patient so sad</v>
      </c>
    </row>
    <row r="1630" ht="15.75" customHeight="1">
      <c r="A1630" s="2">
        <v>1629.0</v>
      </c>
      <c r="B1630" s="5" t="s">
        <v>2953</v>
      </c>
      <c r="C1630" s="6">
        <v>2.0</v>
      </c>
      <c r="D1630" s="7" t="s">
        <v>2954</v>
      </c>
      <c r="E1630" s="8" t="str">
        <f>IFERROR(__xludf.DUMMYFUNCTION("googletranslate(D1630,""id"",""en"")"),"Haha, ppkm new subjects huh")</f>
        <v>Haha, ppkm new subjects huh</v>
      </c>
    </row>
    <row r="1631" ht="15.75" customHeight="1">
      <c r="A1631" s="2">
        <v>1630.0</v>
      </c>
      <c r="B1631" s="5" t="s">
        <v>2955</v>
      </c>
      <c r="C1631" s="6">
        <v>2.0</v>
      </c>
      <c r="D1631" s="10" t="s">
        <v>2956</v>
      </c>
      <c r="E1631" s="8" t="str">
        <f>IFERROR(__xludf.DUMMYFUNCTION("googletranslate(D1631,""id"",""en"")"),"PPKM package.")</f>
        <v>PPKM package.</v>
      </c>
    </row>
    <row r="1632" ht="15.75" customHeight="1">
      <c r="A1632" s="2">
        <v>1631.0</v>
      </c>
      <c r="B1632" s="5" t="s">
        <v>2957</v>
      </c>
      <c r="C1632" s="6">
        <v>3.0</v>
      </c>
      <c r="D1632" s="7" t="s">
        <v>2957</v>
      </c>
      <c r="E1632" s="8" t="str">
        <f>IFERROR(__xludf.DUMMYFUNCTION("googletranslate(D1632,""id"",""en"")"),"Although heavy, this emergency PPKM policy cannot be avoided that the government must take to reduce the transmission and condition of the hospital that is overcapacity, so that health services for other critical patients are not disturbed.")</f>
        <v>Although heavy, this emergency PPKM policy cannot be avoided that the government must take to reduce the transmission and condition of the hospital that is overcapacity, so that health services for other critical patients are not disturbed.</v>
      </c>
    </row>
    <row r="1633" ht="15.75" customHeight="1">
      <c r="A1633" s="2">
        <v>1632.0</v>
      </c>
      <c r="B1633" s="5" t="s">
        <v>2958</v>
      </c>
      <c r="C1633" s="6">
        <v>2.0</v>
      </c>
      <c r="D1633" s="9" t="s">
        <v>2958</v>
      </c>
      <c r="E1633" s="8" t="str">
        <f>IFERROR(__xludf.DUMMYFUNCTION("googletranslate(D1633,""id"",""en"")"),"If ppkm gini sbux there is tumblr day or not huh?")</f>
        <v>If ppkm gini sbux there is tumblr day or not huh?</v>
      </c>
    </row>
    <row r="1634" ht="15.75" customHeight="1">
      <c r="A1634" s="2">
        <v>1633.0</v>
      </c>
      <c r="B1634" s="5" t="s">
        <v>2959</v>
      </c>
      <c r="C1634" s="6">
        <v>2.0</v>
      </c>
      <c r="D1634" s="7" t="s">
        <v>2960</v>
      </c>
      <c r="E1634" s="8" t="str">
        <f>IFERROR(__xludf.DUMMYFUNCTION("googletranslate(D1634,""id"",""en"")"),"I want to lie down, PPKM keeps GPP KL")</f>
        <v>I want to lie down, PPKM keeps GPP KL</v>
      </c>
    </row>
    <row r="1635" ht="15.75" customHeight="1">
      <c r="A1635" s="2">
        <v>1634.0</v>
      </c>
      <c r="B1635" s="5" t="s">
        <v>2961</v>
      </c>
      <c r="C1635" s="6">
        <v>1.0</v>
      </c>
      <c r="D1635" s="7" t="s">
        <v>2962</v>
      </c>
      <c r="E1635" s="8" t="str">
        <f>IFERROR(__xludf.DUMMYFUNCTION("googletranslate(D1635,""id"",""en"")"),"Not sacrificed by Dude, but slaughtered to be an extended emergency PPKM victim?")</f>
        <v>Not sacrificed by Dude, but slaughtered to be an extended emergency PPKM victim?</v>
      </c>
    </row>
    <row r="1636" ht="15.75" customHeight="1">
      <c r="A1636" s="2">
        <v>1635.0</v>
      </c>
      <c r="B1636" s="5" t="s">
        <v>2963</v>
      </c>
      <c r="C1636" s="6">
        <v>1.0</v>
      </c>
      <c r="D1636" s="9" t="s">
        <v>2964</v>
      </c>
      <c r="E1636" s="8" t="str">
        <f>IFERROR(__xludf.DUMMYFUNCTION("googletranslate(D1636,""id"",""en"")"),"Good morning Pak.Sy, one of the private employees engaged in plantations in East Kalimantan. Before the PPKM was applied, I carry out annual leave (return home) to North Sumatra. Now the time of my leave will run out, the plan is to return to Samarinda.")</f>
        <v>Good morning Pak.Sy, one of the private employees engaged in plantations in East Kalimantan. Before the PPKM was applied, I carry out annual leave (return home) to North Sumatra. Now the time of my leave will run out, the plan is to return to Samarinda.</v>
      </c>
    </row>
    <row r="1637" ht="15.75" customHeight="1">
      <c r="A1637" s="2">
        <v>1636.0</v>
      </c>
      <c r="B1637" s="5" t="s">
        <v>2965</v>
      </c>
      <c r="C1637" s="6">
        <v>2.0</v>
      </c>
      <c r="D1637" s="10" t="s">
        <v>2966</v>
      </c>
      <c r="E1637" s="8" t="str">
        <f>IFERROR(__xludf.DUMMYFUNCTION("googletranslate(D1637,""id"",""en"")"),"still ppkm tea")</f>
        <v>still ppkm tea</v>
      </c>
    </row>
    <row r="1638" ht="15.75" customHeight="1">
      <c r="A1638" s="2">
        <v>1637.0</v>
      </c>
      <c r="B1638" s="5" t="s">
        <v>2967</v>
      </c>
      <c r="C1638" s="6">
        <v>2.0</v>
      </c>
      <c r="D1638" s="7" t="s">
        <v>2967</v>
      </c>
      <c r="E1638" s="8" t="str">
        <f>IFERROR(__xludf.DUMMYFUNCTION("googletranslate(D1638,""id"",""en"")"),"morning morning choler bath - ppkm")</f>
        <v>morning morning choler bath - ppkm</v>
      </c>
    </row>
    <row r="1639" ht="15.75" customHeight="1">
      <c r="A1639" s="2">
        <v>1638.0</v>
      </c>
      <c r="B1639" s="5" t="s">
        <v>2968</v>
      </c>
      <c r="C1639" s="6">
        <v>2.0</v>
      </c>
      <c r="D1639" s="7" t="s">
        <v>2969</v>
      </c>
      <c r="E1639" s="8" t="str">
        <f>IFERROR(__xludf.DUMMYFUNCTION("googletranslate(D1639,""id"",""en"")"),"From psbb ~ &amp; gt; Ppkm ~ &amp; gt; $ Number level $ ~ &amp; GT; ??? (Still looking for the next term)")</f>
        <v>From psbb ~ &amp; gt; Ppkm ~ &amp; gt; $ Number level $ ~ &amp; GT; ??? (Still looking for the next term)</v>
      </c>
    </row>
    <row r="1640" ht="15.75" customHeight="1">
      <c r="A1640" s="2">
        <v>1639.0</v>
      </c>
      <c r="B1640" s="5" t="s">
        <v>2970</v>
      </c>
      <c r="C1640" s="6">
        <v>1.0</v>
      </c>
      <c r="D1640" s="7" t="s">
        <v>2971</v>
      </c>
      <c r="E1640" s="8" t="str">
        <f>IFERROR(__xludf.DUMMYFUNCTION("googletranslate(D1640,""id"",""en"")"),"Ngenes is not, waiting for Blackwidow from the era, when it has been aired, the PPKM wants to see Blackwidow, yeah. Marvel if you don't quality like something less")</f>
        <v>Ngenes is not, waiting for Blackwidow from the era, when it has been aired, the PPKM wants to see Blackwidow, yeah. Marvel if you don't quality like something less</v>
      </c>
    </row>
    <row r="1641" ht="15.75" customHeight="1">
      <c r="A1641" s="2">
        <v>1640.0</v>
      </c>
      <c r="B1641" s="5" t="s">
        <v>2972</v>
      </c>
      <c r="C1641" s="6">
        <v>2.0</v>
      </c>
      <c r="D1641" s="7" t="s">
        <v>2973</v>
      </c>
      <c r="E1641" s="8" t="str">
        <f>IFERROR(__xludf.DUMMYFUNCTION("googletranslate(D1641,""id"",""en"")"),"I like PPKM Gapake PP")</f>
        <v>I like PPKM Gapake PP</v>
      </c>
    </row>
    <row r="1642" ht="15.75" customHeight="1">
      <c r="A1642" s="2">
        <v>1641.0</v>
      </c>
      <c r="B1642" s="5" t="s">
        <v>2974</v>
      </c>
      <c r="C1642" s="6">
        <v>1.0</v>
      </c>
      <c r="D1642" s="9" t="s">
        <v>2975</v>
      </c>
      <c r="E1642" s="8" t="str">
        <f>IFERROR(__xludf.DUMMYFUNCTION("googletranslate(D1642,""id"",""en"")"),"Assalamualaikum warahmatullahi wabarakatuh, good morning friend")</f>
        <v>Assalamualaikum warahmatullahi wabarakatuh, good morning friend</v>
      </c>
    </row>
    <row r="1643" ht="15.75" customHeight="1">
      <c r="A1643" s="2">
        <v>1642.0</v>
      </c>
      <c r="B1643" s="5" t="s">
        <v>2976</v>
      </c>
      <c r="C1643" s="6">
        <v>2.0</v>
      </c>
      <c r="D1643" s="7" t="s">
        <v>2976</v>
      </c>
      <c r="E1643" s="8" t="str">
        <f>IFERROR(__xludf.DUMMYFUNCTION("googletranslate(D1643,""id"",""en"")"),"Mending PPKM extended until the UCL champion Arsenal")</f>
        <v>Mending PPKM extended until the UCL champion Arsenal</v>
      </c>
    </row>
    <row r="1644" ht="15.75" customHeight="1">
      <c r="A1644" s="2">
        <v>1643.0</v>
      </c>
      <c r="B1644" s="5" t="s">
        <v>2977</v>
      </c>
      <c r="C1644" s="6">
        <v>2.0</v>
      </c>
      <c r="D1644" s="9" t="s">
        <v>2978</v>
      </c>
      <c r="E1644" s="8" t="str">
        <f>IFERROR(__xludf.DUMMYFUNCTION("googletranslate(D1644,""id"",""en"")"),"Malaysia is currently Lockdown. Indonesia is currently PPKM. What are you currently doing")</f>
        <v>Malaysia is currently Lockdown. Indonesia is currently PPKM. What are you currently doing</v>
      </c>
    </row>
    <row r="1645" ht="15.75" customHeight="1">
      <c r="A1645" s="2">
        <v>1644.0</v>
      </c>
      <c r="B1645" s="5" t="s">
        <v>2979</v>
      </c>
      <c r="C1645" s="6">
        <v>1.0</v>
      </c>
      <c r="D1645" s="9" t="s">
        <v>2980</v>
      </c>
      <c r="E1645" s="8" t="str">
        <f>IFERROR(__xludf.DUMMYFUNCTION("googletranslate(D1645,""id"",""en"")"),"Rp. / 30 hr = Rp. What is the mouth divided into the recipient's family")</f>
        <v>Rp. / 30 hr = Rp. What is the mouth divided into the recipient's family</v>
      </c>
    </row>
    <row r="1646" ht="15.75" customHeight="1">
      <c r="A1646" s="2">
        <v>1645.0</v>
      </c>
      <c r="B1646" s="5" t="s">
        <v>2981</v>
      </c>
      <c r="C1646" s="6">
        <v>1.0</v>
      </c>
      <c r="D1646" s="9" t="s">
        <v>2982</v>
      </c>
      <c r="E1646" s="8" t="str">
        <f>IFERROR(__xludf.DUMMYFUNCTION("googletranslate(D1646,""id"",""en"")"),"Some people wanted PPKM, evenockdown and the tip demands social bansos. Several more chosen PPKM was abolished and hoped the prokes became the main shield. I choose the second, org2 who has strong motivation in survival, not only health, the family econom"&amp;"y is also the main priority")</f>
        <v>Some people wanted PPKM, evenockdown and the tip demands social bansos. Several more chosen PPKM was abolished and hoped the prokes became the main shield. I choose the second, org2 who has strong motivation in survival, not only health, the family economy is also the main priority</v>
      </c>
    </row>
    <row r="1647" ht="15.75" customHeight="1">
      <c r="A1647" s="2">
        <v>1646.0</v>
      </c>
      <c r="B1647" s="5" t="s">
        <v>2983</v>
      </c>
      <c r="C1647" s="6">
        <v>2.0</v>
      </c>
      <c r="D1647" s="7" t="s">
        <v>2984</v>
      </c>
      <c r="E1647" s="8" t="str">
        <f>IFERROR(__xludf.DUMMYFUNCTION("googletranslate(D1647,""id"",""en"")"),"UI Chancellor and PPKM use Levels2an raises immune")</f>
        <v>UI Chancellor and PPKM use Levels2an raises immune</v>
      </c>
    </row>
    <row r="1648" ht="15.75" customHeight="1">
      <c r="A1648" s="2">
        <v>1647.0</v>
      </c>
      <c r="B1648" s="5" t="s">
        <v>2985</v>
      </c>
      <c r="C1648" s="6">
        <v>2.0</v>
      </c>
      <c r="D1648" s="7" t="s">
        <v>2985</v>
      </c>
      <c r="E1648" s="8" t="str">
        <f>IFERROR(__xludf.DUMMYFUNCTION("googletranslate(D1648,""id"",""en"")"),"PPKM longer than our relationship")</f>
        <v>PPKM longer than our relationship</v>
      </c>
    </row>
    <row r="1649" ht="15.75" customHeight="1">
      <c r="A1649" s="2">
        <v>1648.0</v>
      </c>
      <c r="B1649" s="5" t="s">
        <v>2986</v>
      </c>
      <c r="C1649" s="6">
        <v>2.0</v>
      </c>
      <c r="D1649" s="9" t="s">
        <v>2987</v>
      </c>
      <c r="E1649" s="8" t="str">
        <f>IFERROR(__xludf.DUMMYFUNCTION("googletranslate(D1649,""id"",""en"")"),"Morning OL, Congratulations back to start activities in the middle of the tasyrik day atmosphere and the extended PPKM, must be enthusiastic. Because if we don't get out of work we don't eat")</f>
        <v>Morning OL, Congratulations back to start activities in the middle of the tasyrik day atmosphere and the extended PPKM, must be enthusiastic. Because if we don't get out of work we don't eat</v>
      </c>
    </row>
    <row r="1650" ht="15.75" customHeight="1">
      <c r="A1650" s="2">
        <v>1649.0</v>
      </c>
      <c r="B1650" s="5" t="s">
        <v>2988</v>
      </c>
      <c r="C1650" s="6">
        <v>1.0</v>
      </c>
      <c r="D1650" s="7" t="s">
        <v>2989</v>
      </c>
      <c r="E1650" s="8" t="str">
        <f>IFERROR(__xludf.DUMMYFUNCTION("googletranslate(D1650,""id"",""en"")"),"ppkm becomes this, the hours of sleep are fucked sad but it's already difficult to return normal")</f>
        <v>ppkm becomes this, the hours of sleep are fucked sad but it's already difficult to return normal</v>
      </c>
    </row>
    <row r="1651" ht="15.75" customHeight="1">
      <c r="A1651" s="2">
        <v>1650.0</v>
      </c>
      <c r="B1651" s="5" t="s">
        <v>2990</v>
      </c>
      <c r="C1651" s="6">
        <v>1.0</v>
      </c>
      <c r="D1651" s="7" t="s">
        <v>2990</v>
      </c>
      <c r="E1651" s="8" t="str">
        <f>IFERROR(__xludf.DUMMYFUNCTION("googletranslate(D1651,""id"",""en"")"),"Sorry, yesterday was the transfer of the issue of PPKM")</f>
        <v>Sorry, yesterday was the transfer of the issue of PPKM</v>
      </c>
    </row>
    <row r="1652" ht="15.75" customHeight="1">
      <c r="A1652" s="2">
        <v>1651.0</v>
      </c>
      <c r="B1652" s="5" t="s">
        <v>2991</v>
      </c>
      <c r="C1652" s="6">
        <v>2.0</v>
      </c>
      <c r="D1652" s="9" t="s">
        <v>2992</v>
      </c>
      <c r="E1652" s="8" t="str">
        <f>IFERROR(__xludf.DUMMYFUNCTION("googletranslate(D1652,""id"",""en"")"),"Extended Luweh, Sing Important Mari PPKM immediately converts")</f>
        <v>Extended Luweh, Sing Important Mari PPKM immediately converts</v>
      </c>
    </row>
    <row r="1653" ht="15.75" customHeight="1">
      <c r="A1653" s="2">
        <v>1652.0</v>
      </c>
      <c r="B1653" s="5" t="s">
        <v>2993</v>
      </c>
      <c r="C1653" s="6">
        <v>2.0</v>
      </c>
      <c r="D1653" s="7" t="s">
        <v>2994</v>
      </c>
      <c r="E1653" s="8" t="str">
        <f>IFERROR(__xludf.DUMMYFUNCTION("googletranslate(D1653,""id"",""en"")"),"PPKM means slowly I love you")</f>
        <v>PPKM means slowly I love you</v>
      </c>
    </row>
    <row r="1654" ht="15.75" customHeight="1">
      <c r="A1654" s="2">
        <v>1653.0</v>
      </c>
      <c r="B1654" s="5" t="s">
        <v>2995</v>
      </c>
      <c r="C1654" s="6">
        <v>2.0</v>
      </c>
      <c r="D1654" s="7" t="s">
        <v>2995</v>
      </c>
      <c r="E1654" s="8" t="str">
        <f>IFERROR(__xludf.DUMMYFUNCTION("googletranslate(D1654,""id"",""en"")"),"Muezzin. Entertainment when PPKM is extended. It's easy for a penalty shootout.")</f>
        <v>Muezzin. Entertainment when PPKM is extended. It's easy for a penalty shootout.</v>
      </c>
    </row>
    <row r="1655" ht="15.75" customHeight="1">
      <c r="A1655" s="2">
        <v>1654.0</v>
      </c>
      <c r="B1655" s="5" t="s">
        <v>2996</v>
      </c>
      <c r="C1655" s="6">
        <v>2.0</v>
      </c>
      <c r="D1655" s="7" t="s">
        <v>2997</v>
      </c>
      <c r="E1655" s="8" t="str">
        <f>IFERROR(__xludf.DUMMYFUNCTION("googletranslate(D1655,""id"",""en"")"),"Different Lockdown with PPKM")</f>
        <v>Different Lockdown with PPKM</v>
      </c>
    </row>
    <row r="1656" ht="15.75" customHeight="1">
      <c r="A1656" s="2">
        <v>1655.0</v>
      </c>
      <c r="B1656" s="5" t="s">
        <v>2998</v>
      </c>
      <c r="C1656" s="6">
        <v>1.0</v>
      </c>
      <c r="D1656" s="7" t="s">
        <v>2999</v>
      </c>
      <c r="E1656" s="8" t="str">
        <f>IFERROR(__xludf.DUMMYFUNCTION("googletranslate(D1656,""id"",""en"")"),"My question is why the government imposes a very clear PPKM decision that the people's economy is destroyed, but it doesn't have to force the prokes ... for the sake of the people. That is tight without the limit of activity. Utgas continues to escort not"&amp;" threatening. Piss.")</f>
        <v>My question is why the government imposes a very clear PPKM decision that the people's economy is destroyed, but it doesn't have to force the prokes ... for the sake of the people. That is tight without the limit of activity. Utgas continues to escort not threatening. Piss.</v>
      </c>
    </row>
    <row r="1657" ht="15.75" customHeight="1">
      <c r="A1657" s="2">
        <v>1656.0</v>
      </c>
      <c r="B1657" s="5" t="s">
        <v>3000</v>
      </c>
      <c r="C1657" s="6">
        <v>1.0</v>
      </c>
      <c r="D1657" s="9" t="s">
        <v>3001</v>
      </c>
      <c r="E1657" s="8" t="str">
        <f>IFERROR(__xludf.DUMMYFUNCTION("googletranslate(D1657,""id"",""en"")"),"The PPKM is not good, but the pain is not much compared to losing people you love Think again. Behind the house there are people who die.")</f>
        <v>The PPKM is not good, but the pain is not much compared to losing people you love Think again. Behind the house there are people who die.</v>
      </c>
    </row>
    <row r="1658" ht="15.75" customHeight="1">
      <c r="A1658" s="2">
        <v>1657.0</v>
      </c>
      <c r="B1658" s="5" t="s">
        <v>3002</v>
      </c>
      <c r="C1658" s="6">
        <v>3.0</v>
      </c>
      <c r="D1658" s="7" t="s">
        <v>3003</v>
      </c>
      <c r="E1658" s="8" t="str">
        <f>IFERROR(__xludf.DUMMYFUNCTION("googletranslate(D1658,""id"",""en"")"),"In an emergency PPKM state and according to the Kemenag. We carry out idhul adha prayers at home ... our joint efforts")</f>
        <v>In an emergency PPKM state and according to the Kemenag. We carry out idhul adha prayers at home ... our joint efforts</v>
      </c>
    </row>
    <row r="1659" ht="15.75" customHeight="1">
      <c r="A1659" s="2">
        <v>1658.0</v>
      </c>
      <c r="B1659" s="5" t="s">
        <v>3004</v>
      </c>
      <c r="C1659" s="6">
        <v>2.0</v>
      </c>
      <c r="D1659" s="9" t="s">
        <v>3004</v>
      </c>
      <c r="E1659" s="8" t="str">
        <f>IFERROR(__xludf.DUMMYFUNCTION("googletranslate(D1659,""id"",""en"")"),"Does PPKM solutions reduce the supply of victims of Covid-19?")</f>
        <v>Does PPKM solutions reduce the supply of victims of Covid-19?</v>
      </c>
    </row>
    <row r="1660" ht="15.75" customHeight="1">
      <c r="A1660" s="2">
        <v>1659.0</v>
      </c>
      <c r="B1660" s="5" t="s">
        <v>3005</v>
      </c>
      <c r="C1660" s="6">
        <v>2.0</v>
      </c>
      <c r="D1660" s="7" t="s">
        <v>3006</v>
      </c>
      <c r="E1660" s="8" t="str">
        <f>IFERROR(__xludf.DUMMYFUNCTION("googletranslate(D1660,""id"",""en"")"),"IMendagri mentions micro ppkm ...")</f>
        <v>IMendagri mentions micro ppkm ...</v>
      </c>
    </row>
    <row r="1661" ht="15.75" customHeight="1">
      <c r="A1661" s="2">
        <v>1660.0</v>
      </c>
      <c r="B1661" s="5" t="s">
        <v>3007</v>
      </c>
      <c r="C1661" s="6">
        <v>2.0</v>
      </c>
      <c r="D1661" s="7" t="s">
        <v>3007</v>
      </c>
      <c r="E1661" s="8" t="str">
        <f>IFERROR(__xludf.DUMMYFUNCTION("googletranslate(D1661,""id"",""en"")"),"PPKM is extended again: ')")</f>
        <v>PPKM is extended again: ')</v>
      </c>
    </row>
    <row r="1662" ht="15.75" customHeight="1">
      <c r="A1662" s="2">
        <v>1661.0</v>
      </c>
      <c r="B1662" s="5" t="s">
        <v>3008</v>
      </c>
      <c r="C1662" s="6">
        <v>2.0</v>
      </c>
      <c r="D1662" s="9" t="s">
        <v>3009</v>
      </c>
      <c r="E1662" s="8" t="str">
        <f>IFERROR(__xludf.DUMMYFUNCTION("googletranslate(D1662,""id"",""en"")"),"Call it first for the ppkm ppkm")</f>
        <v>Call it first for the ppkm ppkm</v>
      </c>
    </row>
    <row r="1663" ht="15.75" customHeight="1">
      <c r="A1663" s="2">
        <v>1662.0</v>
      </c>
      <c r="B1663" s="5" t="s">
        <v>3010</v>
      </c>
      <c r="C1663" s="6">
        <v>1.0</v>
      </c>
      <c r="D1663" s="9" t="s">
        <v>3011</v>
      </c>
      <c r="E1663" s="8" t="str">
        <f>IFERROR(__xludf.DUMMYFUNCTION("googletranslate(D1663,""id"",""en"")"),"SERVICES If, try the salary of all civil servants, BUMN, Indonesian National Police officers, health workers are cut by% during the PPKM, so that they know to be small traders and daily workers how. All y, not a copy of the influencer employee. It's easy "&amp;"for the virus to disappear slowly so that the salary has not been cut off")</f>
        <v>SERVICES If, try the salary of all civil servants, BUMN, Indonesian National Police officers, health workers are cut by% during the PPKM, so that they know to be small traders and daily workers how. All y, not a copy of the influencer employee. It's easy for the virus to disappear slowly so that the salary has not been cut off</v>
      </c>
    </row>
    <row r="1664" ht="15.75" customHeight="1">
      <c r="A1664" s="2">
        <v>1663.0</v>
      </c>
      <c r="B1664" s="5" t="s">
        <v>3012</v>
      </c>
      <c r="C1664" s="6">
        <v>1.0</v>
      </c>
      <c r="D1664" s="7" t="s">
        <v>3013</v>
      </c>
      <c r="E1664" s="8" t="str">
        <f>IFERROR(__xludf.DUMMYFUNCTION("googletranslate(D1664,""id"",""en"")"),"The impression is bored at the house of mah im also glad extends because of screw those people, but if it's a person who has been difficult to find a living ppkm can't find a living, yeah ... less agree")</f>
        <v>The impression is bored at the house of mah im also glad extends because of screw those people, but if it's a person who has been difficult to find a living ppkm can't find a living, yeah ... less agree</v>
      </c>
    </row>
    <row r="1665" ht="15.75" customHeight="1">
      <c r="A1665" s="2">
        <v>1664.0</v>
      </c>
      <c r="B1665" s="5" t="s">
        <v>3014</v>
      </c>
      <c r="C1665" s="6">
        <v>2.0</v>
      </c>
      <c r="D1665" s="7" t="s">
        <v>3015</v>
      </c>
      <c r="E1665" s="8" t="str">
        <f>IFERROR(__xludf.DUMMYFUNCTION("googletranslate(D1665,""id"",""en"")"),"The new KT PPKM is the second? (Read on IG Beritamedan)")</f>
        <v>The new KT PPKM is the second? (Read on IG Beritamedan)</v>
      </c>
    </row>
    <row r="1666" ht="15.75" customHeight="1">
      <c r="A1666" s="2">
        <v>1665.0</v>
      </c>
      <c r="B1666" s="5" t="s">
        <v>3016</v>
      </c>
      <c r="C1666" s="6">
        <v>2.0</v>
      </c>
      <c r="D1666" s="7" t="s">
        <v>3017</v>
      </c>
      <c r="E1666" s="8" t="str">
        <f>IFERROR(__xludf.DUMMYFUNCTION("googletranslate(D1666,""id"",""en"")"),"More and more ... is there anyone can when the PPKM yesterday ????")</f>
        <v>More and more ... is there anyone can when the PPKM yesterday ????</v>
      </c>
    </row>
    <row r="1667" ht="15.75" customHeight="1">
      <c r="A1667" s="2">
        <v>1666.0</v>
      </c>
      <c r="B1667" s="5" t="s">
        <v>3018</v>
      </c>
      <c r="C1667" s="6">
        <v>2.0</v>
      </c>
      <c r="D1667" s="7" t="s">
        <v>3018</v>
      </c>
      <c r="E1667" s="8" t="str">
        <f>IFERROR(__xludf.DUMMYFUNCTION("googletranslate(D1667,""id"",""en"")"),"Can dream there is a fixed reserves of PPKM")</f>
        <v>Can dream there is a fixed reserves of PPKM</v>
      </c>
    </row>
    <row r="1668" ht="15.75" customHeight="1">
      <c r="A1668" s="2">
        <v>1667.0</v>
      </c>
      <c r="B1668" s="5" t="s">
        <v>3019</v>
      </c>
      <c r="C1668" s="6">
        <v>1.0</v>
      </c>
      <c r="D1668" s="9" t="s">
        <v>3020</v>
      </c>
      <c r="E1668" s="8" t="str">
        <f>IFERROR(__xludf.DUMMYFUNCTION("googletranslate(D1668,""id"",""en"")"),"The extension of the PPKM will make the longer the race of the fading fights ""An Sappol with the people ... and it will be made fun of the same netizen")</f>
        <v>The extension of the PPKM will make the longer the race of the fading fights "An Sappol with the people ... and it will be made fun of the same netizen</v>
      </c>
    </row>
    <row r="1669" ht="15.75" customHeight="1">
      <c r="A1669" s="2">
        <v>1668.0</v>
      </c>
      <c r="B1669" s="5" t="s">
        <v>3021</v>
      </c>
      <c r="C1669" s="6">
        <v>3.0</v>
      </c>
      <c r="D1669" s="7" t="s">
        <v>3022</v>
      </c>
      <c r="E1669" s="8" t="str">
        <f>IFERROR(__xludf.DUMMYFUNCTION("googletranslate(D1669,""id"",""en"")"),"Extension of PPKM - &amp; GT; WFH almost week. Just grateful ...")</f>
        <v>Extension of PPKM - &amp; GT; WFH almost week. Just grateful ...</v>
      </c>
    </row>
    <row r="1670" ht="15.75" customHeight="1">
      <c r="A1670" s="2">
        <v>1669.0</v>
      </c>
      <c r="B1670" s="5" t="s">
        <v>3023</v>
      </c>
      <c r="C1670" s="6">
        <v>1.0</v>
      </c>
      <c r="D1670" s="7" t="s">
        <v>3024</v>
      </c>
      <c r="E1670" s="8" t="str">
        <f>IFERROR(__xludf.DUMMYFUNCTION("googletranslate(D1670,""id"",""en"")"),"- Vaccines become business objects, corrupt, infiltrate Chinese TKA to Indonesia! - People reject PPKM! - Bangkalan Madura, the people of Dhadang Police when entering the mosque for Eid al-Adha prayer. Jokowi Communist PKI RMZ Prayer!: //")</f>
        <v>- Vaccines become business objects, corrupt, infiltrate Chinese TKA to Indonesia! - People reject PPKM! - Bangkalan Madura, the people of Dhadang Police when entering the mosque for Eid al-Adha prayer. Jokowi Communist PKI RMZ Prayer!: //</v>
      </c>
    </row>
    <row r="1671" ht="15.75" customHeight="1">
      <c r="A1671" s="2">
        <v>1670.0</v>
      </c>
      <c r="B1671" s="5" t="s">
        <v>3025</v>
      </c>
      <c r="C1671" s="6">
        <v>2.0</v>
      </c>
      <c r="D1671" s="7" t="s">
        <v>3026</v>
      </c>
      <c r="E1671" s="8" t="str">
        <f>IFERROR(__xludf.DUMMYFUNCTION("googletranslate(D1671,""id"",""en"")"),"Is it possible because the more flights then the flight schedule also changes a lot because of the effects of the PPKM huh?")</f>
        <v>Is it possible because the more flights then the flight schedule also changes a lot because of the effects of the PPKM huh?</v>
      </c>
    </row>
    <row r="1672" ht="15.75" customHeight="1">
      <c r="A1672" s="2">
        <v>1671.0</v>
      </c>
      <c r="B1672" s="5" t="s">
        <v>3027</v>
      </c>
      <c r="C1672" s="6">
        <v>2.0</v>
      </c>
      <c r="D1672" s="7" t="s">
        <v>3028</v>
      </c>
      <c r="E1672" s="8" t="str">
        <f>IFERROR(__xludf.DUMMYFUNCTION("googletranslate(D1672,""id"",""en"")"),"Maybe anymore, when historical lessons, the test questions added: when the Covid-19 pandemic period, when did Indonesia impose Emergency PPKM? When did Indonesia change the name of the Emergency PPKM with a $ Number level?")</f>
        <v>Maybe anymore, when historical lessons, the test questions added: when the Covid-19 pandemic period, when did Indonesia impose Emergency PPKM? When did Indonesia change the name of the Emergency PPKM with a $ Number level?</v>
      </c>
    </row>
    <row r="1673" ht="15.75" customHeight="1">
      <c r="A1673" s="2">
        <v>1672.0</v>
      </c>
      <c r="B1673" s="5" t="s">
        <v>3029</v>
      </c>
      <c r="C1673" s="6">
        <v>2.0</v>
      </c>
      <c r="D1673" s="7" t="s">
        <v>3030</v>
      </c>
      <c r="E1673" s="8" t="str">
        <f>IFERROR(__xludf.DUMMYFUNCTION("googletranslate(D1673,""id"",""en"")"),"It should be a cheerful PPKM.")</f>
        <v>It should be a cheerful PPKM.</v>
      </c>
    </row>
    <row r="1674" ht="15.75" customHeight="1">
      <c r="A1674" s="2">
        <v>1673.0</v>
      </c>
      <c r="B1674" s="5" t="s">
        <v>3031</v>
      </c>
      <c r="C1674" s="6">
        <v>2.0</v>
      </c>
      <c r="D1674" s="7" t="s">
        <v>3031</v>
      </c>
      <c r="E1674" s="8" t="str">
        <f>IFERROR(__xludf.DUMMYFUNCTION("googletranslate(D1674,""id"",""en"")"),"Ppkm so when when?")</f>
        <v>Ppkm so when when?</v>
      </c>
    </row>
    <row r="1675" ht="15.75" customHeight="1">
      <c r="A1675" s="2">
        <v>1674.0</v>
      </c>
      <c r="B1675" s="5" t="s">
        <v>3032</v>
      </c>
      <c r="C1675" s="6">
        <v>3.0</v>
      </c>
      <c r="D1675" s="7" t="s">
        <v>3033</v>
      </c>
      <c r="E1675" s="8" t="str">
        <f>IFERROR(__xludf.DUMMYFUNCTION("googletranslate(D1675,""id"",""en"")"),"As long as the trend of Corona sufferers is still high, PPKM will continue to be applied. Come on, succeed the vaccination and continue to do Prokes M. Reject Hoax News and heresy provocations that make this pandemic protracted")</f>
        <v>As long as the trend of Corona sufferers is still high, PPKM will continue to be applied. Come on, succeed the vaccination and continue to do Prokes M. Reject Hoax News and heresy provocations that make this pandemic protracted</v>
      </c>
    </row>
    <row r="1676" ht="15.75" customHeight="1">
      <c r="A1676" s="2">
        <v>1675.0</v>
      </c>
      <c r="B1676" s="5" t="s">
        <v>3034</v>
      </c>
      <c r="C1676" s="6">
        <v>2.0</v>
      </c>
      <c r="D1676" s="7" t="s">
        <v>3035</v>
      </c>
      <c r="E1676" s="8" t="str">
        <f>IFERROR(__xludf.DUMMYFUNCTION("googletranslate(D1676,""id"",""en"")"),"President Jokowi about PPKM ... continued ...?")</f>
        <v>President Jokowi about PPKM ... continued ...?</v>
      </c>
    </row>
    <row r="1677" ht="15.75" customHeight="1">
      <c r="A1677" s="2">
        <v>1676.0</v>
      </c>
      <c r="B1677" s="5" t="s">
        <v>3036</v>
      </c>
      <c r="C1677" s="6">
        <v>1.0</v>
      </c>
      <c r="D1677" s="7" t="s">
        <v>3036</v>
      </c>
      <c r="E1677" s="8" t="str">
        <f>IFERROR(__xludf.DUMMYFUNCTION("googletranslate(D1677,""id"",""en"")"),"Hi Sis who likes to eat but you want to be thin, you can let this cool shirt. Bs help, bro, my shop is quiet since the PPKM is selling online.")</f>
        <v>Hi Sis who likes to eat but you want to be thin, you can let this cool shirt. Bs help, bro, my shop is quiet since the PPKM is selling online.</v>
      </c>
    </row>
    <row r="1678" ht="15.75" customHeight="1">
      <c r="A1678" s="2">
        <v>1677.0</v>
      </c>
      <c r="B1678" s="5" t="s">
        <v>3037</v>
      </c>
      <c r="C1678" s="6">
        <v>1.0</v>
      </c>
      <c r="D1678" s="7" t="s">
        <v>3037</v>
      </c>
      <c r="E1678" s="8" t="str">
        <f>IFERROR(__xludf.DUMMYFUNCTION("googletranslate(D1678,""id"",""en"")"),"Ppkm sampek next year just boss")</f>
        <v>Ppkm sampek next year just boss</v>
      </c>
    </row>
    <row r="1679" ht="15.75" customHeight="1">
      <c r="A1679" s="2">
        <v>1678.0</v>
      </c>
      <c r="B1679" s="5" t="s">
        <v>3038</v>
      </c>
      <c r="C1679" s="6">
        <v>2.0</v>
      </c>
      <c r="D1679" s="7" t="s">
        <v>3039</v>
      </c>
      <c r="E1679" s="8" t="str">
        <f>IFERROR(__xludf.DUMMYFUNCTION("googletranslate(D1679,""id"",""en"")"),"West Papua..ppkm.")</f>
        <v>West Papua..ppkm.</v>
      </c>
    </row>
    <row r="1680" ht="15.75" customHeight="1">
      <c r="A1680" s="2">
        <v>1679.0</v>
      </c>
      <c r="B1680" s="5" t="s">
        <v>3040</v>
      </c>
      <c r="C1680" s="6">
        <v>2.0</v>
      </c>
      <c r="D1680" s="7" t="s">
        <v>3041</v>
      </c>
      <c r="E1680" s="8" t="str">
        <f>IFERROR(__xludf.DUMMYFUNCTION("googletranslate(D1680,""id"",""en"")"),"The PPKM is extended guys. Really right, ppkm: slowly we slowly widen. When will open the gym?")</f>
        <v>The PPKM is extended guys. Really right, ppkm: slowly we slowly widen. When will open the gym?</v>
      </c>
    </row>
    <row r="1681" ht="15.75" customHeight="1">
      <c r="A1681" s="2">
        <v>1680.0</v>
      </c>
      <c r="B1681" s="5" t="s">
        <v>3042</v>
      </c>
      <c r="C1681" s="6">
        <v>1.0</v>
      </c>
      <c r="D1681" s="9" t="s">
        <v>3043</v>
      </c>
      <c r="E1681" s="8" t="str">
        <f>IFERROR(__xludf.DUMMYFUNCTION("googletranslate(D1681,""id"",""en"")"),"It seems like it's not strange, in Kalimalang in the market source artha hours still on coffee, if there is complicated checks if there is a TV that is ngeliput")</f>
        <v>It seems like it's not strange, in Kalimalang in the market source artha hours still on coffee, if there is complicated checks if there is a TV that is ngeliput</v>
      </c>
    </row>
    <row r="1682" ht="15.75" customHeight="1">
      <c r="A1682" s="2">
        <v>1681.0</v>
      </c>
      <c r="B1682" s="5" t="s">
        <v>3044</v>
      </c>
      <c r="C1682" s="6">
        <v>1.0</v>
      </c>
      <c r="D1682" s="7" t="s">
        <v>3045</v>
      </c>
      <c r="E1682" s="8" t="str">
        <f>IFERROR(__xludf.DUMMYFUNCTION("googletranslate(D1682,""id"",""en"")"),"Even though the case declined not because of PPKM but because the testing was down")</f>
        <v>Even though the case declined not because of PPKM but because the testing was down</v>
      </c>
    </row>
    <row r="1683" ht="15.75" customHeight="1">
      <c r="A1683" s="2">
        <v>1682.0</v>
      </c>
      <c r="B1683" s="5" t="s">
        <v>3046</v>
      </c>
      <c r="C1683" s="6">
        <v>2.0</v>
      </c>
      <c r="D1683" s="7" t="s">
        <v>3047</v>
      </c>
      <c r="E1683" s="8" t="str">
        <f>IFERROR(__xludf.DUMMYFUNCTION("googletranslate(D1683,""id"",""en"")"),"PPKM is the same as the CPNS registration is what yak? extended")</f>
        <v>PPKM is the same as the CPNS registration is what yak? extended</v>
      </c>
    </row>
    <row r="1684" ht="15.75" customHeight="1">
      <c r="A1684" s="2">
        <v>1683.0</v>
      </c>
      <c r="B1684" s="5" t="s">
        <v>3048</v>
      </c>
      <c r="C1684" s="6">
        <v>2.0</v>
      </c>
      <c r="D1684" s="9" t="s">
        <v>3049</v>
      </c>
      <c r="E1684" s="8" t="str">
        <f>IFERROR(__xludf.DUMMYFUNCTION("googletranslate(D1684,""id"",""en"")"),"Belomm, wait for the PPKM to finish its kek")</f>
        <v>Belomm, wait for the PPKM to finish its kek</v>
      </c>
    </row>
    <row r="1685" ht="15.75" customHeight="1">
      <c r="A1685" s="2">
        <v>1684.0</v>
      </c>
      <c r="B1685" s="5" t="s">
        <v>3050</v>
      </c>
      <c r="C1685" s="6">
        <v>1.0</v>
      </c>
      <c r="D1685" s="7" t="s">
        <v>3051</v>
      </c>
      <c r="E1685" s="8" t="str">
        <f>IFERROR(__xludf.DUMMYFUNCTION("googletranslate(D1685,""id"",""en"")"),"Gapapa si haha ​​kageeet ajaaaagaragara ppkm nyuakss so gbisa shaving hair")</f>
        <v>Gapapa si haha ​​kageeet ajaaaagaragara ppkm nyuakss so gbisa shaving hair</v>
      </c>
    </row>
    <row r="1686" ht="15.75" customHeight="1">
      <c r="A1686" s="2">
        <v>1685.0</v>
      </c>
      <c r="B1686" s="5" t="s">
        <v>3052</v>
      </c>
      <c r="C1686" s="6">
        <v>1.0</v>
      </c>
      <c r="D1686" s="7" t="s">
        <v>3053</v>
      </c>
      <c r="E1686" s="8" t="str">
        <f>IFERROR(__xludf.DUMMYFUNCTION("googletranslate(D1686,""id"",""en"")"),"Psi mingkem ttg ppkm, what's the same different buzzer?")</f>
        <v>Psi mingkem ttg ppkm, what's the same different buzzer?</v>
      </c>
    </row>
    <row r="1687" ht="15.75" customHeight="1">
      <c r="A1687" s="2">
        <v>1686.0</v>
      </c>
      <c r="B1687" s="5" t="s">
        <v>3054</v>
      </c>
      <c r="C1687" s="6">
        <v>3.0</v>
      </c>
      <c r="D1687" s="7" t="s">
        <v>3055</v>
      </c>
      <c r="E1687" s="8" t="str">
        <f>IFERROR(__xludf.DUMMYFUNCTION("googletranslate(D1687,""id"",""en"")"),"In order for successful Emergency PPKM: 1. The government continues to remind the community to reduce mobilization and tighten M2. The community continues to remind the government to improve the performance of the Social Security Program and Gen. Full T.")</f>
        <v>In order for successful Emergency PPKM: 1. The government continues to remind the community to reduce mobilization and tighten M2. The community continues to remind the government to improve the performance of the Social Security Program and Gen. Full T.</v>
      </c>
    </row>
    <row r="1688" ht="15.75" customHeight="1">
      <c r="A1688" s="2">
        <v>1687.0</v>
      </c>
      <c r="B1688" s="5" t="s">
        <v>3056</v>
      </c>
      <c r="C1688" s="6">
        <v>1.0</v>
      </c>
      <c r="D1688" s="7" t="s">
        <v>3057</v>
      </c>
      <c r="E1688" s="8" t="str">
        <f>IFERROR(__xludf.DUMMYFUNCTION("googletranslate(D1688,""id"",""en"")"),"Failed buzzerp to use extended ppkm. FAILED ALSO BUZZERP also authorized the ban on the position. Twktwktwktwktwk.")</f>
        <v>Failed buzzerp to use extended ppkm. FAILED ALSO BUZZERP also authorized the ban on the position. Twktwktwktwktwk.</v>
      </c>
    </row>
    <row r="1689" ht="15.75" customHeight="1">
      <c r="A1689" s="2">
        <v>1688.0</v>
      </c>
      <c r="B1689" s="5" t="s">
        <v>3058</v>
      </c>
      <c r="C1689" s="6">
        <v>1.0</v>
      </c>
      <c r="D1689" s="7" t="s">
        <v>3059</v>
      </c>
      <c r="E1689" s="8" t="str">
        <f>IFERROR(__xludf.DUMMYFUNCTION("googletranslate(D1689,""id"",""en"")"),"Earning effect of PPKM times: ') Miris")</f>
        <v>Earning effect of PPKM times: ') Miris</v>
      </c>
    </row>
    <row r="1690" ht="15.75" customHeight="1">
      <c r="A1690" s="2">
        <v>1689.0</v>
      </c>
      <c r="B1690" s="5" t="s">
        <v>3060</v>
      </c>
      <c r="C1690" s="6">
        <v>1.0</v>
      </c>
      <c r="D1690" s="7" t="s">
        <v>3061</v>
      </c>
      <c r="E1690" s="8" t="str">
        <f>IFERROR(__xludf.DUMMYFUNCTION("googletranslate(D1690,""id"",""en"")"),"I was so quiet if he chated by the Bales, he was a long time, it took a friend to chat, for PPKM")</f>
        <v>I was so quiet if he chated by the Bales, he was a long time, it took a friend to chat, for PPKM</v>
      </c>
    </row>
    <row r="1691" ht="15.75" customHeight="1">
      <c r="A1691" s="2">
        <v>1690.0</v>
      </c>
      <c r="B1691" s="5" t="s">
        <v>3062</v>
      </c>
      <c r="C1691" s="6">
        <v>1.0</v>
      </c>
      <c r="D1691" s="7" t="s">
        <v>3063</v>
      </c>
      <c r="E1691" s="8" t="str">
        <f>IFERROR(__xludf.DUMMYFUNCTION("googletranslate(D1691,""id"",""en"")"),"Since the beginning I have already blg, the implementation of PSBB / PPKM perce will not be effective. It should be without a time limit with the support of policies that are inexperienced policies")</f>
        <v>Since the beginning I have already blg, the implementation of PSBB / PPKM perce will not be effective. It should be without a time limit with the support of policies that are inexperienced policies</v>
      </c>
    </row>
    <row r="1692" ht="15.75" customHeight="1">
      <c r="A1692" s="2">
        <v>1691.0</v>
      </c>
      <c r="B1692" s="5" t="s">
        <v>3064</v>
      </c>
      <c r="C1692" s="6">
        <v>1.0</v>
      </c>
      <c r="D1692" s="7" t="s">
        <v>3065</v>
      </c>
      <c r="E1692" s="8" t="str">
        <f>IFERROR(__xludf.DUMMYFUNCTION("googletranslate(D1692,""id"",""en"")"),"Why do you make a statement of mencla mencla..lhawong turns ppkm ...")</f>
        <v>Why do you make a statement of mencla mencla..lhawong turns ppkm ...</v>
      </c>
    </row>
    <row r="1693" ht="15.75" customHeight="1">
      <c r="A1693" s="2">
        <v>1692.0</v>
      </c>
      <c r="B1693" s="5" t="s">
        <v>3066</v>
      </c>
      <c r="C1693" s="6">
        <v>3.0</v>
      </c>
      <c r="D1693" s="9" t="s">
        <v>3067</v>
      </c>
      <c r="E1693" s="8" t="str">
        <f>IFERROR(__xludf.DUMMYFUNCTION("googletranslate(D1693,""id"",""en"")"),"Really om PPKM is more humanist, rather than lockdown ... just stay the discipline of the prokes ...")</f>
        <v>Really om PPKM is more humanist, rather than lockdown ... just stay the discipline of the prokes ...</v>
      </c>
    </row>
    <row r="1694" ht="15.75" customHeight="1">
      <c r="A1694" s="2">
        <v>1693.0</v>
      </c>
      <c r="B1694" s="5" t="s">
        <v>3068</v>
      </c>
      <c r="C1694" s="6">
        <v>2.0</v>
      </c>
      <c r="D1694" s="7" t="s">
        <v>3068</v>
      </c>
      <c r="E1694" s="8" t="str">
        <f>IFERROR(__xludf.DUMMYFUNCTION("googletranslate(D1694,""id"",""en"")"),"ppkm = slowly, bro?")</f>
        <v>ppkm = slowly, bro?</v>
      </c>
    </row>
    <row r="1695" ht="15.75" customHeight="1">
      <c r="A1695" s="2">
        <v>1694.0</v>
      </c>
      <c r="B1695" s="5" t="s">
        <v>3069</v>
      </c>
      <c r="C1695" s="6">
        <v>2.0</v>
      </c>
      <c r="D1695" s="7" t="s">
        <v>3070</v>
      </c>
      <c r="E1695" s="8" t="str">
        <f>IFERROR(__xludf.DUMMYFUNCTION("googletranslate(D1695,""id"",""en"")"),"Don't forget the Eid al-Adha day, .... So what does the relationship with PPKM extended to date? Yntkts.")</f>
        <v>Don't forget the Eid al-Adha day, .... So what does the relationship with PPKM extended to date? Yntkts.</v>
      </c>
    </row>
    <row r="1696" ht="15.75" customHeight="1">
      <c r="A1696" s="2">
        <v>1695.0</v>
      </c>
      <c r="B1696" s="5" t="s">
        <v>3071</v>
      </c>
      <c r="C1696" s="6">
        <v>2.0</v>
      </c>
      <c r="D1696" s="7" t="s">
        <v>3072</v>
      </c>
      <c r="E1696" s="8" t="str">
        <f>IFERROR(__xludf.DUMMYFUNCTION("googletranslate(D1696,""id"",""en"")"),"Still, until the date of the PPKM")</f>
        <v>Still, until the date of the PPKM</v>
      </c>
    </row>
    <row r="1697" ht="15.75" customHeight="1">
      <c r="A1697" s="2">
        <v>1696.0</v>
      </c>
      <c r="B1697" s="5" t="s">
        <v>3073</v>
      </c>
      <c r="C1697" s="6">
        <v>1.0</v>
      </c>
      <c r="D1697" s="7" t="s">
        <v>3074</v>
      </c>
      <c r="E1697" s="8" t="str">
        <f>IFERROR(__xludf.DUMMYFUNCTION("googletranslate(D1697,""id"",""en"")"),"Actually in this PPKM period, the money can still be sought but difficult.")</f>
        <v>Actually in this PPKM period, the money can still be sought but difficult.</v>
      </c>
    </row>
    <row r="1698" ht="15.75" customHeight="1">
      <c r="A1698" s="2">
        <v>1697.0</v>
      </c>
      <c r="B1698" s="5" t="s">
        <v>3075</v>
      </c>
      <c r="C1698" s="6">
        <v>1.0</v>
      </c>
      <c r="D1698" s="7" t="s">
        <v>3076</v>
      </c>
      <c r="E1698" s="8" t="str">
        <f>IFERROR(__xludf.DUMMYFUNCTION("googletranslate(D1698,""id"",""en"")"),"Ppkm extended x also there is no result as long as the nyinyir and hoax noise ""finished"" ...")</f>
        <v>Ppkm extended x also there is no result as long as the nyinyir and hoax noise "finished" ...</v>
      </c>
    </row>
    <row r="1699" ht="15.75" customHeight="1">
      <c r="A1699" s="2">
        <v>1698.0</v>
      </c>
      <c r="B1699" s="5" t="s">
        <v>3077</v>
      </c>
      <c r="C1699" s="6">
        <v>1.0</v>
      </c>
      <c r="D1699" s="9" t="s">
        <v>3078</v>
      </c>
      <c r="E1699" s="8" t="str">
        <f>IFERROR(__xludf.DUMMYFUNCTION("googletranslate(D1699,""id"",""en"")"),"Try the demands of this epidemiologist equipped, with demands that the government guarantee the lives of people affected by emergency PPKM, do not cover one-side.")</f>
        <v>Try the demands of this epidemiologist equipped, with demands that the government guarantee the lives of people affected by emergency PPKM, do not cover one-side.</v>
      </c>
    </row>
    <row r="1700" ht="15.75" customHeight="1">
      <c r="A1700" s="2">
        <v>1699.0</v>
      </c>
      <c r="B1700" s="5" t="s">
        <v>3079</v>
      </c>
      <c r="C1700" s="6">
        <v>1.0</v>
      </c>
      <c r="D1700" s="9" t="s">
        <v>3080</v>
      </c>
      <c r="E1700" s="8" t="str">
        <f>IFERROR(__xludf.DUMMYFUNCTION("googletranslate(D1700,""id"",""en"")"),"Bali Lokdon ... Jawa Lokdon Kalimantan Lockdo Sulawesi ... Sumatra ... Lockdon ... because of his boss from the island island ... it won't dare to take this option ... PPKM AE but it goes on")</f>
        <v>Bali Lokdon ... Jawa Lokdon Kalimantan Lockdo Sulawesi ... Sumatra ... Lockdon ... because of his boss from the island island ... it won't dare to take this option ... PPKM AE but it goes on</v>
      </c>
    </row>
    <row r="1701" ht="15.75" customHeight="1">
      <c r="A1701" s="2">
        <v>1700.0</v>
      </c>
      <c r="B1701" s="5" t="s">
        <v>3081</v>
      </c>
      <c r="C1701" s="6">
        <v>1.0</v>
      </c>
      <c r="D1701" s="7" t="s">
        <v>3081</v>
      </c>
      <c r="E1701" s="8" t="str">
        <f>IFERROR(__xludf.DUMMYFUNCTION("googletranslate(D1701,""id"",""en"")"),"It has not understood again about the PPKM extended.")</f>
        <v>It has not understood again about the PPKM extended.</v>
      </c>
    </row>
    <row r="1702" ht="15.75" customHeight="1">
      <c r="A1702" s="2">
        <v>1701.0</v>
      </c>
      <c r="B1702" s="5" t="s">
        <v>3082</v>
      </c>
      <c r="C1702" s="6">
        <v>1.0</v>
      </c>
      <c r="D1702" s="7" t="s">
        <v>3083</v>
      </c>
      <c r="E1702" s="8" t="str">
        <f>IFERROR(__xludf.DUMMYFUNCTION("googletranslate(D1702,""id"",""en"")"),"Modyar Mergo PPKM Extended Not Mergo Covid, Covid Lost Until Replace President")</f>
        <v>Modyar Mergo PPKM Extended Not Mergo Covid, Covid Lost Until Replace President</v>
      </c>
    </row>
    <row r="1703" ht="15.75" customHeight="1">
      <c r="A1703" s="2">
        <v>1702.0</v>
      </c>
      <c r="B1703" s="5" t="s">
        <v>3084</v>
      </c>
      <c r="C1703" s="6">
        <v>2.0</v>
      </c>
      <c r="D1703" s="7" t="s">
        <v>3085</v>
      </c>
      <c r="E1703" s="8" t="str">
        <f>IFERROR(__xludf.DUMMYFUNCTION("googletranslate(D1703,""id"",""en"")"),"So just until this date is PPKM ?? Hmm ...")</f>
        <v>So just until this date is PPKM ?? Hmm ...</v>
      </c>
    </row>
    <row r="1704" ht="15.75" customHeight="1">
      <c r="A1704" s="2">
        <v>1703.0</v>
      </c>
      <c r="B1704" s="5" t="s">
        <v>3086</v>
      </c>
      <c r="C1704" s="6">
        <v>1.0</v>
      </c>
      <c r="D1704" s="9" t="s">
        <v>3087</v>
      </c>
      <c r="E1704" s="8" t="str">
        <f>IFERROR(__xludf.DUMMYFUNCTION("googletranslate(D1704,""id"",""en"")"),"My predictions, PPKM finished, use other terms dock ... but take a break during the non-equivalent treatment in all lines ...")</f>
        <v>My predictions, PPKM finished, use other terms dock ... but take a break during the non-equivalent treatment in all lines ...</v>
      </c>
    </row>
    <row r="1705" ht="15.75" customHeight="1">
      <c r="A1705" s="2">
        <v>1704.0</v>
      </c>
      <c r="B1705" s="5" t="s">
        <v>3088</v>
      </c>
      <c r="C1705" s="6">
        <v>2.0</v>
      </c>
      <c r="D1705" s="10" t="s">
        <v>3089</v>
      </c>
      <c r="E1705" s="8" t="str">
        <f>IFERROR(__xludf.DUMMYFUNCTION("googletranslate(D1705,""id"",""en"")"),"Sek PPKM.")</f>
        <v>Sek PPKM.</v>
      </c>
    </row>
    <row r="1706" ht="15.75" customHeight="1">
      <c r="A1706" s="2">
        <v>1705.0</v>
      </c>
      <c r="B1706" s="5" t="s">
        <v>3090</v>
      </c>
      <c r="C1706" s="6">
        <v>1.0</v>
      </c>
      <c r="D1706" s="7" t="s">
        <v>3091</v>
      </c>
      <c r="E1706" s="8" t="str">
        <f>IFERROR(__xludf.DUMMYFUNCTION("googletranslate(D1706,""id"",""en"")"),"If you need to need to naturally run the road ........ back down ... that's what you should.Agar ... it's not conceived, arises sinking. Damage. But if you draw anyone force &amp; amp; Take tutor ... to stay ... forward. Better ... We ... Reverse Ken.ppkm.Pak"&amp;" sir when backwards.")</f>
        <v>If you need to need to naturally run the road ........ back down ... that's what you should.Agar ... it's not conceived, arises sinking. Damage. But if you draw anyone force &amp; amp; Take tutor ... to stay ... forward. Better ... We ... Reverse Ken.ppkm.Pak sir when backwards.</v>
      </c>
    </row>
    <row r="1707" ht="15.75" customHeight="1">
      <c r="A1707" s="2">
        <v>1706.0</v>
      </c>
      <c r="B1707" s="5" t="s">
        <v>3092</v>
      </c>
      <c r="C1707" s="6">
        <v>3.0</v>
      </c>
      <c r="D1707" s="7" t="s">
        <v>3093</v>
      </c>
      <c r="E1707" s="8" t="str">
        <f>IFERROR(__xludf.DUMMYFUNCTION("googletranslate(D1707,""id"",""en"")"),"Congratulations pagisalam healthy ppkm extension don't make a saggy still enthusiasm")</f>
        <v>Congratulations pagisalam healthy ppkm extension don't make a saggy still enthusiasm</v>
      </c>
    </row>
    <row r="1708" ht="15.75" customHeight="1">
      <c r="A1708" s="2">
        <v>1707.0</v>
      </c>
      <c r="B1708" s="5" t="s">
        <v>3094</v>
      </c>
      <c r="C1708" s="6">
        <v>1.0</v>
      </c>
      <c r="D1708" s="9" t="s">
        <v>3094</v>
      </c>
      <c r="E1708" s="8" t="str">
        <f>IFERROR(__xludf.DUMMYFUNCTION("googletranslate(D1708,""id"",""en"")"),"Cape PPKM, Gelut Keep Sm Mas Boyfriend")</f>
        <v>Cape PPKM, Gelut Keep Sm Mas Boyfriend</v>
      </c>
    </row>
    <row r="1709" ht="15.75" customHeight="1">
      <c r="A1709" s="2">
        <v>1708.0</v>
      </c>
      <c r="B1709" s="5" t="s">
        <v>3095</v>
      </c>
      <c r="C1709" s="6">
        <v>2.0</v>
      </c>
      <c r="D1709" s="9" t="s">
        <v>3096</v>
      </c>
      <c r="E1709" s="8" t="str">
        <f>IFERROR(__xludf.DUMMYFUNCTION("googletranslate(D1709,""id"",""en"")"),"[Cm] Want to ask, my nik in the different PDDIkti nik original. If for example, I listed the wrong KMMI in the PDDIKTI or not? Again PPKM, it has not been able to take care of NIK to the campus TP I want to join the Ministry of Education and Culture Class"&amp;" Huhu")</f>
        <v>[Cm] Want to ask, my nik in the different PDDIkti nik original. If for example, I listed the wrong KMMI in the PDDIKTI or not? Again PPKM, it has not been able to take care of NIK to the campus TP I want to join the Ministry of Education and Culture Class Huhu</v>
      </c>
    </row>
    <row r="1710" ht="15.75" customHeight="1">
      <c r="A1710" s="2">
        <v>1709.0</v>
      </c>
      <c r="B1710" s="5" t="s">
        <v>3097</v>
      </c>
      <c r="C1710" s="6">
        <v>1.0</v>
      </c>
      <c r="D1710" s="9" t="s">
        <v>3098</v>
      </c>
      <c r="E1710" s="8" t="str">
        <f>IFERROR(__xludf.DUMMYFUNCTION("googletranslate(D1710,""id"",""en"")"),"Then now I want to go to work from Plumbon to Cirebon, how come you want to go, haha ​​... how are the news of the city? PPKM &amp; Amp Ribut Office Wag; insulation everywhere, angkot GP &amp; amp; Elef cars still operate GA during PPKM? Really a city situation d"&amp;"uring the last week")</f>
        <v>Then now I want to go to work from Plumbon to Cirebon, how come you want to go, haha ​​... how are the news of the city? PPKM &amp; Amp Ribut Office Wag; insulation everywhere, angkot GP &amp; amp; Elef cars still operate GA during PPKM? Really a city situation during the last week</v>
      </c>
    </row>
    <row r="1711" ht="15.75" customHeight="1">
      <c r="A1711" s="2">
        <v>1710.0</v>
      </c>
      <c r="B1711" s="5" t="s">
        <v>3099</v>
      </c>
      <c r="C1711" s="6">
        <v>2.0</v>
      </c>
      <c r="D1711" s="7" t="s">
        <v>3100</v>
      </c>
      <c r="E1711" s="8" t="str">
        <f>IFERROR(__xludf.DUMMYFUNCTION("googletranslate(D1711,""id"",""en"")"),"Of the many PPKM acronym jokes, this is the most real _")</f>
        <v>Of the many PPKM acronym jokes, this is the most real _</v>
      </c>
    </row>
    <row r="1712" ht="15.75" customHeight="1">
      <c r="A1712" s="2">
        <v>1711.0</v>
      </c>
      <c r="B1712" s="5" t="s">
        <v>3101</v>
      </c>
      <c r="C1712" s="6">
        <v>2.0</v>
      </c>
      <c r="D1712" s="10" t="s">
        <v>3102</v>
      </c>
      <c r="E1712" s="8" t="str">
        <f>IFERROR(__xludf.DUMMYFUNCTION("googletranslate(D1712,""id"",""en"")"),"PPKM Bansos")</f>
        <v>PPKM Bansos</v>
      </c>
    </row>
    <row r="1713" ht="15.75" customHeight="1">
      <c r="A1713" s="2">
        <v>1712.0</v>
      </c>
      <c r="B1713" s="5" t="s">
        <v>3103</v>
      </c>
      <c r="C1713" s="6">
        <v>1.0</v>
      </c>
      <c r="D1713" s="9" t="s">
        <v>3104</v>
      </c>
      <c r="E1713" s="8" t="str">
        <f>IFERROR(__xludf.DUMMYFUNCTION("googletranslate(D1713,""id"",""en"")"),"This makes PPKM rules what a dining competition.")</f>
        <v>This makes PPKM rules what a dining competition.</v>
      </c>
    </row>
    <row r="1714" ht="15.75" customHeight="1">
      <c r="A1714" s="2">
        <v>1713.0</v>
      </c>
      <c r="B1714" s="5" t="s">
        <v>3105</v>
      </c>
      <c r="C1714" s="6">
        <v>1.0</v>
      </c>
      <c r="D1714" s="7" t="s">
        <v>3106</v>
      </c>
      <c r="E1714" s="8" t="str">
        <f>IFERROR(__xludf.DUMMYFUNCTION("googletranslate(D1714,""id"",""en"")"),"Right ... PPKM instead narrows the space for the business world, especially now that the officers are arrogance, don't be extended if it only makes the suffering of prolonged people.")</f>
        <v>Right ... PPKM instead narrows the space for the business world, especially now that the officers are arrogance, don't be extended if it only makes the suffering of prolonged people.</v>
      </c>
    </row>
    <row r="1715" ht="15.75" customHeight="1">
      <c r="A1715" s="2">
        <v>1714.0</v>
      </c>
      <c r="B1715" s="5" t="s">
        <v>3107</v>
      </c>
      <c r="C1715" s="6">
        <v>2.0</v>
      </c>
      <c r="D1715" s="9" t="s">
        <v>3108</v>
      </c>
      <c r="E1715" s="8" t="str">
        <f>IFERROR(__xludf.DUMMYFUNCTION("googletranslate(D1715,""id"",""en"")"),"""Look at other countries, it's already going to Mars and the moon. We still have noise PPKM,"" ""Lu noisy. Every nation has a way. Don't be served ...""")</f>
        <v>"Look at other countries, it's already going to Mars and the moon. We still have noise PPKM," "Lu noisy. Every nation has a way. Don't be served ..."</v>
      </c>
    </row>
    <row r="1716" ht="15.75" customHeight="1">
      <c r="A1716" s="2">
        <v>1715.0</v>
      </c>
      <c r="B1716" s="5" t="s">
        <v>3109</v>
      </c>
      <c r="C1716" s="6">
        <v>2.0</v>
      </c>
      <c r="D1716" s="7" t="s">
        <v>3109</v>
      </c>
      <c r="E1716" s="8" t="str">
        <f>IFERROR(__xludf.DUMMYFUNCTION("googletranslate(D1716,""id"",""en"")"),"PPKM extended, what relationship do we do?")</f>
        <v>PPKM extended, what relationship do we do?</v>
      </c>
    </row>
    <row r="1717" ht="15.75" customHeight="1">
      <c r="A1717" s="2">
        <v>1716.0</v>
      </c>
      <c r="B1717" s="5" t="s">
        <v>3110</v>
      </c>
      <c r="C1717" s="6">
        <v>1.0</v>
      </c>
      <c r="D1717" s="7" t="s">
        <v>3111</v>
      </c>
      <c r="E1717" s="8" t="str">
        <f>IFERROR(__xludf.DUMMYFUNCTION("googletranslate(D1717,""id"",""en"")"),"I went to Jakarta to visit the died brother, because the PPKM was forced to survive, while the provisions wanted to run out now, even the ppkm was extended, there was someone who could help me, I could quickly pulamg")</f>
        <v>I went to Jakarta to visit the died brother, because the PPKM was forced to survive, while the provisions wanted to run out now, even the ppkm was extended, there was someone who could help me, I could quickly pulamg</v>
      </c>
    </row>
    <row r="1718" ht="15.75" customHeight="1">
      <c r="A1718" s="2">
        <v>1717.0</v>
      </c>
      <c r="B1718" s="5" t="s">
        <v>3112</v>
      </c>
      <c r="C1718" s="6">
        <v>2.0</v>
      </c>
      <c r="D1718" s="7" t="s">
        <v>3113</v>
      </c>
      <c r="E1718" s="8" t="str">
        <f>IFERROR(__xludf.DUMMYFUNCTION("googletranslate(D1718,""id"",""en"")"),"Alhamdulillah ... my house installments are paid, ma'am for PPKM?")</f>
        <v>Alhamdulillah ... my house installments are paid, ma'am for PPKM?</v>
      </c>
    </row>
    <row r="1719" ht="15.75" customHeight="1">
      <c r="A1719" s="2">
        <v>1718.0</v>
      </c>
      <c r="B1719" s="5" t="s">
        <v>3114</v>
      </c>
      <c r="C1719" s="6">
        <v>1.0</v>
      </c>
      <c r="D1719" s="9" t="s">
        <v>3115</v>
      </c>
      <c r="E1719" s="8" t="str">
        <f>IFERROR(__xludf.DUMMYFUNCTION("googletranslate(D1719,""id"",""en"")"),"Dizziness of God, PPKM right ""Bkin I stressed. The problem is blomed, if you get sick, work somehow, finance might be tight. It's copy, it's not nurun""")</f>
        <v>Dizziness of God, PPKM right "Bkin I stressed. The problem is blomed, if you get sick, work somehow, finance might be tight. It's copy, it's not nurun"</v>
      </c>
    </row>
    <row r="1720" ht="15.75" customHeight="1">
      <c r="A1720" s="2">
        <v>1719.0</v>
      </c>
      <c r="B1720" s="5" t="s">
        <v>3116</v>
      </c>
      <c r="C1720" s="6">
        <v>1.0</v>
      </c>
      <c r="D1720" s="7" t="s">
        <v>3116</v>
      </c>
      <c r="E1720" s="8" t="str">
        <f>IFERROR(__xludf.DUMMYFUNCTION("googletranslate(D1720,""id"",""en"")"),"PPKM is extended again. Ah never mind")</f>
        <v>PPKM is extended again. Ah never mind</v>
      </c>
    </row>
    <row r="1721" ht="15.75" customHeight="1">
      <c r="A1721" s="2">
        <v>1720.0</v>
      </c>
      <c r="B1721" s="5" t="s">
        <v>3117</v>
      </c>
      <c r="C1721" s="6">
        <v>2.0</v>
      </c>
      <c r="D1721" s="9" t="s">
        <v>3118</v>
      </c>
      <c r="E1721" s="8" t="str">
        <f>IFERROR(__xludf.DUMMYFUNCTION("googletranslate(D1721,""id"",""en"")"),"If we don't get my ppkm, you are swimming")</f>
        <v>If we don't get my ppkm, you are swimming</v>
      </c>
    </row>
    <row r="1722" ht="15.75" customHeight="1">
      <c r="A1722" s="2">
        <v>1721.0</v>
      </c>
      <c r="B1722" s="5" t="s">
        <v>3119</v>
      </c>
      <c r="C1722" s="6">
        <v>1.0</v>
      </c>
      <c r="D1722" s="7" t="s">
        <v>3120</v>
      </c>
      <c r="E1722" s="8" t="str">
        <f>IFERROR(__xludf.DUMMYFUNCTION("googletranslate(D1722,""id"",""en"")"),"Gakuat bun ppkm not finished")</f>
        <v>Gakuat bun ppkm not finished</v>
      </c>
    </row>
    <row r="1723" ht="15.75" customHeight="1">
      <c r="A1723" s="2">
        <v>1722.0</v>
      </c>
      <c r="B1723" s="5" t="s">
        <v>3121</v>
      </c>
      <c r="C1723" s="6">
        <v>1.0</v>
      </c>
      <c r="D1723" s="9" t="s">
        <v>3122</v>
      </c>
      <c r="E1723" s="8" t="str">
        <f>IFERROR(__xludf.DUMMYFUNCTION("googletranslate(D1723,""id"",""en"")"),"Don't smoke first, especially fitting PPKM (slowly we slowly poorly), because income is slightly reduced than usual. Then let it be durable, buy cigarettes, but don't need to be ignored, sir")</f>
        <v>Don't smoke first, especially fitting PPKM (slowly we slowly poorly), because income is slightly reduced than usual. Then let it be durable, buy cigarettes, but don't need to be ignored, sir</v>
      </c>
    </row>
    <row r="1724" ht="15.75" customHeight="1">
      <c r="A1724" s="2">
        <v>1723.0</v>
      </c>
      <c r="B1724" s="5" t="s">
        <v>3123</v>
      </c>
      <c r="C1724" s="6">
        <v>2.0</v>
      </c>
      <c r="D1724" s="7" t="s">
        <v>3123</v>
      </c>
      <c r="E1724" s="8" t="str">
        <f>IFERROR(__xludf.DUMMYFUNCTION("googletranslate(D1724,""id"",""en"")"),"PPKM (Pande Pande We Mute)")</f>
        <v>PPKM (Pande Pande We Mute)</v>
      </c>
    </row>
    <row r="1725" ht="15.75" customHeight="1">
      <c r="A1725" s="2">
        <v>1724.0</v>
      </c>
      <c r="B1725" s="5" t="s">
        <v>3124</v>
      </c>
      <c r="C1725" s="6">
        <v>1.0</v>
      </c>
      <c r="D1725" s="7" t="s">
        <v>3125</v>
      </c>
      <c r="E1725" s="8" t="str">
        <f>IFERROR(__xludf.DUMMYFUNCTION("googletranslate(D1725,""id"",""en"")"),"Dah, it's time for us to work now. Ppkm dah Selsai right? How come, at home, the number goes up,")</f>
        <v>Dah, it's time for us to work now. Ppkm dah Selsai right? How come, at home, the number goes up,</v>
      </c>
    </row>
    <row r="1726" ht="15.75" customHeight="1">
      <c r="A1726" s="2">
        <v>1725.0</v>
      </c>
      <c r="B1726" s="5" t="s">
        <v>3126</v>
      </c>
      <c r="C1726" s="6">
        <v>1.0</v>
      </c>
      <c r="D1726" s="7" t="s">
        <v>3127</v>
      </c>
      <c r="E1726" s="8" t="str">
        <f>IFERROR(__xludf.DUMMYFUNCTION("googletranslate(D1726,""id"",""en"")"),"Their behavior ... we hit the national ppkm sap .... Creett")</f>
        <v>Their behavior ... we hit the national ppkm sap .... Creett</v>
      </c>
    </row>
    <row r="1727" ht="15.75" customHeight="1">
      <c r="A1727" s="2">
        <v>1726.0</v>
      </c>
      <c r="B1727" s="5" t="s">
        <v>3128</v>
      </c>
      <c r="C1727" s="6">
        <v>1.0</v>
      </c>
      <c r="D1727" s="7" t="s">
        <v>3128</v>
      </c>
      <c r="E1727" s="8" t="str">
        <f>IFERROR(__xludf.DUMMYFUNCTION("googletranslate(D1727,""id"",""en"")"),"Is the PPKM a form of government failure ...? So that the validity period is extended.")</f>
        <v>Is the PPKM a form of government failure ...? So that the validity period is extended.</v>
      </c>
    </row>
    <row r="1728" ht="15.75" customHeight="1">
      <c r="A1728" s="2">
        <v>1727.0</v>
      </c>
      <c r="B1728" s="5" t="s">
        <v>3129</v>
      </c>
      <c r="C1728" s="6">
        <v>2.0</v>
      </c>
      <c r="D1728" s="9" t="s">
        <v>3130</v>
      </c>
      <c r="E1728" s="8" t="str">
        <f>IFERROR(__xludf.DUMMYFUNCTION("googletranslate(D1728,""id"",""en"")"),"Belom, PPKM is extended")</f>
        <v>Belom, PPKM is extended</v>
      </c>
    </row>
    <row r="1729" ht="15.75" customHeight="1">
      <c r="A1729" s="2">
        <v>1728.0</v>
      </c>
      <c r="B1729" s="5" t="s">
        <v>3131</v>
      </c>
      <c r="C1729" s="6">
        <v>1.0</v>
      </c>
      <c r="D1729" s="9" t="s">
        <v>3131</v>
      </c>
      <c r="E1729" s="8" t="str">
        <f>IFERROR(__xludf.DUMMYFUNCTION("googletranslate(D1729,""id"",""en"")"),"PPKM: Plonga Plongo Less Money")</f>
        <v>PPKM: Plonga Plongo Less Money</v>
      </c>
    </row>
    <row r="1730" ht="15.75" customHeight="1">
      <c r="A1730" s="2">
        <v>1729.0</v>
      </c>
      <c r="B1730" s="5" t="s">
        <v>3132</v>
      </c>
      <c r="C1730" s="6">
        <v>1.0</v>
      </c>
      <c r="D1730" s="7" t="s">
        <v>3133</v>
      </c>
      <c r="E1730" s="8" t="str">
        <f>IFERROR(__xludf.DUMMYFUNCTION("googletranslate(D1730,""id"",""en"")"),"Buzzerp failed to stem PPKM")</f>
        <v>Buzzerp failed to stem PPKM</v>
      </c>
    </row>
    <row r="1731" ht="15.75" customHeight="1">
      <c r="A1731" s="2">
        <v>1730.0</v>
      </c>
      <c r="B1731" s="5" t="s">
        <v>3134</v>
      </c>
      <c r="C1731" s="6">
        <v>1.0</v>
      </c>
      <c r="D1731" s="9" t="s">
        <v>3135</v>
      </c>
      <c r="E1731" s="8" t="str">
        <f>IFERROR(__xludf.DUMMYFUNCTION("googletranslate(D1731,""id"",""en"")"),"Just hit the PPKM, it's already complaining with Koar2 ... I went bankrupt the month since Covid was present, I could still laugh laughing ...")</f>
        <v>Just hit the PPKM, it's already complaining with Koar2 ... I went bankrupt the month since Covid was present, I could still laugh laughing ...</v>
      </c>
    </row>
    <row r="1732" ht="15.75" customHeight="1">
      <c r="A1732" s="2">
        <v>1731.0</v>
      </c>
      <c r="B1732" s="5" t="s">
        <v>3136</v>
      </c>
      <c r="C1732" s="6">
        <v>1.0</v>
      </c>
      <c r="D1732" s="7" t="s">
        <v>3137</v>
      </c>
      <c r="E1732" s="8" t="str">
        <f>IFERROR(__xludf.DUMMYFUNCTION("googletranslate(D1732,""id"",""en"")"),"So still PPKM, the electricity bill still can't open the store")</f>
        <v>So still PPKM, the electricity bill still can't open the store</v>
      </c>
    </row>
    <row r="1733" ht="15.75" customHeight="1">
      <c r="A1733" s="2">
        <v>1732.0</v>
      </c>
      <c r="B1733" s="5" t="s">
        <v>3138</v>
      </c>
      <c r="C1733" s="6">
        <v>2.0</v>
      </c>
      <c r="D1733" s="7" t="s">
        <v>3139</v>
      </c>
      <c r="E1733" s="8" t="str">
        <f>IFERROR(__xludf.DUMMYFUNCTION("googletranslate(D1733,""id"",""en"")"),"Ppkm in the peripanjanggggggggggggggggggggggggg")</f>
        <v>Ppkm in the peripanjanggggggggggggggggggggggggg</v>
      </c>
    </row>
    <row r="1734" ht="15.75" customHeight="1">
      <c r="A1734" s="2">
        <v>1733.0</v>
      </c>
      <c r="B1734" s="5" t="s">
        <v>3140</v>
      </c>
      <c r="C1734" s="6">
        <v>2.0</v>
      </c>
      <c r="D1734" s="7" t="s">
        <v>3141</v>
      </c>
      <c r="E1734" s="8" t="str">
        <f>IFERROR(__xludf.DUMMYFUNCTION("googletranslate(D1734,""id"",""en"")"),"Good morning, the ppkm is in an extension")</f>
        <v>Good morning, the ppkm is in an extension</v>
      </c>
    </row>
    <row r="1735" ht="15.75" customHeight="1">
      <c r="A1735" s="2">
        <v>1734.0</v>
      </c>
      <c r="B1735" s="5" t="s">
        <v>3142</v>
      </c>
      <c r="C1735" s="6">
        <v>2.0</v>
      </c>
      <c r="D1735" s="7" t="s">
        <v>3143</v>
      </c>
      <c r="E1735" s="8" t="str">
        <f>IFERROR(__xludf.DUMMYFUNCTION("googletranslate(D1735,""id"",""en"")"),"Gmna ni sir? Jd ppkm gabole open at all?")</f>
        <v>Gmna ni sir? Jd ppkm gabole open at all?</v>
      </c>
    </row>
    <row r="1736" ht="15.75" customHeight="1">
      <c r="A1736" s="2">
        <v>1735.0</v>
      </c>
      <c r="B1736" s="5" t="s">
        <v>3144</v>
      </c>
      <c r="C1736" s="6">
        <v>3.0</v>
      </c>
      <c r="D1736" s="7" t="s">
        <v>3145</v>
      </c>
      <c r="E1736" s="8" t="str">
        <f>IFERROR(__xludf.DUMMYFUNCTION("googletranslate(D1736,""id"",""en"")"),"Aquarius Minhp Udh There Is Sestpi Klw Mimin Mw I Love Alhmdllh Bngt For Zoom MettingSemoga Shoppe More Exsist Wlwpn In Central PPKM")</f>
        <v>Aquarius Minhp Udh There Is Sestpi Klw Mimin Mw I Love Alhmdllh Bngt For Zoom MettingSemoga Shoppe More Exsist Wlwpn In Central PPKM</v>
      </c>
    </row>
    <row r="1737" ht="15.75" customHeight="1">
      <c r="A1737" s="2">
        <v>1736.0</v>
      </c>
      <c r="B1737" s="5" t="s">
        <v>3146</v>
      </c>
      <c r="C1737" s="6">
        <v>3.0</v>
      </c>
      <c r="D1737" s="9" t="s">
        <v>3147</v>
      </c>
      <c r="E1737" s="8" t="str">
        <f>IFERROR(__xludf.DUMMYFUNCTION("googletranslate(D1737,""id"",""en"")"),"Met morning Gaes, it doesn't count the wFH DG PPKM. It feels like it's convenient with the xtra work that works more work. I feel productive, but so it's ttp pingin break too. Applg Klu look at the empty road, it looks good for walking. Stay spirit for WF"&amp;"H. Have a great wednesday My Friends")</f>
        <v>Met morning Gaes, it doesn't count the wFH DG PPKM. It feels like it's convenient with the xtra work that works more work. I feel productive, but so it's ttp pingin break too. Applg Klu look at the empty road, it looks good for walking. Stay spirit for WFH. Have a great wednesday My Friends</v>
      </c>
    </row>
    <row r="1738" ht="15.75" customHeight="1">
      <c r="A1738" s="2">
        <v>1737.0</v>
      </c>
      <c r="B1738" s="5" t="s">
        <v>3148</v>
      </c>
      <c r="C1738" s="6">
        <v>2.0</v>
      </c>
      <c r="D1738" s="7" t="s">
        <v>3149</v>
      </c>
      <c r="E1738" s="8" t="str">
        <f>IFERROR(__xludf.DUMMYFUNCTION("googletranslate(D1738,""id"",""en"")"),"At least it has a time lag for thinking about using a name especially besides PPKM after July")</f>
        <v>At least it has a time lag for thinking about using a name especially besides PPKM after July</v>
      </c>
    </row>
    <row r="1739" ht="15.75" customHeight="1">
      <c r="A1739" s="2">
        <v>1738.0</v>
      </c>
      <c r="B1739" s="5" t="s">
        <v>3150</v>
      </c>
      <c r="C1739" s="6">
        <v>1.0</v>
      </c>
      <c r="D1739" s="7" t="s">
        <v>3151</v>
      </c>
      <c r="E1739" s="8" t="str">
        <f>IFERROR(__xludf.DUMMYFUNCTION("googletranslate(D1739,""id"",""en"")"),"Our slow PPKmpanlan is dead wkwk")</f>
        <v>Our slow PPKmpanlan is dead wkwk</v>
      </c>
    </row>
    <row r="1740" ht="15.75" customHeight="1">
      <c r="A1740" s="2">
        <v>1739.0</v>
      </c>
      <c r="B1740" s="5" t="s">
        <v>3152</v>
      </c>
      <c r="C1740" s="6">
        <v>1.0</v>
      </c>
      <c r="D1740" s="7" t="s">
        <v>3153</v>
      </c>
      <c r="E1740" s="8" t="str">
        <f>IFERROR(__xludf.DUMMYFUNCTION("googletranslate(D1740,""id"",""en"")"),"CPT finished Kek PPKM Mo home nihh")</f>
        <v>CPT finished Kek PPKM Mo home nihh</v>
      </c>
    </row>
    <row r="1741" ht="15.75" customHeight="1">
      <c r="A1741" s="2">
        <v>1740.0</v>
      </c>
      <c r="B1741" s="5" t="s">
        <v>3154</v>
      </c>
      <c r="C1741" s="6">
        <v>1.0</v>
      </c>
      <c r="D1741" s="7" t="s">
        <v>3155</v>
      </c>
      <c r="E1741" s="8" t="str">
        <f>IFERROR(__xludf.DUMMYFUNCTION("googletranslate(D1741,""id"",""en"")"),"Don't just get crowded in the virtual world down to the road a demo protest! Uh yeah kan ppkm where can it be able to make noise in the case of the president of aing that can be wkwk")</f>
        <v>Don't just get crowded in the virtual world down to the road a demo protest! Uh yeah kan ppkm where can it be able to make noise in the case of the president of aing that can be wkwk</v>
      </c>
    </row>
    <row r="1742" ht="15.75" customHeight="1">
      <c r="A1742" s="2">
        <v>1741.0</v>
      </c>
      <c r="B1742" s="5" t="s">
        <v>3156</v>
      </c>
      <c r="C1742" s="6">
        <v>1.0</v>
      </c>
      <c r="D1742" s="7" t="s">
        <v>3157</v>
      </c>
      <c r="E1742" s="8" t="str">
        <f>IFERROR(__xludf.DUMMYFUNCTION("googletranslate(D1742,""id"",""en"")"),"Blocked PPKM work akumah huhuhu")</f>
        <v>Blocked PPKM work akumah huhuhu</v>
      </c>
    </row>
    <row r="1743" ht="15.75" customHeight="1">
      <c r="A1743" s="2">
        <v>1742.0</v>
      </c>
      <c r="B1743" s="5" t="s">
        <v>3158</v>
      </c>
      <c r="C1743" s="6">
        <v>2.0</v>
      </c>
      <c r="D1743" s="7" t="s">
        <v>3159</v>
      </c>
      <c r="E1743" s="8" t="str">
        <f>IFERROR(__xludf.DUMMYFUNCTION("googletranslate(D1743,""id"",""en"")"),"Will Emergency PPKM be continued with loose PPKM or PPKM relaxation if the situation improves?")</f>
        <v>Will Emergency PPKM be continued with loose PPKM or PPKM relaxation if the situation improves?</v>
      </c>
    </row>
    <row r="1744" ht="15.75" customHeight="1">
      <c r="A1744" s="2">
        <v>1743.0</v>
      </c>
      <c r="B1744" s="5" t="s">
        <v>3160</v>
      </c>
      <c r="C1744" s="6">
        <v>1.0</v>
      </c>
      <c r="D1744" s="10" t="s">
        <v>3161</v>
      </c>
      <c r="E1744" s="8" t="str">
        <f>IFERROR(__xludf.DUMMYFUNCTION("googletranslate(D1744,""id"",""en"")"),"PPKM Tai Asu.")</f>
        <v>PPKM Tai Asu.</v>
      </c>
    </row>
    <row r="1745" ht="15.75" customHeight="1">
      <c r="A1745" s="2">
        <v>1744.0</v>
      </c>
      <c r="B1745" s="5" t="s">
        <v>3162</v>
      </c>
      <c r="C1745" s="6">
        <v>1.0</v>
      </c>
      <c r="D1745" s="7" t="s">
        <v>3162</v>
      </c>
      <c r="E1745" s="8" t="str">
        <f>IFERROR(__xludf.DUMMYFUNCTION("googletranslate(D1745,""id"",""en"")"),"Geez, Mr. Jokowi is honorable. Very impact on this PPKM extension. Ooiyayaa Sis is one of the government's biggest business")</f>
        <v>Geez, Mr. Jokowi is honorable. Very impact on this PPKM extension. Ooiyayaa Sis is one of the government's biggest business</v>
      </c>
    </row>
    <row r="1746" ht="15.75" customHeight="1">
      <c r="A1746" s="2">
        <v>1745.0</v>
      </c>
      <c r="B1746" s="5" t="s">
        <v>3163</v>
      </c>
      <c r="C1746" s="6">
        <v>2.0</v>
      </c>
      <c r="D1746" s="7" t="s">
        <v>3164</v>
      </c>
      <c r="E1746" s="8" t="str">
        <f>IFERROR(__xludf.DUMMYFUNCTION("googletranslate(D1746,""id"",""en"")"),"PPKM: Never Attention Then Misspkm: Men Men Kangen MOTIOR PPKM: WANT POGO KGAYOKYOK TO FLOD LANGKUANG")</f>
        <v>PPKM: Never Attention Then Misspkm: Men Men Kangen MOTIOR PPKM: WANT POGO KGAYOKYOK TO FLOD LANGKUANG</v>
      </c>
    </row>
    <row r="1747" ht="15.75" customHeight="1">
      <c r="A1747" s="2">
        <v>1746.0</v>
      </c>
      <c r="B1747" s="5" t="s">
        <v>3165</v>
      </c>
      <c r="C1747" s="6">
        <v>2.0</v>
      </c>
      <c r="D1747" s="7" t="s">
        <v>3165</v>
      </c>
      <c r="E1747" s="8" t="str">
        <f>IFERROR(__xludf.DUMMYFUNCTION("googletranslate(D1747,""id"",""en"")"),"Hahahaha PPKM is extended")</f>
        <v>Hahahaha PPKM is extended</v>
      </c>
    </row>
    <row r="1748" ht="15.75" customHeight="1">
      <c r="A1748" s="2">
        <v>1747.0</v>
      </c>
      <c r="B1748" s="5" t="s">
        <v>3166</v>
      </c>
      <c r="C1748" s="6">
        <v>2.0</v>
      </c>
      <c r="D1748" s="7" t="s">
        <v>3167</v>
      </c>
      <c r="E1748" s="8" t="str">
        <f>IFERROR(__xludf.DUMMYFUNCTION("googletranslate(D1748,""id"",""en"")"),"Every time I see the news, hopefully the PPKM is accelerated, so it can move to go home")</f>
        <v>Every time I see the news, hopefully the PPKM is accelerated, so it can move to go home</v>
      </c>
    </row>
    <row r="1749" ht="15.75" customHeight="1">
      <c r="A1749" s="2">
        <v>1748.0</v>
      </c>
      <c r="B1749" s="5" t="s">
        <v>3168</v>
      </c>
      <c r="C1749" s="6">
        <v>2.0</v>
      </c>
      <c r="D1749" s="7" t="s">
        <v>3169</v>
      </c>
      <c r="E1749" s="8" t="str">
        <f>IFERROR(__xludf.DUMMYFUNCTION("googletranslate(D1749,""id"",""en"")"),"Balikpapan ppkm level me so go to the puskesmas no yes")</f>
        <v>Balikpapan ppkm level me so go to the puskesmas no yes</v>
      </c>
    </row>
    <row r="1750" ht="15.75" customHeight="1">
      <c r="A1750" s="2">
        <v>1749.0</v>
      </c>
      <c r="B1750" s="5" t="s">
        <v>3170</v>
      </c>
      <c r="C1750" s="6">
        <v>1.0</v>
      </c>
      <c r="D1750" s="9" t="s">
        <v>3171</v>
      </c>
      <c r="E1750" s="8" t="str">
        <f>IFERROR(__xludf.DUMMYFUNCTION("googletranslate(D1750,""id"",""en"")"),"Large Terminal &amp; Amp; Extensive, then because of the PPKM so all of them were banned including the door jg. So yes, run there - run here.")</f>
        <v>Large Terminal &amp; Amp; Extensive, then because of the PPKM so all of them were banned including the door jg. So yes, run there - run here.</v>
      </c>
    </row>
    <row r="1751" ht="15.75" customHeight="1">
      <c r="A1751" s="2">
        <v>1750.0</v>
      </c>
      <c r="B1751" s="5" t="s">
        <v>3172</v>
      </c>
      <c r="C1751" s="6">
        <v>1.0</v>
      </c>
      <c r="D1751" s="9" t="s">
        <v>3173</v>
      </c>
      <c r="E1751" s="8" t="str">
        <f>IFERROR(__xludf.DUMMYFUNCTION("googletranslate(D1751,""id"",""en"")"),"There is a critical comment because the PPKM is extended, one of the last satunan '' '' the last, don't be added, please this is that his own is encouraged not to carry out activities that crowded, they are still decorated, on behalf of '' the moment the "&amp;"moment ' '.")</f>
        <v>There is a critical comment because the PPKM is extended, one of the last satunan '' '' the last, don't be added, please this is that his own is encouraged not to carry out activities that crowded, they are still decorated, on behalf of '' the moment the moment ' '.</v>
      </c>
    </row>
    <row r="1752" ht="15.75" customHeight="1">
      <c r="A1752" s="2">
        <v>1751.0</v>
      </c>
      <c r="B1752" s="5" t="s">
        <v>3174</v>
      </c>
      <c r="C1752" s="6">
        <v>1.0</v>
      </c>
      <c r="D1752" s="9" t="s">
        <v>3175</v>
      </c>
      <c r="E1752" s="8" t="str">
        <f>IFERROR(__xludf.DUMMYFUNCTION("googletranslate(D1752,""id"",""en"")"),"sadly at the time of PPKM Gajelas and Corona are uncontrolled, grandmother himself died but his position outside the city, God Innalillahi, hopefully Mimi Husnul Khotimah")</f>
        <v>sadly at the time of PPKM Gajelas and Corona are uncontrolled, grandmother himself died but his position outside the city, God Innalillahi, hopefully Mimi Husnul Khotimah</v>
      </c>
    </row>
    <row r="1753" ht="15.75" customHeight="1">
      <c r="A1753" s="2">
        <v>1752.0</v>
      </c>
      <c r="B1753" s="5" t="s">
        <v>3176</v>
      </c>
      <c r="C1753" s="6">
        <v>2.0</v>
      </c>
      <c r="D1753" s="7" t="s">
        <v>3177</v>
      </c>
      <c r="E1753" s="8" t="str">
        <f>IFERROR(__xludf.DUMMYFUNCTION("googletranslate(D1753,""id"",""en"")"),"Kang baso ppkm wkwk")</f>
        <v>Kang baso ppkm wkwk</v>
      </c>
    </row>
    <row r="1754" ht="15.75" customHeight="1">
      <c r="A1754" s="2">
        <v>1753.0</v>
      </c>
      <c r="B1754" s="5" t="s">
        <v>3178</v>
      </c>
      <c r="C1754" s="6">
        <v>2.0</v>
      </c>
      <c r="D1754" s="10" t="s">
        <v>3179</v>
      </c>
      <c r="E1754" s="8" t="str">
        <f>IFERROR(__xludf.DUMMYFUNCTION("googletranslate(D1754,""id"",""en"")"),"PPKM effect")</f>
        <v>PPKM effect</v>
      </c>
    </row>
    <row r="1755" ht="15.75" customHeight="1">
      <c r="A1755" s="2">
        <v>1754.0</v>
      </c>
      <c r="B1755" s="5" t="s">
        <v>3180</v>
      </c>
      <c r="C1755" s="6">
        <v>2.0</v>
      </c>
      <c r="D1755" s="7" t="s">
        <v>3181</v>
      </c>
      <c r="E1755" s="8" t="str">
        <f>IFERROR(__xludf.DUMMYFUNCTION("googletranslate(D1755,""id"",""en"")"),"PPKM is extended until August, and if the results are the same, penalties will be held")</f>
        <v>PPKM is extended until August, and if the results are the same, penalties will be held</v>
      </c>
    </row>
    <row r="1756" ht="15.75" customHeight="1">
      <c r="A1756" s="2">
        <v>1755.0</v>
      </c>
      <c r="B1756" s="5" t="s">
        <v>3182</v>
      </c>
      <c r="C1756" s="6">
        <v>1.0</v>
      </c>
      <c r="D1756" s="7" t="s">
        <v>3183</v>
      </c>
      <c r="E1756" s="8" t="str">
        <f>IFERROR(__xludf.DUMMYFUNCTION("googletranslate(D1756,""id"",""en"")"),"Lockdown incorrect PPKM is also wrong ... what country is the country actually")</f>
        <v>Lockdown incorrect PPKM is also wrong ... what country is the country actually</v>
      </c>
    </row>
    <row r="1757" ht="15.75" customHeight="1">
      <c r="A1757" s="2">
        <v>1756.0</v>
      </c>
      <c r="B1757" s="5" t="s">
        <v>3184</v>
      </c>
      <c r="C1757" s="6">
        <v>1.0</v>
      </c>
      <c r="D1757" s="9" t="s">
        <v>3185</v>
      </c>
      <c r="E1757" s="8" t="str">
        <f>IFERROR(__xludf.DUMMYFUNCTION("googletranslate(D1757,""id"",""en"")"),"Lockdown if the country wants a problem, it's not a problem ... there's a nyayg law so the problem is now, the name is PPKM but the practice is like Lockdown !!!!")</f>
        <v>Lockdown if the country wants a problem, it's not a problem ... there's a nyayg law so the problem is now, the name is PPKM but the practice is like Lockdown !!!!</v>
      </c>
    </row>
    <row r="1758" ht="15.75" customHeight="1">
      <c r="A1758" s="2">
        <v>1757.0</v>
      </c>
      <c r="B1758" s="5" t="s">
        <v>3186</v>
      </c>
      <c r="C1758" s="6">
        <v>1.0</v>
      </c>
      <c r="D1758" s="7" t="s">
        <v>3187</v>
      </c>
      <c r="E1758" s="8" t="str">
        <f>IFERROR(__xludf.DUMMYFUNCTION("googletranslate(D1758,""id"",""en"")"),"Extended PPKM? Dah bilik bgt at home")</f>
        <v>Extended PPKM? Dah bilik bgt at home</v>
      </c>
    </row>
    <row r="1759" ht="15.75" customHeight="1">
      <c r="A1759" s="2">
        <v>1758.0</v>
      </c>
      <c r="B1759" s="5" t="s">
        <v>3188</v>
      </c>
      <c r="C1759" s="6">
        <v>1.0</v>
      </c>
      <c r="D1759" s="9" t="s">
        <v>3189</v>
      </c>
      <c r="E1759" s="8" t="str">
        <f>IFERROR(__xludf.DUMMYFUNCTION("googletranslate(D1759,""id"",""en"")"),"Strongness to his shoulders, just look at the news. PPKM extended. I've been dizzy to the income. Here here is a work call. My body has been worse. I also can't. I have to do what ya yau gapapa, let's get it. Slowly, yeah, you have to recover first. WL")</f>
        <v>Strongness to his shoulders, just look at the news. PPKM extended. I've been dizzy to the income. Here here is a work call. My body has been worse. I also can't. I have to do what ya yau gapapa, let's get it. Slowly, yeah, you have to recover first. WL</v>
      </c>
    </row>
    <row r="1760" ht="15.75" customHeight="1">
      <c r="A1760" s="2">
        <v>1759.0</v>
      </c>
      <c r="B1760" s="5" t="s">
        <v>3190</v>
      </c>
      <c r="C1760" s="6">
        <v>3.0</v>
      </c>
      <c r="D1760" s="9" t="s">
        <v>3191</v>
      </c>
      <c r="E1760" s="8" t="str">
        <f>IFERROR(__xludf.DUMMYFUNCTION("googletranslate(D1760,""id"",""en"")"),"With the existence of PPKM will succeed in the success ... and also as soon as possible the Covid pandemic will end in Indonesia. Aamiin YRA .... SLMT Morning Rara Healthy Yes All Families ...")</f>
        <v>With the existence of PPKM will succeed in the success ... and also as soon as possible the Covid pandemic will end in Indonesia. Aamiin YRA .... SLMT Morning Rara Healthy Yes All Families ...</v>
      </c>
    </row>
    <row r="1761" ht="15.75" customHeight="1">
      <c r="A1761" s="2">
        <v>1760.0</v>
      </c>
      <c r="B1761" s="5" t="s">
        <v>3192</v>
      </c>
      <c r="C1761" s="6">
        <v>2.0</v>
      </c>
      <c r="D1761" s="9" t="s">
        <v>3193</v>
      </c>
      <c r="E1761" s="8" t="str">
        <f>IFERROR(__xludf.DUMMYFUNCTION("googletranslate(D1761,""id"",""en"")"),"ppkm extended = no date. Fix singles longer")</f>
        <v>ppkm extended = no date. Fix singles longer</v>
      </c>
    </row>
    <row r="1762" ht="15.75" customHeight="1">
      <c r="A1762" s="2">
        <v>1761.0</v>
      </c>
      <c r="B1762" s="5" t="s">
        <v>3194</v>
      </c>
      <c r="C1762" s="6">
        <v>2.0</v>
      </c>
      <c r="D1762" s="7" t="s">
        <v>3195</v>
      </c>
      <c r="E1762" s="8" t="str">
        <f>IFERROR(__xludf.DUMMYFUNCTION("googletranslate(D1762,""id"",""en"")"),"ppkm still opened huh")</f>
        <v>ppkm still opened huh</v>
      </c>
    </row>
    <row r="1763" ht="15.75" customHeight="1">
      <c r="A1763" s="2">
        <v>1762.0</v>
      </c>
      <c r="B1763" s="5" t="s">
        <v>3196</v>
      </c>
      <c r="C1763" s="6">
        <v>1.0</v>
      </c>
      <c r="D1763" s="7" t="s">
        <v>3197</v>
      </c>
      <c r="E1763" s="8" t="str">
        <f>IFERROR(__xludf.DUMMYFUNCTION("googletranslate(D1763,""id"",""en"")"),"If officials, the PPKM extended continued to be a problem ... could be at home to receive the full salary ... it was borne on the budget of the salary ... what people do you do?")</f>
        <v>If officials, the PPKM extended continued to be a problem ... could be at home to receive the full salary ... it was borne on the budget of the salary ... what people do you do?</v>
      </c>
    </row>
    <row r="1764" ht="15.75" customHeight="1">
      <c r="A1764" s="2">
        <v>1763.0</v>
      </c>
      <c r="B1764" s="5" t="s">
        <v>3198</v>
      </c>
      <c r="C1764" s="6">
        <v>1.0</v>
      </c>
      <c r="D1764" s="9" t="s">
        <v>3199</v>
      </c>
      <c r="E1764" s="8" t="str">
        <f>IFERROR(__xludf.DUMMYFUNCTION("googletranslate(D1764,""id"",""en"")"),"Hyih i bisikin ... on July, when takbir echoed """" when we emergency ppkm, and Idul adha prayers at home..loe knows not at the same time China lg flash flood ...")</f>
        <v>Hyih i bisikin ... on July, when takbir echoed "" when we emergency ppkm, and Idul adha prayers at home..loe knows not at the same time China lg flash flood ...</v>
      </c>
    </row>
    <row r="1765" ht="15.75" customHeight="1">
      <c r="A1765" s="2">
        <v>1764.0</v>
      </c>
      <c r="B1765" s="5" t="s">
        <v>3200</v>
      </c>
      <c r="C1765" s="6">
        <v>2.0</v>
      </c>
      <c r="D1765" s="9" t="s">
        <v>3201</v>
      </c>
      <c r="E1765" s="8" t="str">
        <f>IFERROR(__xludf.DUMMYFUNCTION("googletranslate(D1765,""id"",""en"")"),"Let's see whether the morning train is like before PPKM?")</f>
        <v>Let's see whether the morning train is like before PPKM?</v>
      </c>
    </row>
    <row r="1766" ht="15.75" customHeight="1">
      <c r="A1766" s="2">
        <v>1765.0</v>
      </c>
      <c r="B1766" s="5" t="s">
        <v>3202</v>
      </c>
      <c r="C1766" s="6">
        <v>1.0</v>
      </c>
      <c r="D1766" s="7" t="s">
        <v>3203</v>
      </c>
      <c r="E1766" s="8" t="str">
        <f>IFERROR(__xludf.DUMMYFUNCTION("googletranslate(D1766,""id"",""en"")"),"This is due to the government applying PPKM, but the people are not guaranteed their needs. They can die. Hafidz abdurrahman khadim ma'had nerve haramain")</f>
        <v>This is due to the government applying PPKM, but the people are not guaranteed their needs. They can die. Hafidz abdurrahman khadim ma'had nerve haramain</v>
      </c>
    </row>
    <row r="1767" ht="15.75" customHeight="1">
      <c r="A1767" s="2">
        <v>1766.0</v>
      </c>
      <c r="B1767" s="5" t="s">
        <v>3204</v>
      </c>
      <c r="C1767" s="6">
        <v>1.0</v>
      </c>
      <c r="D1767" s="9" t="s">
        <v>3205</v>
      </c>
      <c r="E1767" s="8" t="str">
        <f>IFERROR(__xludf.DUMMYFUNCTION("googletranslate(D1767,""id"",""en"")"),"Let alone PPKM, Denwear the mask there are still many who are ngeyel. Pretending to care about nakes but the reverse behavior. In the same line, those who don't believe Covid &amp; amp; Mnolak vaccination. In the same line, those who demo refused PPKM, compla"&amp;"ined about the abdomen but still lifted Halu.")</f>
        <v>Let alone PPKM, Denwear the mask there are still many who are ngeyel. Pretending to care about nakes but the reverse behavior. In the same line, those who don't believe Covid &amp; amp; Mnolak vaccination. In the same line, those who demo refused PPKM, complained about the abdomen but still lifted Halu.</v>
      </c>
    </row>
    <row r="1768" ht="15.75" customHeight="1">
      <c r="A1768" s="2">
        <v>1767.0</v>
      </c>
      <c r="B1768" s="5" t="s">
        <v>3206</v>
      </c>
      <c r="C1768" s="6">
        <v>1.0</v>
      </c>
      <c r="D1768" s="7" t="s">
        <v>3206</v>
      </c>
      <c r="E1768" s="8" t="str">
        <f>IFERROR(__xludf.DUMMYFUNCTION("googletranslate(D1768,""id"",""en"")"),"PPKM but the airport is still opened by WKWK")</f>
        <v>PPKM but the airport is still opened by WKWK</v>
      </c>
    </row>
    <row r="1769" ht="15.75" customHeight="1">
      <c r="A1769" s="2">
        <v>1768.0</v>
      </c>
      <c r="B1769" s="5" t="s">
        <v>3207</v>
      </c>
      <c r="C1769" s="6">
        <v>2.0</v>
      </c>
      <c r="D1769" s="9" t="s">
        <v>3207</v>
      </c>
      <c r="E1769" s="8" t="str">
        <f>IFERROR(__xludf.DUMMYFUNCTION("googletranslate(D1769,""id"",""en"")"),"PPKM Bkin, I just finished, diligently in the morning I cooked rice wkwk")</f>
        <v>PPKM Bkin, I just finished, diligently in the morning I cooked rice wkwk</v>
      </c>
    </row>
    <row r="1770" ht="15.75" customHeight="1">
      <c r="A1770" s="2">
        <v>1769.0</v>
      </c>
      <c r="B1770" s="5" t="s">
        <v>3208</v>
      </c>
      <c r="C1770" s="6">
        <v>2.0</v>
      </c>
      <c r="D1770" s="7" t="s">
        <v>3209</v>
      </c>
      <c r="E1770" s="8" t="str">
        <f>IFERROR(__xludf.DUMMYFUNCTION("googletranslate(D1770,""id"",""en"")"),"The government does not use the term 'Emergency PPKM' in handling Covid-19")</f>
        <v>The government does not use the term 'Emergency PPKM' in handling Covid-19</v>
      </c>
    </row>
    <row r="1771" ht="15.75" customHeight="1">
      <c r="A1771" s="2">
        <v>1770.0</v>
      </c>
      <c r="B1771" s="5" t="s">
        <v>3210</v>
      </c>
      <c r="C1771" s="6">
        <v>1.0</v>
      </c>
      <c r="D1771" s="9" t="s">
        <v>3211</v>
      </c>
      <c r="E1771" s="8" t="str">
        <f>IFERROR(__xludf.DUMMYFUNCTION("googletranslate(D1771,""id"",""en"")"),"If from the data described, before the PPKM, the case is even almost (clay in Eid al-Fitr), this is no restrictions on ""emergency"". But after a solution called PPKM, the case is even high. But the word Mr. Gub is now going down. Alhamdulillah. But right"&amp;" ...")</f>
        <v>If from the data described, before the PPKM, the case is even almost (clay in Eid al-Fitr), this is no restrictions on "emergency". But after a solution called PPKM, the case is even high. But the word Mr. Gub is now going down. Alhamdulillah. But right ...</v>
      </c>
    </row>
    <row r="1772" ht="15.75" customHeight="1">
      <c r="A1772" s="2">
        <v>1771.0</v>
      </c>
      <c r="B1772" s="5" t="s">
        <v>3212</v>
      </c>
      <c r="C1772" s="6">
        <v>1.0</v>
      </c>
      <c r="D1772" s="9" t="s">
        <v>3212</v>
      </c>
      <c r="E1772" s="8" t="str">
        <f>IFERROR(__xludf.DUMMYFUNCTION("googletranslate(D1772,""id"",""en"")"),"Ok, yesterday a ministerial child who was monitored by Honeymoon abroad, it didn't work. There is a digital artist that I followed in IG, seen from his story, Doi freely exit Indonesia during Emergency PPKM. Means that the international flight pathway in "&amp;"Indo isn't closed KH?")</f>
        <v>Ok, yesterday a ministerial child who was monitored by Honeymoon abroad, it didn't work. There is a digital artist that I followed in IG, seen from his story, Doi freely exit Indonesia during Emergency PPKM. Means that the international flight pathway in Indo isn't closed KH?</v>
      </c>
    </row>
    <row r="1773" ht="15.75" customHeight="1">
      <c r="A1773" s="2">
        <v>1772.0</v>
      </c>
      <c r="B1773" s="5" t="s">
        <v>3213</v>
      </c>
      <c r="C1773" s="6">
        <v>2.0</v>
      </c>
      <c r="D1773" s="7" t="s">
        <v>3214</v>
      </c>
      <c r="E1773" s="8" t="str">
        <f>IFERROR(__xludf.DUMMYFUNCTION("googletranslate(D1773,""id"",""en"")"),"ppkm: morning morning miss mbin")</f>
        <v>ppkm: morning morning miss mbin</v>
      </c>
    </row>
    <row r="1774" ht="15.75" customHeight="1">
      <c r="A1774" s="2">
        <v>1773.0</v>
      </c>
      <c r="B1774" s="5" t="s">
        <v>3215</v>
      </c>
      <c r="C1774" s="6">
        <v>1.0</v>
      </c>
      <c r="D1774" s="7" t="s">
        <v>3216</v>
      </c>
      <c r="E1774" s="8" t="str">
        <f>IFERROR(__xludf.DUMMYFUNCTION("googletranslate(D1774,""id"",""en"")"),"His name is also hungry PPKM Kalik")</f>
        <v>His name is also hungry PPKM Kalik</v>
      </c>
    </row>
    <row r="1775" ht="15.75" customHeight="1">
      <c r="A1775" s="2">
        <v>1774.0</v>
      </c>
      <c r="B1775" s="5" t="s">
        <v>3217</v>
      </c>
      <c r="C1775" s="6">
        <v>2.0</v>
      </c>
      <c r="D1775" s="10" t="s">
        <v>3218</v>
      </c>
      <c r="E1775" s="8" t="str">
        <f>IFERROR(__xludf.DUMMYFUNCTION("googletranslate(D1775,""id"",""en"")"),"/ wal ppkm huh?")</f>
        <v>/ wal ppkm huh?</v>
      </c>
    </row>
    <row r="1776" ht="15.75" customHeight="1">
      <c r="A1776" s="2">
        <v>1775.0</v>
      </c>
      <c r="B1776" s="5" t="s">
        <v>3219</v>
      </c>
      <c r="C1776" s="6">
        <v>1.0</v>
      </c>
      <c r="D1776" s="7" t="s">
        <v>3220</v>
      </c>
      <c r="E1776" s="8" t="str">
        <f>IFERROR(__xludf.DUMMYFUNCTION("googletranslate(D1776,""id"",""en"")"),"Please ppkm aid or continue sir, but it also closes bank bills, PDAMs, electricity. Stomach affairs so we keep our own ... !! _")</f>
        <v>Please ppkm aid or continue sir, but it also closes bank bills, PDAMs, electricity. Stomach affairs so we keep our own ... !! _</v>
      </c>
    </row>
    <row r="1777" ht="15.75" customHeight="1">
      <c r="A1777" s="2">
        <v>1776.0</v>
      </c>
      <c r="B1777" s="5" t="s">
        <v>3221</v>
      </c>
      <c r="C1777" s="6">
        <v>2.0</v>
      </c>
      <c r="D1777" s="7" t="s">
        <v>3222</v>
      </c>
      <c r="E1777" s="8" t="str">
        <f>IFERROR(__xludf.DUMMYFUNCTION("googletranslate(D1777,""id"",""en"")"),"The concept of PPKM Kaga is enough, why does it take a break")</f>
        <v>The concept of PPKM Kaga is enough, why does it take a break</v>
      </c>
    </row>
    <row r="1778" ht="15.75" customHeight="1">
      <c r="A1778" s="2">
        <v>1777.0</v>
      </c>
      <c r="B1778" s="5" t="s">
        <v>3223</v>
      </c>
      <c r="C1778" s="6">
        <v>3.0</v>
      </c>
      <c r="D1778" s="7" t="s">
        <v>3224</v>
      </c>
      <c r="E1778" s="8" t="str">
        <f>IFERROR(__xludf.DUMMYFUNCTION("googletranslate(D1778,""id"",""en"")"),"Th Via our online meeting. Bored? Very. But for our sake obedient to government rules especially PPKM. The government has tried to suppress the spread of viruses with various policies. There's nothing good. But let's all try to be immediately released fro"&amp;"m this pandemic. Amdg")</f>
        <v>Th Via our online meeting. Bored? Very. But for our sake obedient to government rules especially PPKM. The government has tried to suppress the spread of viruses with various policies. There's nothing good. But let's all try to be immediately released from this pandemic. Amdg</v>
      </c>
    </row>
    <row r="1779" ht="15.75" customHeight="1">
      <c r="A1779" s="2">
        <v>1778.0</v>
      </c>
      <c r="B1779" s="5" t="s">
        <v>3225</v>
      </c>
      <c r="C1779" s="6">
        <v>1.0</v>
      </c>
      <c r="D1779" s="7" t="s">
        <v>3226</v>
      </c>
      <c r="E1779" s="8" t="str">
        <f>IFERROR(__xludf.DUMMYFUNCTION("googletranslate(D1779,""id"",""en"")"),"Obviously the Mbak PPKM (plin plan of your decision) level (super spicy)")</f>
        <v>Obviously the Mbak PPKM (plin plan of your decision) level (super spicy)</v>
      </c>
    </row>
    <row r="1780" ht="15.75" customHeight="1">
      <c r="A1780" s="2">
        <v>1779.0</v>
      </c>
      <c r="B1780" s="5" t="s">
        <v>3227</v>
      </c>
      <c r="C1780" s="6">
        <v>1.0</v>
      </c>
      <c r="D1780" s="7" t="s">
        <v>3228</v>
      </c>
      <c r="E1780" s="8" t="str">
        <f>IFERROR(__xludf.DUMMYFUNCTION("googletranslate(D1780,""id"",""en"")"),"Ppkm really crazy gangeri crazy again mo ngenoy")</f>
        <v>Ppkm really crazy gangeri crazy again mo ngenoy</v>
      </c>
    </row>
    <row r="1781" ht="15.75" customHeight="1">
      <c r="A1781" s="2">
        <v>1780.0</v>
      </c>
      <c r="B1781" s="5" t="s">
        <v>3229</v>
      </c>
      <c r="C1781" s="6">
        <v>1.0</v>
      </c>
      <c r="D1781" s="7" t="s">
        <v>3230</v>
      </c>
      <c r="E1781" s="8" t="str">
        <f>IFERROR(__xludf.DUMMYFUNCTION("googletranslate(D1781,""id"",""en"")"),"Hihihi gemoyyy pisannn.kapan huhu. PPKM Teross makes you miss. So you want to cry teros")</f>
        <v>Hihihi gemoyyy pisannn.kapan huhu. PPKM Teross makes you miss. So you want to cry teros</v>
      </c>
    </row>
    <row r="1782" ht="15.75" customHeight="1">
      <c r="A1782" s="2">
        <v>1781.0</v>
      </c>
      <c r="B1782" s="5" t="s">
        <v>3231</v>
      </c>
      <c r="C1782" s="6">
        <v>2.0</v>
      </c>
      <c r="D1782" s="7" t="s">
        <v>3232</v>
      </c>
      <c r="E1782" s="8" t="str">
        <f>IFERROR(__xludf.DUMMYFUNCTION("googletranslate(D1782,""id"",""en"")"),"Lose not to know ppkm, hopefully help")</f>
        <v>Lose not to know ppkm, hopefully help</v>
      </c>
    </row>
    <row r="1783" ht="15.75" customHeight="1">
      <c r="A1783" s="2">
        <v>1782.0</v>
      </c>
      <c r="B1783" s="5" t="s">
        <v>3233</v>
      </c>
      <c r="C1783" s="6">
        <v>2.0</v>
      </c>
      <c r="D1783" s="7" t="s">
        <v>3233</v>
      </c>
      <c r="E1783" s="8" t="str">
        <f>IFERROR(__xludf.DUMMYFUNCTION("googletranslate(D1783,""id"",""en"")"),"There is a YG BLG PPKM Kyk Level Richeese JD WANT RICHEESE IS")</f>
        <v>There is a YG BLG PPKM Kyk Level Richeese JD WANT RICHEESE IS</v>
      </c>
    </row>
    <row r="1784" ht="15.75" customHeight="1">
      <c r="A1784" s="2">
        <v>1783.0</v>
      </c>
      <c r="B1784" s="5" t="s">
        <v>3234</v>
      </c>
      <c r="C1784" s="6">
        <v>3.0</v>
      </c>
      <c r="D1784" s="7" t="s">
        <v>3235</v>
      </c>
      <c r="E1784" s="8" t="str">
        <f>IFERROR(__xludf.DUMMYFUNCTION("googletranslate(D1784,""id"",""en"")"),"They should be slaughtered (for example: small traders who lose income because of PPKM) given assistance. Still paid fixed, even though at BWH JT, God willing enough. Smg k dpn lbh it's fair &amp; amp; wise ... aamiiin.")</f>
        <v>They should be slaughtered (for example: small traders who lose income because of PPKM) given assistance. Still paid fixed, even though at BWH JT, God willing enough. Smg k dpn lbh it's fair &amp; amp; wise ... aamiiin.</v>
      </c>
    </row>
    <row r="1785" ht="15.75" customHeight="1">
      <c r="A1785" s="2">
        <v>1784.0</v>
      </c>
      <c r="B1785" s="5" t="s">
        <v>3236</v>
      </c>
      <c r="C1785" s="6">
        <v>3.0</v>
      </c>
      <c r="D1785" s="7" t="s">
        <v>3236</v>
      </c>
      <c r="E1785" s="8" t="str">
        <f>IFERROR(__xludf.DUMMYFUNCTION("googletranslate(D1785,""id"",""en"")"),"PPKM: multiply sholawat, multiply shodaqoh, strengthen faith and stay away from immorality")</f>
        <v>PPKM: multiply sholawat, multiply shodaqoh, strengthen faith and stay away from immorality</v>
      </c>
    </row>
    <row r="1786" ht="15.75" customHeight="1">
      <c r="A1786" s="2">
        <v>1785.0</v>
      </c>
      <c r="B1786" s="5" t="s">
        <v>3237</v>
      </c>
      <c r="C1786" s="6">
        <v>1.0</v>
      </c>
      <c r="D1786" s="9" t="s">
        <v>3237</v>
      </c>
      <c r="E1786" s="8" t="str">
        <f>IFERROR(__xludf.DUMMYFUNCTION("googletranslate(D1786,""id"",""en"")"),"That's how life, if it's been coming. It will not be extended like PPKM, shortened like the punishment of the ruler, or eliminated like the law violated by the respected person. Congratulations on this day.")</f>
        <v>That's how life, if it's been coming. It will not be extended like PPKM, shortened like the punishment of the ruler, or eliminated like the law violated by the respected person. Congratulations on this day.</v>
      </c>
    </row>
    <row r="1787" ht="15.75" customHeight="1">
      <c r="A1787" s="2">
        <v>1786.0</v>
      </c>
      <c r="B1787" s="5" t="s">
        <v>3238</v>
      </c>
      <c r="C1787" s="6">
        <v>1.0</v>
      </c>
      <c r="D1787" s="7" t="s">
        <v>3238</v>
      </c>
      <c r="E1787" s="8" t="str">
        <f>IFERROR(__xludf.DUMMYFUNCTION("googletranslate(D1787,""id"",""en"")"),"""The Condition of PPKM and Pandemics, makes the need for employees to decrease""")</f>
        <v>"The Condition of PPKM and Pandemics, makes the need for employees to decrease"</v>
      </c>
    </row>
    <row r="1788" ht="15.75" customHeight="1">
      <c r="A1788" s="2">
        <v>1787.0</v>
      </c>
      <c r="B1788" s="5" t="s">
        <v>3239</v>
      </c>
      <c r="C1788" s="6">
        <v>2.0</v>
      </c>
      <c r="D1788" s="7" t="s">
        <v>3240</v>
      </c>
      <c r="E1788" s="8" t="str">
        <f>IFERROR(__xludf.DUMMYFUNCTION("googletranslate(D1788,""id"",""en"")"),"in Indonesia still ppkm huh? Wkwkwkwk.")</f>
        <v>in Indonesia still ppkm huh? Wkwkwkwk.</v>
      </c>
    </row>
    <row r="1789" ht="15.75" customHeight="1">
      <c r="A1789" s="2">
        <v>1788.0</v>
      </c>
      <c r="B1789" s="5" t="s">
        <v>3241</v>
      </c>
      <c r="C1789" s="6">
        <v>2.0</v>
      </c>
      <c r="D1789" s="7" t="s">
        <v>3241</v>
      </c>
      <c r="E1789" s="8" t="str">
        <f>IFERROR(__xludf.DUMMYFUNCTION("googletranslate(D1789,""id"",""en"")"),"ppkm has finished or extended again?")</f>
        <v>ppkm has finished or extended again?</v>
      </c>
    </row>
    <row r="1790" ht="15.75" customHeight="1">
      <c r="A1790" s="2">
        <v>1789.0</v>
      </c>
      <c r="B1790" s="5" t="s">
        <v>3242</v>
      </c>
      <c r="C1790" s="6">
        <v>2.0</v>
      </c>
      <c r="D1790" s="7" t="s">
        <v>3243</v>
      </c>
      <c r="E1790" s="8" t="str">
        <f>IFERROR(__xludf.DUMMYFUNCTION("googletranslate(D1790,""id"",""en"")"),"President of PPKM")</f>
        <v>President of PPKM</v>
      </c>
    </row>
    <row r="1791" ht="15.75" customHeight="1">
      <c r="A1791" s="2">
        <v>1790.0</v>
      </c>
      <c r="B1791" s="5" t="s">
        <v>3244</v>
      </c>
      <c r="C1791" s="6">
        <v>1.0</v>
      </c>
      <c r="D1791" s="7" t="s">
        <v>3245</v>
      </c>
      <c r="E1791" s="8" t="str">
        <f>IFERROR(__xludf.DUMMYFUNCTION("googletranslate(D1791,""id"",""en"")"),"Psbb, ppkm, lvl, mutually change names and terms, the change is not even the people are increasingly made difficult")</f>
        <v>Psbb, ppkm, lvl, mutually change names and terms, the change is not even the people are increasingly made difficult</v>
      </c>
    </row>
    <row r="1792" ht="15.75" customHeight="1">
      <c r="A1792" s="2">
        <v>1791.0</v>
      </c>
      <c r="B1792" s="5" t="s">
        <v>3246</v>
      </c>
      <c r="C1792" s="6">
        <v>3.0</v>
      </c>
      <c r="D1792" s="9" t="s">
        <v>3246</v>
      </c>
      <c r="E1792" s="8" t="str">
        <f>IFERROR(__xludf.DUMMYFUNCTION("googletranslate(D1792,""id"",""en"")"),"First, evaluate the implementation of emergency PPKM. Second, monitoring the implementation of testing, tracing, and treatment (3 t). Third, the implementation of vaccination.")</f>
        <v>First, evaluate the implementation of emergency PPKM. Second, monitoring the implementation of testing, tracing, and treatment (3 t). Third, the implementation of vaccination.</v>
      </c>
    </row>
    <row r="1793" ht="15.75" customHeight="1">
      <c r="A1793" s="2">
        <v>1792.0</v>
      </c>
      <c r="B1793" s="5" t="s">
        <v>3247</v>
      </c>
      <c r="C1793" s="6">
        <v>2.0</v>
      </c>
      <c r="D1793" s="7" t="s">
        <v>3248</v>
      </c>
      <c r="E1793" s="8" t="str">
        <f>IFERROR(__xludf.DUMMYFUNCTION("googletranslate(D1793,""id"",""en"")"),"PSBB SEQUEL SAMPE PPKM")</f>
        <v>PSBB SEQUEL SAMPE PPKM</v>
      </c>
    </row>
    <row r="1794" ht="15.75" customHeight="1">
      <c r="A1794" s="2">
        <v>1793.0</v>
      </c>
      <c r="B1794" s="5" t="s">
        <v>3249</v>
      </c>
      <c r="C1794" s="6">
        <v>1.0</v>
      </c>
      <c r="D1794" s="9" t="s">
        <v>3250</v>
      </c>
      <c r="E1794" s="8" t="str">
        <f>IFERROR(__xludf.DUMMYFUNCTION("googletranslate(D1794,""id"",""en"")"),"The victim of the emergency ppkm ... the faith was too thin ...")</f>
        <v>The victim of the emergency ppkm ... the faith was too thin ...</v>
      </c>
    </row>
    <row r="1795" ht="15.75" customHeight="1">
      <c r="A1795" s="2">
        <v>1794.0</v>
      </c>
      <c r="B1795" s="5" t="s">
        <v>3251</v>
      </c>
      <c r="C1795" s="6">
        <v>1.0</v>
      </c>
      <c r="D1795" s="9" t="s">
        <v>3252</v>
      </c>
      <c r="E1795" s="8" t="str">
        <f>IFERROR(__xludf.DUMMYFUNCTION("googletranslate(D1795,""id"",""en"")"),"PPKM restrictions are not a ban ... now instead become a joke plongo don't think ...")</f>
        <v>PPKM restrictions are not a ban ... now instead become a joke plongo don't think ...</v>
      </c>
    </row>
    <row r="1796" ht="15.75" customHeight="1">
      <c r="A1796" s="2">
        <v>1795.0</v>
      </c>
      <c r="B1796" s="5" t="s">
        <v>3253</v>
      </c>
      <c r="C1796" s="6">
        <v>2.0</v>
      </c>
      <c r="D1796" s="7" t="s">
        <v>3253</v>
      </c>
      <c r="E1796" s="8" t="str">
        <f>IFERROR(__xludf.DUMMYFUNCTION("googletranslate(D1796,""id"",""en"")"),"He said after PPKM, we would be called PPKN ...")</f>
        <v>He said after PPKM, we would be called PPKN ...</v>
      </c>
    </row>
    <row r="1797" ht="15.75" customHeight="1">
      <c r="A1797" s="2">
        <v>1796.0</v>
      </c>
      <c r="B1797" s="5" t="s">
        <v>3254</v>
      </c>
      <c r="C1797" s="6">
        <v>2.0</v>
      </c>
      <c r="D1797" s="7" t="s">
        <v>3255</v>
      </c>
      <c r="E1797" s="8" t="str">
        <f>IFERROR(__xludf.DUMMYFUNCTION("googletranslate(D1797,""id"",""en"")"),"Ppkmpara kangen kangen flask")</f>
        <v>Ppkmpara kangen kangen flask</v>
      </c>
    </row>
    <row r="1798" ht="15.75" customHeight="1">
      <c r="A1798" s="2">
        <v>1797.0</v>
      </c>
      <c r="B1798" s="5" t="s">
        <v>3256</v>
      </c>
      <c r="C1798" s="6">
        <v>2.0</v>
      </c>
      <c r="D1798" s="7" t="s">
        <v>3256</v>
      </c>
      <c r="E1798" s="8" t="str">
        <f>IFERROR(__xludf.DUMMYFUNCTION("googletranslate(D1798,""id"",""en"")"),"PPKM extended until MONSTA X made a self mv again")</f>
        <v>PPKM extended until MONSTA X made a self mv again</v>
      </c>
    </row>
    <row r="1799" ht="15.75" customHeight="1">
      <c r="A1799" s="2">
        <v>1798.0</v>
      </c>
      <c r="B1799" s="5" t="s">
        <v>3257</v>
      </c>
      <c r="C1799" s="6">
        <v>1.0</v>
      </c>
      <c r="D1799" s="7" t="s">
        <v>3258</v>
      </c>
      <c r="E1799" s="8" t="str">
        <f>IFERROR(__xludf.DUMMYFUNCTION("googletranslate(D1799,""id"",""en"")"),"Children are all at home then now I want to meet your new org, Udh playing Applksi to find a match JG but that's how it is. Org2 in my village has been married to young Muda pie I'm GUIS? I want to get married huhu, what's wrong with me, is my dream for m"&amp;"arriage to the person I love n (cont)")</f>
        <v>Children are all at home then now I want to meet your new org, Udh playing Applksi to find a match JG but that's how it is. Org2 in my village has been married to young Muda pie I'm GUIS? I want to get married huhu, what's wrong with me, is my dream for marriage to the person I love n (cont)</v>
      </c>
    </row>
    <row r="1800" ht="15.75" customHeight="1">
      <c r="A1800" s="2">
        <v>1799.0</v>
      </c>
      <c r="B1800" s="5" t="s">
        <v>3259</v>
      </c>
      <c r="C1800" s="6">
        <v>1.0</v>
      </c>
      <c r="D1800" s="7" t="s">
        <v>3260</v>
      </c>
      <c r="E1800" s="8" t="str">
        <f>IFERROR(__xludf.DUMMYFUNCTION("googletranslate(D1800,""id"",""en"")"),"Yesterday I went to RT RT his intention would like to ask for a cover letter to make a permit to extend the PPKM to the police. Eeeh, the rete was even confused myself while scratching the head.")</f>
        <v>Yesterday I went to RT RT his intention would like to ask for a cover letter to make a permit to extend the PPKM to the police. Eeeh, the rete was even confused myself while scratching the head.</v>
      </c>
    </row>
    <row r="1801" ht="15.75" customHeight="1">
      <c r="A1801" s="2">
        <v>1800.0</v>
      </c>
      <c r="B1801" s="5" t="s">
        <v>3261</v>
      </c>
      <c r="C1801" s="6">
        <v>1.0</v>
      </c>
      <c r="D1801" s="7" t="s">
        <v>3261</v>
      </c>
      <c r="E1801" s="8" t="str">
        <f>IFERROR(__xludf.DUMMYFUNCTION("googletranslate(D1801,""id"",""en"")"),"Ppkm really can mutate brotherhood")</f>
        <v>Ppkm really can mutate brotherhood</v>
      </c>
    </row>
    <row r="1802" ht="15.75" customHeight="1">
      <c r="A1802" s="2">
        <v>1801.0</v>
      </c>
      <c r="B1802" s="5" t="s">
        <v>3262</v>
      </c>
      <c r="C1802" s="6">
        <v>2.0</v>
      </c>
      <c r="D1802" s="9" t="s">
        <v>3263</v>
      </c>
      <c r="E1802" s="8" t="str">
        <f>IFERROR(__xludf.DUMMYFUNCTION("googletranslate(D1802,""id"",""en"")"),"During the heavy PPKM I went up to kg, it felt the Lightweight class at UFCbismillah hit McGregor")</f>
        <v>During the heavy PPKM I went up to kg, it felt the Lightweight class at UFCbismillah hit McGregor</v>
      </c>
    </row>
    <row r="1803" ht="15.75" customHeight="1">
      <c r="A1803" s="2">
        <v>1802.0</v>
      </c>
      <c r="B1803" s="5" t="s">
        <v>3264</v>
      </c>
      <c r="C1803" s="6">
        <v>1.0</v>
      </c>
      <c r="D1803" s="7" t="s">
        <v>3265</v>
      </c>
      <c r="E1803" s="8" t="str">
        <f>IFERROR(__xludf.DUMMYFUNCTION("googletranslate(D1803,""id"",""en"")"),"I think send aspiration ... PPKM rule maker told back to resign ... ngrarakakan people.")</f>
        <v>I think send aspiration ... PPKM rule maker told back to resign ... ngrarakakan people.</v>
      </c>
    </row>
    <row r="1804" ht="15.75" customHeight="1">
      <c r="A1804" s="2">
        <v>1803.0</v>
      </c>
      <c r="B1804" s="5" t="s">
        <v>3266</v>
      </c>
      <c r="C1804" s="6">
        <v>1.0</v>
      </c>
      <c r="D1804" s="7" t="s">
        <v>3267</v>
      </c>
      <c r="E1804" s="8" t="str">
        <f>IFERROR(__xludf.DUMMYFUNCTION("googletranslate(D1804,""id"",""en"")"),"It is precisely low-end awareness, because PPKM by closing the road, the crowd happens a lot, even getting worse.")</f>
        <v>It is precisely low-end awareness, because PPKM by closing the road, the crowd happens a lot, even getting worse.</v>
      </c>
    </row>
    <row r="1805" ht="15.75" customHeight="1">
      <c r="A1805" s="2">
        <v>1804.0</v>
      </c>
      <c r="B1805" s="5" t="s">
        <v>3268</v>
      </c>
      <c r="C1805" s="6">
        <v>2.0</v>
      </c>
      <c r="D1805" s="9" t="s">
        <v>3269</v>
      </c>
      <c r="E1805" s="8" t="str">
        <f>IFERROR(__xludf.DUMMYFUNCTION("googletranslate(D1805,""id"",""en"")"),"Ah, I'm still ppkm we can get a story via wa")</f>
        <v>Ah, I'm still ppkm we can get a story via wa</v>
      </c>
    </row>
    <row r="1806" ht="15.75" customHeight="1">
      <c r="A1806" s="2">
        <v>1805.0</v>
      </c>
      <c r="B1806" s="5" t="s">
        <v>3270</v>
      </c>
      <c r="C1806" s="6">
        <v>2.0</v>
      </c>
      <c r="D1806" s="7" t="s">
        <v>3271</v>
      </c>
      <c r="E1806" s="8" t="str">
        <f>IFERROR(__xludf.DUMMYFUNCTION("googletranslate(D1806,""id"",""en"")"),"PPKM Rasa Revisian")</f>
        <v>PPKM Rasa Revisian</v>
      </c>
    </row>
    <row r="1807" ht="15.75" customHeight="1">
      <c r="A1807" s="2">
        <v>1806.0</v>
      </c>
      <c r="B1807" s="5" t="s">
        <v>3272</v>
      </c>
      <c r="C1807" s="6">
        <v>1.0</v>
      </c>
      <c r="D1807" s="9" t="s">
        <v>3273</v>
      </c>
      <c r="E1807" s="8" t="str">
        <f>IFERROR(__xludf.DUMMYFUNCTION("googletranslate(D1807,""id"",""en"")"),"Duh, if you see the people, I'm really jealous, my membership is a month, I don't use Krna PPKM")</f>
        <v>Duh, if you see the people, I'm really jealous, my membership is a month, I don't use Krna PPKM</v>
      </c>
    </row>
    <row r="1808" ht="15.75" customHeight="1">
      <c r="A1808" s="2">
        <v>1807.0</v>
      </c>
      <c r="B1808" s="5" t="s">
        <v>3274</v>
      </c>
      <c r="C1808" s="6">
        <v>2.0</v>
      </c>
      <c r="D1808" s="7" t="s">
        <v>3275</v>
      </c>
      <c r="E1808" s="8" t="str">
        <f>IFERROR(__xludf.DUMMYFUNCTION("googletranslate(D1808,""id"",""en"")"),"GPP behind the same atppkm emerguratlevel eighthehehe")</f>
        <v>GPP behind the same atppkm emerguratlevel eighthehehe</v>
      </c>
    </row>
    <row r="1809" ht="15.75" customHeight="1">
      <c r="A1809" s="2">
        <v>1808.0</v>
      </c>
      <c r="B1809" s="5" t="s">
        <v>3276</v>
      </c>
      <c r="C1809" s="6">
        <v>2.0</v>
      </c>
      <c r="D1809" s="7" t="s">
        <v>3277</v>
      </c>
      <c r="E1809" s="8" t="str">
        <f>IFERROR(__xludf.DUMMYFUNCTION("googletranslate(D1809,""id"",""en"")"),"CKCKCK PPKM Level. Dah kya nokia snake games")</f>
        <v>CKCKCK PPKM Level. Dah kya nokia snake games</v>
      </c>
    </row>
    <row r="1810" ht="15.75" customHeight="1">
      <c r="A1810" s="2">
        <v>1809.0</v>
      </c>
      <c r="B1810" s="5" t="s">
        <v>3278</v>
      </c>
      <c r="C1810" s="6">
        <v>1.0</v>
      </c>
      <c r="D1810" s="7" t="s">
        <v>3279</v>
      </c>
      <c r="E1810" s="8" t="str">
        <f>IFERROR(__xludf.DUMMYFUNCTION("googletranslate(D1810,""id"",""en"")"),"The experience of riding the KRL in this PPKM which should queue according to the rules that apply except for pregnant women, disabilities, elderly &amp; amp; Mother brings children. How come there are still people who can still enter without queuing just sho"&amp;"wing a letter that is somewhere from the government institute.")</f>
        <v>The experience of riding the KRL in this PPKM which should queue according to the rules that apply except for pregnant women, disabilities, elderly &amp; amp; Mother brings children. How come there are still people who can still enter without queuing just showing a letter that is somewhere from the government institute.</v>
      </c>
    </row>
    <row r="1811" ht="15.75" customHeight="1">
      <c r="A1811" s="2">
        <v>1810.0</v>
      </c>
      <c r="B1811" s="5" t="s">
        <v>3280</v>
      </c>
      <c r="C1811" s="6">
        <v>1.0</v>
      </c>
      <c r="D1811" s="7" t="s">
        <v>3280</v>
      </c>
      <c r="E1811" s="8" t="str">
        <f>IFERROR(__xludf.DUMMYFUNCTION("googletranslate(D1811,""id"",""en"")"),"when ppkm after cokk want to don't me")</f>
        <v>when ppkm after cokk want to don't me</v>
      </c>
    </row>
    <row r="1812" ht="15.75" customHeight="1">
      <c r="A1812" s="2">
        <v>1811.0</v>
      </c>
      <c r="B1812" s="5" t="s">
        <v>3281</v>
      </c>
      <c r="C1812" s="6">
        <v>2.0</v>
      </c>
      <c r="D1812" s="7" t="s">
        <v>3282</v>
      </c>
      <c r="E1812" s="8" t="str">
        <f>IFERROR(__xludf.DUMMYFUNCTION("googletranslate(D1812,""id"",""en"")"),"Make Dong PPKM ALA Thesis")</f>
        <v>Make Dong PPKM ALA Thesis</v>
      </c>
    </row>
    <row r="1813" ht="15.75" customHeight="1">
      <c r="A1813" s="2">
        <v>1812.0</v>
      </c>
      <c r="B1813" s="5" t="s">
        <v>3283</v>
      </c>
      <c r="C1813" s="6">
        <v>2.0</v>
      </c>
      <c r="D1813" s="7" t="s">
        <v>3284</v>
      </c>
      <c r="E1813" s="8" t="str">
        <f>IFERROR(__xludf.DUMMYFUNCTION("googletranslate(D1813,""id"",""en"")"),"It's gusted PPKM passing. Kangen offline, but PPKM still gets update")</f>
        <v>It's gusted PPKM passing. Kangen offline, but PPKM still gets update</v>
      </c>
    </row>
    <row r="1814" ht="15.75" customHeight="1">
      <c r="A1814" s="2">
        <v>1813.0</v>
      </c>
      <c r="B1814" s="5" t="s">
        <v>3285</v>
      </c>
      <c r="C1814" s="6">
        <v>1.0</v>
      </c>
      <c r="D1814" s="9" t="s">
        <v>3286</v>
      </c>
      <c r="E1814" s="8" t="str">
        <f>IFERROR(__xludf.DUMMYFUNCTION("googletranslate(D1814,""id"",""en"")"),"SJK PPKM on July. Thousands of residents: dead. Even the numbers have been captured &amp; amp; Bnyk who died suddenly before was tested. The government: just checked the stock of rice. Just promised. Will channel. Just make a plan. Just budgeted. The assignme"&amp;"nt is not cool.")</f>
        <v>SJK PPKM on July. Thousands of residents: dead. Even the numbers have been captured &amp; amp; Bnyk who died suddenly before was tested. The government: just checked the stock of rice. Just promised. Will channel. Just make a plan. Just budgeted. The assignment is not cool.</v>
      </c>
    </row>
    <row r="1815" ht="15.75" customHeight="1">
      <c r="A1815" s="2">
        <v>1814.0</v>
      </c>
      <c r="B1815" s="5" t="s">
        <v>3287</v>
      </c>
      <c r="C1815" s="6">
        <v>2.0</v>
      </c>
      <c r="D1815" s="7" t="s">
        <v>3288</v>
      </c>
      <c r="E1815" s="8" t="str">
        <f>IFERROR(__xludf.DUMMYFUNCTION("googletranslate(D1815,""id"",""en"")"),"ppkm when is the selection")</f>
        <v>ppkm when is the selection</v>
      </c>
    </row>
    <row r="1816" ht="15.75" customHeight="1">
      <c r="A1816" s="2">
        <v>1815.0</v>
      </c>
      <c r="B1816" s="5" t="s">
        <v>3289</v>
      </c>
      <c r="C1816" s="6">
        <v>2.0</v>
      </c>
      <c r="D1816" s="7" t="s">
        <v>3290</v>
      </c>
      <c r="E1816" s="8" t="str">
        <f>IFERROR(__xludf.DUMMYFUNCTION("googletranslate(D1816,""id"",""en"")"),"Ppkm tuh ya via smua in the photo, people rich monkey people")</f>
        <v>Ppkm tuh ya via smua in the photo, people rich monkey people</v>
      </c>
    </row>
    <row r="1817" ht="15.75" customHeight="1">
      <c r="A1817" s="2">
        <v>1816.0</v>
      </c>
      <c r="B1817" s="5" t="s">
        <v>3291</v>
      </c>
      <c r="C1817" s="6">
        <v>2.0</v>
      </c>
      <c r="D1817" s="9" t="s">
        <v>3292</v>
      </c>
      <c r="E1817" s="8" t="str">
        <f>IFERROR(__xludf.DUMMYFUNCTION("googletranslate(D1817,""id"",""en"")"),"I don't go when the ppm is pretty when it's a demonstration, if you don't have a child who is married to all the family taking care of the family")</f>
        <v>I don't go when the ppm is pretty when it's a demonstration, if you don't have a child who is married to all the family taking care of the family</v>
      </c>
    </row>
    <row r="1818" ht="15.75" customHeight="1">
      <c r="A1818" s="2">
        <v>1817.0</v>
      </c>
      <c r="B1818" s="5" t="s">
        <v>3293</v>
      </c>
      <c r="C1818" s="6">
        <v>1.0</v>
      </c>
      <c r="D1818" s="7" t="s">
        <v>3294</v>
      </c>
      <c r="E1818" s="8" t="str">
        <f>IFERROR(__xludf.DUMMYFUNCTION("googletranslate(D1818,""id"",""en"")"),"Road Closed, PPKM")</f>
        <v>Road Closed, PPKM</v>
      </c>
    </row>
    <row r="1819" ht="15.75" customHeight="1">
      <c r="A1819" s="2">
        <v>1818.0</v>
      </c>
      <c r="B1819" s="5" t="s">
        <v>3295</v>
      </c>
      <c r="C1819" s="6">
        <v>2.0</v>
      </c>
      <c r="D1819" s="7" t="s">
        <v>3296</v>
      </c>
      <c r="E1819" s="8" t="str">
        <f>IFERROR(__xludf.DUMMYFUNCTION("googletranslate(D1819,""id"",""en"")"),"PPKM is ""Cut Peler go along manh""")</f>
        <v>PPKM is "Cut Peler go along manh"</v>
      </c>
    </row>
    <row r="1820" ht="15.75" customHeight="1">
      <c r="A1820" s="2">
        <v>1819.0</v>
      </c>
      <c r="B1820" s="5" t="s">
        <v>3297</v>
      </c>
      <c r="C1820" s="6">
        <v>2.0</v>
      </c>
      <c r="D1820" s="7" t="s">
        <v>3298</v>
      </c>
      <c r="E1820" s="8" t="str">
        <f>IFERROR(__xludf.DUMMYFUNCTION("googletranslate(D1820,""id"",""en"")"),"Bro, it's upset at KRN PPKM extended length x width x height: nam rebu meet the weight of bebs,")</f>
        <v>Bro, it's upset at KRN PPKM extended length x width x height: nam rebu meet the weight of bebs,</v>
      </c>
    </row>
    <row r="1821" ht="15.75" customHeight="1">
      <c r="A1821" s="2">
        <v>1820.0</v>
      </c>
      <c r="B1821" s="5" t="s">
        <v>3299</v>
      </c>
      <c r="C1821" s="6">
        <v>1.0</v>
      </c>
      <c r="D1821" s="7" t="s">
        <v>3299</v>
      </c>
      <c r="E1821" s="8" t="str">
        <f>IFERROR(__xludf.DUMMYFUNCTION("googletranslate(D1821,""id"",""en"")"),"The PPKM was broken up with my mind a mess. pls god pls enlighten me")</f>
        <v>The PPKM was broken up with my mind a mess. pls god pls enlighten me</v>
      </c>
    </row>
    <row r="1822" ht="15.75" customHeight="1">
      <c r="A1822" s="2">
        <v>1821.0</v>
      </c>
      <c r="B1822" s="5" t="s">
        <v>3300</v>
      </c>
      <c r="C1822" s="6">
        <v>2.0</v>
      </c>
      <c r="D1822" s="7" t="s">
        <v>3300</v>
      </c>
      <c r="E1822" s="8" t="str">
        <f>IFERROR(__xludf.DUMMYFUNCTION("googletranslate(D1822,""id"",""en"")"),"Does it deserve a famous person holding a birthday in the middle PPKM ??")</f>
        <v>Does it deserve a famous person holding a birthday in the middle PPKM ??</v>
      </c>
    </row>
    <row r="1823" ht="15.75" customHeight="1">
      <c r="A1823" s="2">
        <v>1822.0</v>
      </c>
      <c r="B1823" s="5" t="s">
        <v>3301</v>
      </c>
      <c r="C1823" s="6">
        <v>1.0</v>
      </c>
      <c r="D1823" s="9" t="s">
        <v>3302</v>
      </c>
      <c r="E1823" s="8" t="str">
        <f>IFERROR(__xludf.DUMMYFUNCTION("googletranslate(D1823,""id"",""en"")"),"I think hundreds of thousands of Indonesians want to be given the same solution, the proof of this PPKM has just obey most speeches to the road not agree")</f>
        <v>I think hundreds of thousands of Indonesians want to be given the same solution, the proof of this PPKM has just obey most speeches to the road not agree</v>
      </c>
    </row>
    <row r="1824" ht="15.75" customHeight="1">
      <c r="A1824" s="2">
        <v>1823.0</v>
      </c>
      <c r="B1824" s="5" t="s">
        <v>3303</v>
      </c>
      <c r="C1824" s="6">
        <v>2.0</v>
      </c>
      <c r="D1824" s="10" t="s">
        <v>3304</v>
      </c>
      <c r="E1824" s="8" t="str">
        <f>IFERROR(__xludf.DUMMYFUNCTION("googletranslate(D1824,""id"",""en"")"),"PPKM.")</f>
        <v>PPKM.</v>
      </c>
    </row>
    <row r="1825" ht="15.75" customHeight="1">
      <c r="A1825" s="2">
        <v>1824.0</v>
      </c>
      <c r="B1825" s="5" t="s">
        <v>3305</v>
      </c>
      <c r="C1825" s="6">
        <v>3.0</v>
      </c>
      <c r="D1825" s="7" t="s">
        <v>3306</v>
      </c>
      <c r="E1825" s="8" t="str">
        <f>IFERROR(__xludf.DUMMYFUNCTION("googletranslate(D1825,""id"",""en"")"),"During the PPKM it was clear that all activities were carried out at home. It's a bit bother, Sis, but the common kindness is to be run.")</f>
        <v>During the PPKM it was clear that all activities were carried out at home. It's a bit bother, Sis, but the common kindness is to be run.</v>
      </c>
    </row>
    <row r="1826" ht="15.75" customHeight="1">
      <c r="A1826" s="2">
        <v>1825.0</v>
      </c>
      <c r="B1826" s="5" t="s">
        <v>3307</v>
      </c>
      <c r="C1826" s="6">
        <v>2.0</v>
      </c>
      <c r="D1826" s="9" t="s">
        <v>3308</v>
      </c>
      <c r="E1826" s="8" t="str">
        <f>IFERROR(__xludf.DUMMYFUNCTION("googletranslate(D1826,""id"",""en"")"),"Right when the child is rewaja belom there is a ppkm bang")</f>
        <v>Right when the child is rewaja belom there is a ppkm bang</v>
      </c>
    </row>
    <row r="1827" ht="15.75" customHeight="1">
      <c r="A1827" s="2">
        <v>1826.0</v>
      </c>
      <c r="B1827" s="5" t="s">
        <v>3309</v>
      </c>
      <c r="C1827" s="6">
        <v>1.0</v>
      </c>
      <c r="D1827" s="7" t="s">
        <v>3310</v>
      </c>
      <c r="E1827" s="8" t="str">
        <f>IFERROR(__xludf.DUMMYFUNCTION("googletranslate(D1827,""id"",""en"")"),"For those who understand the covid-19 bhyanya without extending the PPKM will be obedient in RMH SJ and fear of snacks carelessly")</f>
        <v>For those who understand the covid-19 bhyanya without extending the PPKM will be obedient in RMH SJ and fear of snacks carelessly</v>
      </c>
    </row>
    <row r="1828" ht="15.75" customHeight="1">
      <c r="A1828" s="2">
        <v>1827.0</v>
      </c>
      <c r="B1828" s="5" t="s">
        <v>3311</v>
      </c>
      <c r="C1828" s="6">
        <v>2.0</v>
      </c>
      <c r="D1828" s="12" t="s">
        <v>3312</v>
      </c>
      <c r="E1828" s="8" t="str">
        <f>IFERROR(__xludf.DUMMYFUNCTION("googletranslate(D1828,""id"",""en"")"),"PPKM Lohhh.")</f>
        <v>PPKM Lohhh.</v>
      </c>
    </row>
    <row r="1829" ht="15.75" customHeight="1">
      <c r="A1829" s="2">
        <v>1828.0</v>
      </c>
      <c r="B1829" s="5" t="s">
        <v>3313</v>
      </c>
      <c r="C1829" s="6">
        <v>1.0</v>
      </c>
      <c r="D1829" s="7" t="s">
        <v>3314</v>
      </c>
      <c r="E1829" s="8" t="str">
        <f>IFERROR(__xludf.DUMMYFUNCTION("googletranslate(D1829,""id"",""en"")"),"tpi boonk aka kaga clear bgt u jmet again ppkm instead gathering here and there, the mask released cool kaga, instead it looks like BG")</f>
        <v>tpi boonk aka kaga clear bgt u jmet again ppkm instead gathering here and there, the mask released cool kaga, instead it looks like BG</v>
      </c>
    </row>
    <row r="1830" ht="15.75" customHeight="1">
      <c r="A1830" s="2">
        <v>1829.0</v>
      </c>
      <c r="B1830" s="5" t="s">
        <v>3315</v>
      </c>
      <c r="C1830" s="6">
        <v>1.0</v>
      </c>
      <c r="D1830" s="9" t="s">
        <v>3316</v>
      </c>
      <c r="E1830" s="8" t="str">
        <f>IFERROR(__xludf.DUMMYFUNCTION("googletranslate(D1830,""id"",""en"")"),"Where are you, sir. One year is still busy discussing the term. Mending let's think of solutions so that the small people can join PPKM but without the need to starve.")</f>
        <v>Where are you, sir. One year is still busy discussing the term. Mending let's think of solutions so that the small people can join PPKM but without the need to starve.</v>
      </c>
    </row>
    <row r="1831" ht="15.75" customHeight="1">
      <c r="A1831" s="2">
        <v>1830.0</v>
      </c>
      <c r="B1831" s="5" t="s">
        <v>3317</v>
      </c>
      <c r="C1831" s="6">
        <v>2.0</v>
      </c>
      <c r="D1831" s="9" t="s">
        <v>3318</v>
      </c>
      <c r="E1831" s="8" t="str">
        <f>IFERROR(__xludf.DUMMYFUNCTION("googletranslate(D1831,""id"",""en"")"),"PPKM: The process of postponing student graduation.")</f>
        <v>PPKM: The process of postponing student graduation.</v>
      </c>
    </row>
    <row r="1832" ht="15.75" customHeight="1">
      <c r="A1832" s="2">
        <v>1831.0</v>
      </c>
      <c r="B1832" s="5" t="s">
        <v>3319</v>
      </c>
      <c r="C1832" s="6">
        <v>2.0</v>
      </c>
      <c r="D1832" s="7" t="s">
        <v>3319</v>
      </c>
      <c r="E1832" s="8" t="str">
        <f>IFERROR(__xludf.DUMMYFUNCTION("googletranslate(D1832,""id"",""en"")"),"Where are you still PPKM?")</f>
        <v>Where are you still PPKM?</v>
      </c>
    </row>
    <row r="1833" ht="15.75" customHeight="1">
      <c r="A1833" s="2">
        <v>1832.0</v>
      </c>
      <c r="B1833" s="5" t="s">
        <v>3320</v>
      </c>
      <c r="C1833" s="6">
        <v>2.0</v>
      </c>
      <c r="D1833" s="9" t="s">
        <v>3320</v>
      </c>
      <c r="E1833" s="8" t="str">
        <f>IFERROR(__xludf.DUMMYFUNCTION("googletranslate(D1833,""id"",""en"")"),"They are not included in the recipient of Cash Social Assistance (BST) and Family Hope Program. These assistance is expected to help reduce the burden of the community during the emergency PPKM extension.")</f>
        <v>They are not included in the recipient of Cash Social Assistance (BST) and Family Hope Program. These assistance is expected to help reduce the burden of the community during the emergency PPKM extension.</v>
      </c>
    </row>
    <row r="1834" ht="15.75" customHeight="1">
      <c r="A1834" s="2">
        <v>1833.0</v>
      </c>
      <c r="B1834" s="5" t="s">
        <v>3321</v>
      </c>
      <c r="C1834" s="6">
        <v>2.0</v>
      </c>
      <c r="D1834" s="7" t="s">
        <v>3322</v>
      </c>
      <c r="E1834" s="8" t="str">
        <f>IFERROR(__xludf.DUMMYFUNCTION("googletranslate(D1834,""id"",""en"")"),"Yes but ppkm doesn't want to be extended")</f>
        <v>Yes but ppkm doesn't want to be extended</v>
      </c>
    </row>
    <row r="1835" ht="15.75" customHeight="1">
      <c r="A1835" s="2">
        <v>1834.0</v>
      </c>
      <c r="B1835" s="5" t="s">
        <v>3323</v>
      </c>
      <c r="C1835" s="6">
        <v>1.0</v>
      </c>
      <c r="D1835" s="7" t="s">
        <v>3324</v>
      </c>
      <c r="E1835" s="8" t="str">
        <f>IFERROR(__xludf.DUMMYFUNCTION("googletranslate(D1835,""id"",""en"")"),"PPKM extended with the status of use level. Astaghfirullah is already rich playing game. Eeeh ups, this is just a game")</f>
        <v>PPKM extended with the status of use level. Astaghfirullah is already rich playing game. Eeeh ups, this is just a game</v>
      </c>
    </row>
    <row r="1836" ht="15.75" customHeight="1">
      <c r="A1836" s="2">
        <v>1835.0</v>
      </c>
      <c r="B1836" s="5" t="s">
        <v>3325</v>
      </c>
      <c r="C1836" s="6">
        <v>1.0</v>
      </c>
      <c r="D1836" s="7" t="s">
        <v>3326</v>
      </c>
      <c r="E1836" s="8" t="str">
        <f>IFERROR(__xludf.DUMMYFUNCTION("googletranslate(D1836,""id"",""en"")"),"My asthma is also more so during the PPKM")</f>
        <v>My asthma is also more so during the PPKM</v>
      </c>
    </row>
    <row r="1837" ht="15.75" customHeight="1">
      <c r="A1837" s="2">
        <v>1836.0</v>
      </c>
      <c r="B1837" s="5" t="s">
        <v>3327</v>
      </c>
      <c r="C1837" s="6">
        <v>1.0</v>
      </c>
      <c r="D1837" s="7" t="s">
        <v>3328</v>
      </c>
      <c r="E1837" s="8" t="str">
        <f>IFERROR(__xludf.DUMMYFUNCTION("googletranslate(D1837,""id"",""en"")"),"Ppkm but it's not given eating ...")</f>
        <v>Ppkm but it's not given eating ...</v>
      </c>
    </row>
    <row r="1838" ht="15.75" customHeight="1">
      <c r="A1838" s="2">
        <v>1837.0</v>
      </c>
      <c r="B1838" s="5" t="s">
        <v>3329</v>
      </c>
      <c r="C1838" s="6">
        <v>1.0</v>
      </c>
      <c r="D1838" s="9" t="s">
        <v>3330</v>
      </c>
      <c r="E1838" s="8" t="str">
        <f>IFERROR(__xludf.DUMMYFUNCTION("googletranslate(D1838,""id"",""en"")"),"Just recovering it has to be ngelgelsnggar ppkm just because the kolot people who don't understand there is a technology called zoom or google meet for meetings, tired dog")</f>
        <v>Just recovering it has to be ngelgelsnggar ppkm just because the kolot people who don't understand there is a technology called zoom or google meet for meetings, tired dog</v>
      </c>
    </row>
    <row r="1839" ht="15.75" customHeight="1">
      <c r="A1839" s="2">
        <v>1838.0</v>
      </c>
      <c r="B1839" s="5" t="s">
        <v>3331</v>
      </c>
      <c r="C1839" s="6">
        <v>2.0</v>
      </c>
      <c r="D1839" s="9" t="s">
        <v>3332</v>
      </c>
      <c r="E1839" s="8" t="str">
        <f>IFERROR(__xludf.DUMMYFUNCTION("googletranslate(D1839,""id"",""en"")"),"hahah yes tar if it's not ppkm yeah I have a balong there too")</f>
        <v>hahah yes tar if it's not ppkm yeah I have a balong there too</v>
      </c>
    </row>
    <row r="1840" ht="15.75" customHeight="1">
      <c r="A1840" s="2">
        <v>1839.0</v>
      </c>
      <c r="B1840" s="5" t="s">
        <v>3333</v>
      </c>
      <c r="C1840" s="6">
        <v>2.0</v>
      </c>
      <c r="D1840" s="7" t="s">
        <v>3333</v>
      </c>
      <c r="E1840" s="8" t="str">
        <f>IFERROR(__xludf.DUMMYFUNCTION("googletranslate(D1840,""id"",""en"")"),"What PPKM level?")</f>
        <v>What PPKM level?</v>
      </c>
    </row>
    <row r="1841" ht="15.75" customHeight="1">
      <c r="A1841" s="2">
        <v>1840.0</v>
      </c>
      <c r="B1841" s="5" t="s">
        <v>3334</v>
      </c>
      <c r="C1841" s="6">
        <v>1.0</v>
      </c>
      <c r="D1841" s="9" t="s">
        <v>3335</v>
      </c>
      <c r="E1841" s="8" t="str">
        <f>IFERROR(__xludf.DUMMYFUNCTION("googletranslate(D1841,""id"",""en"")"),"Because of the PPKM Level Ni Competition on Campus W Becomes Online Njir")</f>
        <v>Because of the PPKM Level Ni Competition on Campus W Becomes Online Njir</v>
      </c>
    </row>
    <row r="1842" ht="15.75" customHeight="1">
      <c r="A1842" s="2">
        <v>1841.0</v>
      </c>
      <c r="B1842" s="5" t="s">
        <v>3336</v>
      </c>
      <c r="C1842" s="6">
        <v>2.0</v>
      </c>
      <c r="D1842" s="7" t="s">
        <v>3337</v>
      </c>
      <c r="E1842" s="8" t="str">
        <f>IFERROR(__xludf.DUMMYFUNCTION("googletranslate(D1842,""id"",""en"")"),"PPKM Level What is the chili seed ... ???")</f>
        <v>PPKM Level What is the chili seed ... ???</v>
      </c>
    </row>
    <row r="1843" ht="15.75" customHeight="1">
      <c r="A1843" s="2">
        <v>1842.0</v>
      </c>
      <c r="B1843" s="5" t="s">
        <v>3338</v>
      </c>
      <c r="C1843" s="6">
        <v>3.0</v>
      </c>
      <c r="D1843" s="7" t="s">
        <v>3339</v>
      </c>
      <c r="E1843" s="8" t="str">
        <f>IFERROR(__xludf.DUMMYFUNCTION("googletranslate(D1843,""id"",""en"")"),"Already know, Sis. But grateful that even though the PPKM was extended, more and more government assistance.")</f>
        <v>Already know, Sis. But grateful that even though the PPKM was extended, more and more government assistance.</v>
      </c>
    </row>
    <row r="1844" ht="15.75" customHeight="1">
      <c r="A1844" s="2">
        <v>1843.0</v>
      </c>
      <c r="B1844" s="5" t="s">
        <v>3340</v>
      </c>
      <c r="C1844" s="6">
        <v>2.0</v>
      </c>
      <c r="D1844" s="7" t="s">
        <v>3341</v>
      </c>
      <c r="E1844" s="8" t="str">
        <f>IFERROR(__xludf.DUMMYFUNCTION("googletranslate(D1844,""id"",""en"")"),"I want to ask PPKM fuck. PPKM is you, youth youth like a monkey")</f>
        <v>I want to ask PPKM fuck. PPKM is you, youth youth like a monkey</v>
      </c>
    </row>
    <row r="1845" ht="15.75" customHeight="1">
      <c r="A1845" s="2">
        <v>1844.0</v>
      </c>
      <c r="B1845" s="5" t="s">
        <v>3342</v>
      </c>
      <c r="C1845" s="6">
        <v>2.0</v>
      </c>
      <c r="D1845" s="7" t="s">
        <v>3343</v>
      </c>
      <c r="E1845" s="8" t="str">
        <f>IFERROR(__xludf.DUMMYFUNCTION("googletranslate(D1845,""id"",""en"")"),"Ppkm ngefek it to our relationship which is increasingly tenuous.")</f>
        <v>Ppkm ngefek it to our relationship which is increasingly tenuous.</v>
      </c>
    </row>
    <row r="1846" ht="15.75" customHeight="1">
      <c r="A1846" s="2">
        <v>1845.0</v>
      </c>
      <c r="B1846" s="5" t="s">
        <v>3344</v>
      </c>
      <c r="C1846" s="6">
        <v>3.0</v>
      </c>
      <c r="D1846" s="7" t="s">
        <v>3345</v>
      </c>
      <c r="E1846" s="8" t="str">
        <f>IFERROR(__xludf.DUMMYFUNCTION("googletranslate(D1846,""id"",""en"")"),"Hope we all decrease, Ma'am. Especially with this PPKM.")</f>
        <v>Hope we all decrease, Ma'am. Especially with this PPKM.</v>
      </c>
    </row>
    <row r="1847" ht="15.75" customHeight="1">
      <c r="A1847" s="2">
        <v>1846.0</v>
      </c>
      <c r="B1847" s="5" t="s">
        <v>3346</v>
      </c>
      <c r="C1847" s="6">
        <v>1.0</v>
      </c>
      <c r="D1847" s="7" t="s">
        <v>3347</v>
      </c>
      <c r="E1847" s="8" t="str">
        <f>IFERROR(__xludf.DUMMYFUNCTION("googletranslate(D1847,""id"",""en"")"),"PPKM has been over &amp; amp; Changed the name JD Level2an, the government (finally) new promised.")</f>
        <v>PPKM has been over &amp; amp; Changed the name JD Level2an, the government (finally) new promised.</v>
      </c>
    </row>
    <row r="1848" ht="15.75" customHeight="1">
      <c r="A1848" s="2">
        <v>1847.0</v>
      </c>
      <c r="B1848" s="5" t="s">
        <v>3348</v>
      </c>
      <c r="C1848" s="6">
        <v>3.0</v>
      </c>
      <c r="D1848" s="7" t="s">
        <v>3349</v>
      </c>
      <c r="E1848" s="8" t="str">
        <f>IFERROR(__xludf.DUMMYFUNCTION("googletranslate(D1848,""id"",""en"")"),"Every regional head should understand the circumstances. Pak who is very understanding what HRS is done in the middle of this pandemic. Good in the extended PPKM scenario or not Working together to finish this pandemic. Hopefully everything is facilitated"&amp;".")</f>
        <v>Every regional head should understand the circumstances. Pak who is very understanding what HRS is done in the middle of this pandemic. Good in the extended PPKM scenario or not Working together to finish this pandemic. Hopefully everything is facilitated.</v>
      </c>
    </row>
    <row r="1849" ht="15.75" customHeight="1">
      <c r="A1849" s="2">
        <v>1848.0</v>
      </c>
      <c r="B1849" s="5" t="s">
        <v>3350</v>
      </c>
      <c r="C1849" s="6">
        <v>1.0</v>
      </c>
      <c r="D1849" s="7" t="s">
        <v>3350</v>
      </c>
      <c r="E1849" s="8" t="str">
        <f>IFERROR(__xludf.DUMMYFUNCTION("googletranslate(D1849,""id"",""en"")"),"PPKM: Enforcement of Community Humanitarian Restrictions")</f>
        <v>PPKM: Enforcement of Community Humanitarian Restrictions</v>
      </c>
    </row>
    <row r="1850" ht="15.75" customHeight="1">
      <c r="A1850" s="2">
        <v>1849.0</v>
      </c>
      <c r="B1850" s="5" t="s">
        <v>3351</v>
      </c>
      <c r="C1850" s="6">
        <v>1.0</v>
      </c>
      <c r="D1850" s="7" t="s">
        <v>3352</v>
      </c>
      <c r="E1850" s="8" t="str">
        <f>IFERROR(__xludf.DUMMYFUNCTION("googletranslate(D1850,""id"",""en"")"),"PPKM Janchoooo *")</f>
        <v>PPKM Janchoooo *</v>
      </c>
    </row>
    <row r="1851" ht="15.75" customHeight="1">
      <c r="A1851" s="2">
        <v>1850.0</v>
      </c>
      <c r="B1851" s="5" t="s">
        <v>3353</v>
      </c>
      <c r="C1851" s="6">
        <v>1.0</v>
      </c>
      <c r="D1851" s="9" t="s">
        <v>3354</v>
      </c>
      <c r="E1851" s="8" t="str">
        <f>IFERROR(__xludf.DUMMYFUNCTION("googletranslate(D1851,""id"",""en"")"),"This pandemic is increasingly distributed then it will not end, it will be the word covid, it will calm down this country, the PPKM does not need to take care of yourself the mosque where complainers are even closed, this country's economy has been able t"&amp;"o level the level of the Leader of the National Leader. this")</f>
        <v>This pandemic is increasingly distributed then it will not end, it will be the word covid, it will calm down this country, the PPKM does not need to take care of yourself the mosque where complainers are even closed, this country's economy has been able to level the level of the Leader of the National Leader. this</v>
      </c>
    </row>
    <row r="1852" ht="15.75" customHeight="1">
      <c r="A1852" s="2">
        <v>1851.0</v>
      </c>
      <c r="B1852" s="5" t="s">
        <v>3355</v>
      </c>
      <c r="C1852" s="6">
        <v>2.0</v>
      </c>
      <c r="D1852" s="7" t="s">
        <v>3356</v>
      </c>
      <c r="E1852" s="8" t="str">
        <f>IFERROR(__xludf.DUMMYFUNCTION("googletranslate(D1852,""id"",""en"")"),"Ppkm level fixppkm level ppkm finalppkm final fix bismillahppkm final fix bismillah last ppkm final fix bismillah last revised ppkm final fix bismillah last revised printpkm final fix bismillah keridewe tenan printppkm final alhamdulillah print")</f>
        <v>Ppkm level fixppkm level ppkm finalppkm final fix bismillahppkm final fix bismillah last ppkm final fix bismillah last revised ppkm final fix bismillah last revised printpkm final fix bismillah keridewe tenan printppkm final alhamdulillah print</v>
      </c>
    </row>
    <row r="1853" ht="15.75" customHeight="1">
      <c r="A1853" s="2">
        <v>1852.0</v>
      </c>
      <c r="B1853" s="5" t="s">
        <v>3357</v>
      </c>
      <c r="C1853" s="6">
        <v>1.0</v>
      </c>
      <c r="D1853" s="7" t="s">
        <v>3358</v>
      </c>
      <c r="E1853" s="8" t="str">
        <f>IFERROR(__xludf.DUMMYFUNCTION("googletranslate(D1853,""id"",""en"")"),"Gandang because of the people's resistance THD PPKM which is a sense not to carry out the character of the region regulated by the Law ..")</f>
        <v>Gandang because of the people's resistance THD PPKM which is a sense not to carry out the character of the region regulated by the Law ..</v>
      </c>
    </row>
    <row r="1854" ht="15.75" customHeight="1">
      <c r="A1854" s="2">
        <v>1853.0</v>
      </c>
      <c r="B1854" s="5" t="s">
        <v>3359</v>
      </c>
      <c r="C1854" s="6">
        <v>3.0</v>
      </c>
      <c r="D1854" s="7" t="s">
        <v>3360</v>
      </c>
      <c r="E1854" s="8" t="str">
        <f>IFERROR(__xludf.DUMMYFUNCTION("googletranslate(D1854,""id"",""en"")"),"Hoping so that the addition of the extension of this PPKM case is a Covid case to decline.")</f>
        <v>Hoping so that the addition of the extension of this PPKM case is a Covid case to decline.</v>
      </c>
    </row>
    <row r="1855" ht="15.75" customHeight="1">
      <c r="A1855" s="2">
        <v>1854.0</v>
      </c>
      <c r="B1855" s="5" t="s">
        <v>3361</v>
      </c>
      <c r="C1855" s="6">
        <v>1.0</v>
      </c>
      <c r="D1855" s="9" t="s">
        <v>3362</v>
      </c>
      <c r="E1855" s="8" t="str">
        <f>IFERROR(__xludf.DUMMYFUNCTION("googletranslate(D1855,""id"",""en"")"),"Organized and planned .. The scenario of the cunning opposition ... the PPKM rejects the revolution shouted ...")</f>
        <v>Organized and planned .. The scenario of the cunning opposition ... the PPKM rejects the revolution shouted ...</v>
      </c>
    </row>
    <row r="1856" ht="15.75" customHeight="1">
      <c r="A1856" s="2">
        <v>1855.0</v>
      </c>
      <c r="B1856" s="5" t="s">
        <v>3363</v>
      </c>
      <c r="C1856" s="6">
        <v>2.0</v>
      </c>
      <c r="D1856" s="7" t="s">
        <v>3363</v>
      </c>
      <c r="E1856" s="8" t="str">
        <f>IFERROR(__xludf.DUMMYFUNCTION("googletranslate(D1856,""id"",""en"")"),"Ppkm already ky boncabe yes, huhu")</f>
        <v>Ppkm already ky boncabe yes, huhu</v>
      </c>
    </row>
    <row r="1857" ht="15.75" customHeight="1">
      <c r="A1857" s="2">
        <v>1856.0</v>
      </c>
      <c r="B1857" s="5" t="s">
        <v>3364</v>
      </c>
      <c r="C1857" s="6">
        <v>2.0</v>
      </c>
      <c r="D1857" s="7" t="s">
        <v>3365</v>
      </c>
      <c r="E1857" s="8" t="str">
        <f>IFERROR(__xludf.DUMMYFUNCTION("googletranslate(D1857,""id"",""en"")"),"Ppkm = morning morning we mbadut")</f>
        <v>Ppkm = morning morning we mbadut</v>
      </c>
    </row>
    <row r="1858" ht="15.75" customHeight="1">
      <c r="A1858" s="2">
        <v>1857.0</v>
      </c>
      <c r="B1858" s="5" t="s">
        <v>3366</v>
      </c>
      <c r="C1858" s="6">
        <v>1.0</v>
      </c>
      <c r="D1858" s="9" t="s">
        <v>3366</v>
      </c>
      <c r="E1858" s="8" t="str">
        <f>IFERROR(__xludf.DUMMYFUNCTION("googletranslate(D1858,""id"",""en"")"),"The bottom people want to be quickly quickly finished (although it should not be) so that it can work again, but the upper middle class wants the same thing just because it's bored you want to vacation, and take a walk, it's already no brain. Go to Hell.")</f>
        <v>The bottom people want to be quickly quickly finished (although it should not be) so that it can work again, but the upper middle class wants the same thing just because it's bored you want to vacation, and take a walk, it's already no brain. Go to Hell.</v>
      </c>
    </row>
    <row r="1859" ht="15.75" customHeight="1">
      <c r="A1859" s="2">
        <v>1858.0</v>
      </c>
      <c r="B1859" s="5" t="s">
        <v>3367</v>
      </c>
      <c r="C1859" s="6">
        <v>2.0</v>
      </c>
      <c r="D1859" s="7" t="s">
        <v>3368</v>
      </c>
      <c r="E1859" s="8" t="str">
        <f>IFERROR(__xludf.DUMMYFUNCTION("googletranslate(D1859,""id"",""en"")"),"The vehicle test is still open at the PPKM period?")</f>
        <v>The vehicle test is still open at the PPKM period?</v>
      </c>
    </row>
    <row r="1860" ht="15.75" customHeight="1">
      <c r="A1860" s="2">
        <v>1859.0</v>
      </c>
      <c r="B1860" s="5" t="s">
        <v>3369</v>
      </c>
      <c r="C1860" s="6">
        <v>2.0</v>
      </c>
      <c r="D1860" s="7" t="s">
        <v>3370</v>
      </c>
      <c r="E1860" s="8" t="str">
        <f>IFERROR(__xludf.DUMMYFUNCTION("googletranslate(D1860,""id"",""en"")"),"PPKM is a government policy, the city government is a government representative in the city, yes demo to the mayor's office, ...")</f>
        <v>PPKM is a government policy, the city government is a government representative in the city, yes demo to the mayor's office, ...</v>
      </c>
    </row>
    <row r="1861" ht="15.75" customHeight="1">
      <c r="A1861" s="2">
        <v>1860.0</v>
      </c>
      <c r="B1861" s="5" t="s">
        <v>3371</v>
      </c>
      <c r="C1861" s="6">
        <v>2.0</v>
      </c>
      <c r="D1861" s="7" t="s">
        <v>3371</v>
      </c>
      <c r="E1861" s="8" t="str">
        <f>IFERROR(__xludf.DUMMYFUNCTION("googletranslate(D1861,""id"",""en"")"),"emergency ppkm extended until you love me")</f>
        <v>emergency ppkm extended until you love me</v>
      </c>
    </row>
    <row r="1862" ht="15.75" customHeight="1">
      <c r="A1862" s="2">
        <v>1861.0</v>
      </c>
      <c r="B1862" s="5" t="s">
        <v>3372</v>
      </c>
      <c r="C1862" s="6">
        <v>1.0</v>
      </c>
      <c r="D1862" s="7" t="s">
        <v>3373</v>
      </c>
      <c r="E1862" s="8" t="str">
        <f>IFERROR(__xludf.DUMMYFUNCTION("googletranslate(D1862,""id"",""en"")"),"Already, sir, during the PPKM. At home continues. When he fantasized for a moment. , rice kg. , kg cooking oil. , Indomie, Complete Seasoning. vegetables and fruit")</f>
        <v>Already, sir, during the PPKM. At home continues. When he fantasized for a moment. , rice kg. , kg cooking oil. , Indomie, Complete Seasoning. vegetables and fruit</v>
      </c>
    </row>
    <row r="1863" ht="15.75" customHeight="1">
      <c r="A1863" s="2">
        <v>1862.0</v>
      </c>
      <c r="B1863" s="5" t="s">
        <v>3374</v>
      </c>
      <c r="C1863" s="6">
        <v>2.0</v>
      </c>
      <c r="D1863" s="9" t="s">
        <v>3375</v>
      </c>
      <c r="E1863" s="8" t="str">
        <f>IFERROR(__xludf.DUMMYFUNCTION("googletranslate(D1863,""id"",""en"")"),"Ppkm if the level makes diarrhea or not?")</f>
        <v>Ppkm if the level makes diarrhea or not?</v>
      </c>
    </row>
    <row r="1864" ht="15.75" customHeight="1">
      <c r="A1864" s="2">
        <v>1863.0</v>
      </c>
      <c r="B1864" s="5" t="s">
        <v>3376</v>
      </c>
      <c r="C1864" s="6">
        <v>1.0</v>
      </c>
      <c r="D1864" s="7" t="s">
        <v>3377</v>
      </c>
      <c r="E1864" s="8" t="str">
        <f>IFERROR(__xludf.DUMMYFUNCTION("googletranslate(D1864,""id"",""en"")"),"It's better to reject that for the PPKM so that it is unreason to find the terms to trouble the small people")</f>
        <v>It's better to reject that for the PPKM so that it is unreason to find the terms to trouble the small people</v>
      </c>
    </row>
    <row r="1865" ht="15.75" customHeight="1">
      <c r="A1865" s="2">
        <v>1864.0</v>
      </c>
      <c r="B1865" s="5" t="s">
        <v>3378</v>
      </c>
      <c r="C1865" s="6">
        <v>2.0</v>
      </c>
      <c r="D1865" s="7" t="s">
        <v>3378</v>
      </c>
      <c r="E1865" s="8" t="str">
        <f>IFERROR(__xludf.DUMMYFUNCTION("googletranslate(D1865,""id"",""en"")"),"ni ppkm adverse ampe i have a child")</f>
        <v>ni ppkm adverse ampe i have a child</v>
      </c>
    </row>
    <row r="1866" ht="15.75" customHeight="1">
      <c r="A1866" s="2">
        <v>1865.0</v>
      </c>
      <c r="B1866" s="5" t="s">
        <v>3379</v>
      </c>
      <c r="C1866" s="6">
        <v>1.0</v>
      </c>
      <c r="D1866" s="9" t="s">
        <v>3380</v>
      </c>
      <c r="E1866" s="8" t="str">
        <f>IFERROR(__xludf.DUMMYFUNCTION("googletranslate(D1866,""id"",""en"")"),"ppkm fast finished, I miss you want to play with friends")</f>
        <v>ppkm fast finished, I miss you want to play with friends</v>
      </c>
    </row>
    <row r="1867" ht="15.75" customHeight="1">
      <c r="A1867" s="2">
        <v>1866.0</v>
      </c>
      <c r="B1867" s="5" t="s">
        <v>3381</v>
      </c>
      <c r="C1867" s="6">
        <v>1.0</v>
      </c>
      <c r="D1867" s="7" t="s">
        <v>3382</v>
      </c>
      <c r="E1867" s="8" t="str">
        <f>IFERROR(__xludf.DUMMYFUNCTION("googletranslate(D1867,""id"",""en"")"),"Ciduk, sir, I don't obey the prokes, we are obedient at home because of PPKM. Eh they are good gather together")</f>
        <v>Ciduk, sir, I don't obey the prokes, we are obedient at home because of PPKM. Eh they are good gather together</v>
      </c>
    </row>
    <row r="1868" ht="15.75" customHeight="1">
      <c r="A1868" s="2">
        <v>1867.0</v>
      </c>
      <c r="B1868" s="5" t="s">
        <v>3383</v>
      </c>
      <c r="C1868" s="6">
        <v>1.0</v>
      </c>
      <c r="D1868" s="7" t="s">
        <v>3384</v>
      </c>
      <c r="E1868" s="8" t="str">
        <f>IFERROR(__xludf.DUMMYFUNCTION("googletranslate(D1868,""id"",""en"")"),"Until now it doesn't understand and still be surprised by the attitude of the local government / regency / government / municipal government which is in the area of ​​conducting a befintery of the crowd action that is named religious activities in the imp"&amp;"lementation of the emergency PPKM DN now.")</f>
        <v>Until now it doesn't understand and still be surprised by the attitude of the local government / regency / government / municipal government which is in the area of ​​conducting a befintery of the crowd action that is named religious activities in the implementation of the emergency PPKM DN now.</v>
      </c>
    </row>
    <row r="1869" ht="15.75" customHeight="1">
      <c r="A1869" s="2">
        <v>1868.0</v>
      </c>
      <c r="B1869" s="5" t="s">
        <v>3385</v>
      </c>
      <c r="C1869" s="6">
        <v>2.0</v>
      </c>
      <c r="D1869" s="9" t="s">
        <v>3385</v>
      </c>
      <c r="E1869" s="8" t="str">
        <f>IFERROR(__xludf.DUMMYFUNCTION("googletranslate(D1869,""id"",""en"")"),"What is PPKM What is PPKM. oath that blg rich gt face lo ugly bgt")</f>
        <v>What is PPKM What is PPKM. oath that blg rich gt face lo ugly bgt</v>
      </c>
    </row>
    <row r="1870" ht="15.75" customHeight="1">
      <c r="A1870" s="2">
        <v>1869.0</v>
      </c>
      <c r="B1870" s="5" t="s">
        <v>3386</v>
      </c>
      <c r="C1870" s="6">
        <v>2.0</v>
      </c>
      <c r="D1870" s="9" t="s">
        <v>3387</v>
      </c>
      <c r="E1870" s="8" t="str">
        <f>IFERROR(__xludf.DUMMYFUNCTION("googletranslate(D1870,""id"",""en"")"),"What is this???? Use Indonesian well and correctly ....... PPKM effect and rarely meet people ... until you forget how to speak Indonesian ????? Don't forget about the country of Indonesia the results of our ancestors ????")</f>
        <v>What is this???? Use Indonesian well and correctly ....... PPKM effect and rarely meet people ... until you forget how to speak Indonesian ????? Don't forget about the country of Indonesia the results of our ancestors ????</v>
      </c>
    </row>
    <row r="1871" ht="15.75" customHeight="1">
      <c r="A1871" s="2">
        <v>1870.0</v>
      </c>
      <c r="B1871" s="5" t="s">
        <v>3388</v>
      </c>
      <c r="C1871" s="6">
        <v>1.0</v>
      </c>
      <c r="D1871" s="9" t="s">
        <v>3389</v>
      </c>
      <c r="E1871" s="8" t="str">
        <f>IFERROR(__xludf.DUMMYFUNCTION("googletranslate(D1871,""id"",""en"")"),"Cecebs If it is hungry to attack it to those responsible for feeding during PPKM, don't sradak to fellow netizens and people. Such useless. The usual meal you want to eat again, gag has a duid Klean enrading also gag paid u know")</f>
        <v>Cecebs If it is hungry to attack it to those responsible for feeding during PPKM, don't sradak to fellow netizens and people. Such useless. The usual meal you want to eat again, gag has a duid Klean enrading also gag paid u know</v>
      </c>
    </row>
    <row r="1872" ht="15.75" customHeight="1">
      <c r="A1872" s="2">
        <v>1871.0</v>
      </c>
      <c r="B1872" s="5" t="s">
        <v>3390</v>
      </c>
      <c r="C1872" s="6">
        <v>1.0</v>
      </c>
      <c r="D1872" s="9" t="s">
        <v>3391</v>
      </c>
      <c r="E1872" s="8" t="str">
        <f>IFERROR(__xludf.DUMMYFUNCTION("googletranslate(D1872,""id"",""en"")"),"PPKM LV imagine LV GMAN PEDES, Allah")</f>
        <v>PPKM LV imagine LV GMAN PEDES, Allah</v>
      </c>
    </row>
    <row r="1873" ht="15.75" customHeight="1">
      <c r="A1873" s="2">
        <v>1872.0</v>
      </c>
      <c r="B1873" s="5" t="s">
        <v>3392</v>
      </c>
      <c r="C1873" s="6">
        <v>1.0</v>
      </c>
      <c r="D1873" s="9" t="s">
        <v>3393</v>
      </c>
      <c r="E1873" s="8" t="str">
        <f>IFERROR(__xludf.DUMMYFUNCTION("googletranslate(D1873,""id"",""en"")"),"Very different from the dock when PSBB is still a lot of savings, when this PPKM savings, it's already done so there's no such thing as a widow with a widow with a widow, it's not just grateful if it's now")</f>
        <v>Very different from the dock when PSBB is still a lot of savings, when this PPKM savings, it's already done so there's no such thing as a widow with a widow with a widow, it's not just grateful if it's now</v>
      </c>
    </row>
    <row r="1874" ht="15.75" customHeight="1">
      <c r="A1874" s="2">
        <v>1873.0</v>
      </c>
      <c r="B1874" s="5" t="s">
        <v>3394</v>
      </c>
      <c r="C1874" s="6">
        <v>1.0</v>
      </c>
      <c r="D1874" s="7" t="s">
        <v>3395</v>
      </c>
      <c r="E1874" s="8" t="str">
        <f>IFERROR(__xludf.DUMMYFUNCTION("googletranslate(D1874,""id"",""en"")"),"Personally who ngeyel can be executed or not, what is demo, already know the LG PPKM")</f>
        <v>Personally who ngeyel can be executed or not, what is demo, already know the LG PPKM</v>
      </c>
    </row>
    <row r="1875" ht="15.75" customHeight="1">
      <c r="A1875" s="2">
        <v>1874.0</v>
      </c>
      <c r="B1875" s="5" t="s">
        <v>3396</v>
      </c>
      <c r="C1875" s="6">
        <v>1.0</v>
      </c>
      <c r="D1875" s="7" t="s">
        <v>3397</v>
      </c>
      <c r="E1875" s="8" t="str">
        <f>IFERROR(__xludf.DUMMYFUNCTION("googletranslate(D1875,""id"",""en"")"),"... should be the safety of the folk of the top priority in the country of Covid: just because of fear of the word quarantine, Corona is rampant! People suffer and miserable, worth fighting against emergency ppkm dude ... _")</f>
        <v>... should be the safety of the folk of the top priority in the country of Covid: just because of fear of the word quarantine, Corona is rampant! People suffer and miserable, worth fighting against emergency ppkm dude ... _</v>
      </c>
    </row>
    <row r="1876" ht="15.75" customHeight="1">
      <c r="A1876" s="2">
        <v>1875.0</v>
      </c>
      <c r="B1876" s="5" t="s">
        <v>3398</v>
      </c>
      <c r="C1876" s="6">
        <v>2.0</v>
      </c>
      <c r="D1876" s="9" t="s">
        <v>3399</v>
      </c>
      <c r="E1876" s="8" t="str">
        <f>IFERROR(__xludf.DUMMYFUNCTION("googletranslate(D1876,""id"",""en"")"),"PPKM in my city, if you are straightforward you get a stop, ask the vaccine letter and all the people. But if you turn, you will pass without a vaccine letter etc. only a little further away your trip wkwkwk who hasn't been vaccinated just turn it")</f>
        <v>PPKM in my city, if you are straightforward you get a stop, ask the vaccine letter and all the people. But if you turn, you will pass without a vaccine letter etc. only a little further away your trip wkwkwk who hasn't been vaccinated just turn it</v>
      </c>
    </row>
    <row r="1877" ht="15.75" customHeight="1">
      <c r="A1877" s="2">
        <v>1876.0</v>
      </c>
      <c r="B1877" s="5" t="s">
        <v>3400</v>
      </c>
      <c r="C1877" s="6">
        <v>2.0</v>
      </c>
      <c r="D1877" s="7" t="s">
        <v>3401</v>
      </c>
      <c r="E1877" s="8" t="str">
        <f>IFERROR(__xludf.DUMMYFUNCTION("googletranslate(D1877,""id"",""en"")"),"While the PPKM is sekarang. JT is quite hahaha.")</f>
        <v>While the PPKM is sekarang. JT is quite hahaha.</v>
      </c>
    </row>
    <row r="1878" ht="15.75" customHeight="1">
      <c r="A1878" s="2">
        <v>1877.0</v>
      </c>
      <c r="B1878" s="5" t="s">
        <v>3402</v>
      </c>
      <c r="C1878" s="6">
        <v>1.0</v>
      </c>
      <c r="D1878" s="9" t="s">
        <v>3403</v>
      </c>
      <c r="E1878" s="8" t="str">
        <f>IFERROR(__xludf.DUMMYFUNCTION("googletranslate(D1878,""id"",""en"")"),"If this is how it continues ... even the PPKM is added to what you make a demonstration? Want to make a new cluster so? Want to add a case? If more and more don't go wrong the government !!!!")</f>
        <v>If this is how it continues ... even the PPKM is added to what you make a demonstration? Want to make a new cluster so? Want to add a case? If more and more don't go wrong the government !!!!</v>
      </c>
    </row>
    <row r="1879" ht="15.75" customHeight="1">
      <c r="A1879" s="2">
        <v>1878.0</v>
      </c>
      <c r="B1879" s="5" t="s">
        <v>3404</v>
      </c>
      <c r="C1879" s="6">
        <v>2.0</v>
      </c>
      <c r="D1879" s="10" t="s">
        <v>3405</v>
      </c>
      <c r="E1879" s="8" t="str">
        <f>IFERROR(__xludf.DUMMYFUNCTION("googletranslate(D1879,""id"",""en"")"),"JKT PPKM.")</f>
        <v>JKT PPKM.</v>
      </c>
    </row>
    <row r="1880" ht="15.75" customHeight="1">
      <c r="A1880" s="2">
        <v>1879.0</v>
      </c>
      <c r="B1880" s="5" t="s">
        <v>3406</v>
      </c>
      <c r="C1880" s="6">
        <v>1.0</v>
      </c>
      <c r="D1880" s="7" t="s">
        <v>3407</v>
      </c>
      <c r="E1880" s="8" t="str">
        <f>IFERROR(__xludf.DUMMYFUNCTION("googletranslate(D1880,""id"",""en"")"),"but just confused, it's still because it's still PPKM huhu")</f>
        <v>but just confused, it's still because it's still PPKM huhu</v>
      </c>
    </row>
    <row r="1881" ht="15.75" customHeight="1">
      <c r="A1881" s="2">
        <v>1880.0</v>
      </c>
      <c r="B1881" s="5" t="s">
        <v>3408</v>
      </c>
      <c r="C1881" s="6">
        <v>2.0</v>
      </c>
      <c r="D1881" s="7" t="s">
        <v>3409</v>
      </c>
      <c r="E1881" s="8" t="str">
        <f>IFERROR(__xludf.DUMMYFUNCTION("googletranslate(D1881,""id"",""en"")"),"Yes .. emergency ppkm replaced level")</f>
        <v>Yes .. emergency ppkm replaced level</v>
      </c>
    </row>
    <row r="1882" ht="15.75" customHeight="1">
      <c r="A1882" s="2">
        <v>1881.0</v>
      </c>
      <c r="B1882" s="5" t="s">
        <v>3410</v>
      </c>
      <c r="C1882" s="6">
        <v>2.0</v>
      </c>
      <c r="D1882" s="7" t="s">
        <v>3411</v>
      </c>
      <c r="E1882" s="8" t="str">
        <f>IFERROR(__xludf.DUMMYFUNCTION("googletranslate(D1882,""id"",""en"")"),"PPKM Level Dapet EXP Where WOI?")</f>
        <v>PPKM Level Dapet EXP Where WOI?</v>
      </c>
    </row>
    <row r="1883" ht="15.75" customHeight="1">
      <c r="A1883" s="2">
        <v>1882.0</v>
      </c>
      <c r="B1883" s="5" t="s">
        <v>3412</v>
      </c>
      <c r="C1883" s="6">
        <v>2.0</v>
      </c>
      <c r="D1883" s="9" t="s">
        <v>3413</v>
      </c>
      <c r="E1883" s="8" t="str">
        <f>IFERROR(__xludf.DUMMYFUNCTION("googletranslate(D1883,""id"",""en"")"),"Just when pisan ppkm loose payday")</f>
        <v>Just when pisan ppkm loose payday</v>
      </c>
    </row>
    <row r="1884" ht="15.75" customHeight="1">
      <c r="A1884" s="2">
        <v>1883.0</v>
      </c>
      <c r="B1884" s="5" t="s">
        <v>3414</v>
      </c>
      <c r="C1884" s="6">
        <v>3.0</v>
      </c>
      <c r="D1884" s="7" t="s">
        <v>3415</v>
      </c>
      <c r="E1884" s="8" t="str">
        <f>IFERROR(__xludf.DUMMYFUNCTION("googletranslate(D1884,""id"",""en"")"),"Alhamdulillah, even though PPKM was extended but also aid was also given. Hopefully Indonesia will recover quickly from Covid, Ma'am.")</f>
        <v>Alhamdulillah, even though PPKM was extended but also aid was also given. Hopefully Indonesia will recover quickly from Covid, Ma'am.</v>
      </c>
    </row>
    <row r="1885" ht="15.75" customHeight="1">
      <c r="A1885" s="2">
        <v>1884.0</v>
      </c>
      <c r="B1885" s="5" t="s">
        <v>3416</v>
      </c>
      <c r="C1885" s="6">
        <v>1.0</v>
      </c>
      <c r="D1885" s="9" t="s">
        <v>3417</v>
      </c>
      <c r="E1885" s="8" t="str">
        <f>IFERROR(__xludf.DUMMYFUNCTION("googletranslate(D1885,""id"",""en"")"),"ni ppkm made a level taste again playing Maze Runner Lu ran away looking for a decent life and take refuge from a pandemic with a position with the government")</f>
        <v>ni ppkm made a level taste again playing Maze Runner Lu ran away looking for a decent life and take refuge from a pandemic with a position with the government</v>
      </c>
    </row>
    <row r="1886" ht="15.75" customHeight="1">
      <c r="A1886" s="2">
        <v>1885.0</v>
      </c>
      <c r="B1886" s="5" t="s">
        <v>3418</v>
      </c>
      <c r="C1886" s="6">
        <v>2.0</v>
      </c>
      <c r="D1886" s="7" t="s">
        <v>3419</v>
      </c>
      <c r="E1886" s="8" t="str">
        <f>IFERROR(__xludf.DUMMYFUNCTION("googletranslate(D1886,""id"",""en"")"),"I ordered the same order in my hometown of tea, buy it, it's ok, how much, do you want PPKM. Hah what is that? It's a new term, according to the trend, the world of twitter, the PPKM trend that has a level, it's so Gus. Wkwkw Oh yeah, want to try the tea "&amp;"PPKM. ready")</f>
        <v>I ordered the same order in my hometown of tea, buy it, it's ok, how much, do you want PPKM. Hah what is that? It's a new term, according to the trend, the world of twitter, the PPKM trend that has a level, it's so Gus. Wkwkw Oh yeah, want to try the tea PPKM. ready</v>
      </c>
    </row>
    <row r="1887" ht="15.75" customHeight="1">
      <c r="A1887" s="2">
        <v>1886.0</v>
      </c>
      <c r="B1887" s="5" t="s">
        <v>3420</v>
      </c>
      <c r="C1887" s="6">
        <v>1.0</v>
      </c>
      <c r="D1887" s="9" t="s">
        <v>3421</v>
      </c>
      <c r="E1887" s="8" t="str">
        <f>IFERROR(__xludf.DUMMYFUNCTION("googletranslate(D1887,""id"",""en"")"),"Want just justice. Outside there people find sustenance hard because of PPKM. try this which is used like that")</f>
        <v>Want just justice. Outside there people find sustenance hard because of PPKM. try this which is used like that</v>
      </c>
    </row>
    <row r="1888" ht="15.75" customHeight="1">
      <c r="A1888" s="2">
        <v>1887.0</v>
      </c>
      <c r="B1888" s="5" t="s">
        <v>3422</v>
      </c>
      <c r="C1888" s="6">
        <v>3.0</v>
      </c>
      <c r="D1888" s="9" t="s">
        <v>3423</v>
      </c>
      <c r="E1888" s="8" t="str">
        <f>IFERROR(__xludf.DUMMYFUNCTION("googletranslate(D1888,""id"",""en"")"),"Friends .. PPKM just closes your reject from a portion of the land door, while the sky door is always opened by the blend of Rizki. Then don't forget to lift the two palms as high as high")</f>
        <v>Friends .. PPKM just closes your reject from a portion of the land door, while the sky door is always opened by the blend of Rizki. Then don't forget to lift the two palms as high as high</v>
      </c>
    </row>
    <row r="1889" ht="15.75" customHeight="1">
      <c r="A1889" s="2">
        <v>1888.0</v>
      </c>
      <c r="B1889" s="5" t="s">
        <v>3424</v>
      </c>
      <c r="C1889" s="6">
        <v>1.0</v>
      </c>
      <c r="D1889" s="7" t="s">
        <v>3425</v>
      </c>
      <c r="E1889" s="8" t="str">
        <f>IFERROR(__xludf.DUMMYFUNCTION("googletranslate(D1889,""id"",""en"")"),"What is PPKM. I know only, byk people who lost their jobs, hospitals everywhere full, looking for money more difficult, control small traders by the Arogan Satpol PP, the people were told to be at home when PPKM.")</f>
        <v>What is PPKM. I know only, byk people who lost their jobs, hospitals everywhere full, looking for money more difficult, control small traders by the Arogan Satpol PP, the people were told to be at home when PPKM.</v>
      </c>
    </row>
    <row r="1890" ht="15.75" customHeight="1">
      <c r="A1890" s="2">
        <v>1889.0</v>
      </c>
      <c r="B1890" s="5" t="s">
        <v>3426</v>
      </c>
      <c r="C1890" s="6">
        <v>2.0</v>
      </c>
      <c r="D1890" s="7" t="s">
        <v>3427</v>
      </c>
      <c r="E1890" s="8" t="str">
        <f>IFERROR(__xludf.DUMMYFUNCTION("googletranslate(D1890,""id"",""en"")"),"I have a pretty dream, but it's really sad, the PPKM, I can go where to be a dream of this afternoon in the clinic, it is told to be a day, we go to the forest, the rice fields are exciting, but we arrive at the grave of the late. Mbah Kakung (trnyt I mis"&amp;"s a pilgrimage to Java, this year it's not into the tomb. Sorry Y Mbah)")</f>
        <v>I have a pretty dream, but it's really sad, the PPKM, I can go where to be a dream of this afternoon in the clinic, it is told to be a day, we go to the forest, the rice fields are exciting, but we arrive at the grave of the late. Mbah Kakung (trnyt I miss a pilgrimage to Java, this year it's not into the tomb. Sorry Y Mbah)</v>
      </c>
    </row>
    <row r="1891" ht="15.75" customHeight="1">
      <c r="A1891" s="2">
        <v>1890.0</v>
      </c>
      <c r="B1891" s="5" t="s">
        <v>3428</v>
      </c>
      <c r="C1891" s="6">
        <v>1.0</v>
      </c>
      <c r="D1891" s="7" t="s">
        <v>3429</v>
      </c>
      <c r="E1891" s="8" t="str">
        <f>IFERROR(__xludf.DUMMYFUNCTION("googletranslate(D1891,""id"",""en"")"),"The President did not know that the demonstration rejected PPKM in Bandung was carried out by people who were under the command of one of the president's own helpers ... Pecat Minister of Nadiem Makarim ... !!")</f>
        <v>The President did not know that the demonstration rejected PPKM in Bandung was carried out by people who were under the command of one of the president's own helpers ... Pecat Minister of Nadiem Makarim ... !!</v>
      </c>
    </row>
    <row r="1892" ht="15.75" customHeight="1">
      <c r="A1892" s="2">
        <v>1891.0</v>
      </c>
      <c r="B1892" s="5" t="s">
        <v>3430</v>
      </c>
      <c r="C1892" s="6">
        <v>2.0</v>
      </c>
      <c r="D1892" s="9" t="s">
        <v>3431</v>
      </c>
      <c r="E1892" s="8" t="str">
        <f>IFERROR(__xludf.DUMMYFUNCTION("googletranslate(D1892,""id"",""en"")"),"Min, how is the blocked ATM card? Want to take care of the bank again ppkm")</f>
        <v>Min, how is the blocked ATM card? Want to take care of the bank again ppkm</v>
      </c>
    </row>
    <row r="1893" ht="15.75" customHeight="1">
      <c r="A1893" s="2">
        <v>1892.0</v>
      </c>
      <c r="B1893" s="5" t="s">
        <v>3432</v>
      </c>
      <c r="C1893" s="6">
        <v>2.0</v>
      </c>
      <c r="D1893" s="7" t="s">
        <v>3433</v>
      </c>
      <c r="E1893" s="8" t="str">
        <f>IFERROR(__xludf.DUMMYFUNCTION("googletranslate(D1893,""id"",""en"")"),"If the PPKM is extended, and the results are the same as Sajaja will continue with penalties.")</f>
        <v>If the PPKM is extended, and the results are the same as Sajaja will continue with penalties.</v>
      </c>
    </row>
    <row r="1894" ht="15.75" customHeight="1">
      <c r="A1894" s="2">
        <v>1893.0</v>
      </c>
      <c r="B1894" s="5" t="s">
        <v>3434</v>
      </c>
      <c r="C1894" s="6">
        <v>2.0</v>
      </c>
      <c r="D1894" s="7" t="s">
        <v>3435</v>
      </c>
      <c r="E1894" s="8" t="str">
        <f>IFERROR(__xludf.DUMMYFUNCTION("googletranslate(D1894,""id"",""en"")"),"Why just ppkm stadium")</f>
        <v>Why just ppkm stadium</v>
      </c>
    </row>
    <row r="1895" ht="15.75" customHeight="1">
      <c r="A1895" s="2">
        <v>1894.0</v>
      </c>
      <c r="B1895" s="5" t="s">
        <v>3436</v>
      </c>
      <c r="C1895" s="6">
        <v>2.0</v>
      </c>
      <c r="D1895" s="7" t="s">
        <v>3437</v>
      </c>
      <c r="E1895" s="8" t="str">
        <f>IFERROR(__xludf.DUMMYFUNCTION("googletranslate(D1895,""id"",""en"")"),"PPKM Level Wrap Daon Pisangppkm Level Wrap Paper Rubber Rubber PPKM Level Wrap Rice Paper Disobekpkm Level Wrap Rice Paper Box Rich Nasi Uduk")</f>
        <v>PPKM Level Wrap Daon Pisangppkm Level Wrap Paper Rubber Rubber PPKM Level Wrap Rice Paper Disobekpkm Level Wrap Rice Paper Box Rich Nasi Uduk</v>
      </c>
    </row>
    <row r="1896" ht="15.75" customHeight="1">
      <c r="A1896" s="2">
        <v>1895.0</v>
      </c>
      <c r="B1896" s="5" t="s">
        <v>3438</v>
      </c>
      <c r="C1896" s="6">
        <v>1.0</v>
      </c>
      <c r="D1896" s="9" t="s">
        <v>3439</v>
      </c>
      <c r="E1896" s="8" t="str">
        <f>IFERROR(__xludf.DUMMYFUNCTION("googletranslate(D1896,""id"",""en"")"),"Puppies, Udh know PPKM using gathering, where on Gabawa Mask. Emg Lo before gathering, UDH on the test swab? Muke gada who is cutely pretentious, bye cakepan also Mutalan cave")</f>
        <v>Puppies, Udh know PPKM using gathering, where on Gabawa Mask. Emg Lo before gathering, UDH on the test swab? Muke gada who is cutely pretentious, bye cakepan also Mutalan cave</v>
      </c>
    </row>
    <row r="1897" ht="15.75" customHeight="1">
      <c r="A1897" s="2">
        <v>1896.0</v>
      </c>
      <c r="B1897" s="5" t="s">
        <v>3440</v>
      </c>
      <c r="C1897" s="6">
        <v>2.0</v>
      </c>
      <c r="D1897" s="10" t="s">
        <v>3441</v>
      </c>
      <c r="E1897" s="8" t="str">
        <f>IFERROR(__xludf.DUMMYFUNCTION("googletranslate(D1897,""id"",""en"")"),"PPKM Satpol.")</f>
        <v>PPKM Satpol.</v>
      </c>
    </row>
    <row r="1898" ht="15.75" customHeight="1">
      <c r="A1898" s="2">
        <v>1897.0</v>
      </c>
      <c r="B1898" s="5" t="s">
        <v>3442</v>
      </c>
      <c r="C1898" s="6">
        <v>1.0</v>
      </c>
      <c r="D1898" s="9" t="s">
        <v>3443</v>
      </c>
      <c r="E1898" s="8" t="str">
        <f>IFERROR(__xludf.DUMMYFUNCTION("googletranslate(D1898,""id"",""en"")"),"even though it's not the ppkm but it's like using a mask, it's an accompaniment, I'm playing, my friend's friend is just a masker, you want to cry very much")</f>
        <v>even though it's not the ppkm but it's like using a mask, it's an accompaniment, I'm playing, my friend's friend is just a masker, you want to cry very much</v>
      </c>
    </row>
    <row r="1899" ht="15.75" customHeight="1">
      <c r="A1899" s="2">
        <v>1898.0</v>
      </c>
      <c r="B1899" s="5" t="s">
        <v>3444</v>
      </c>
      <c r="C1899" s="6">
        <v>1.0</v>
      </c>
      <c r="D1899" s="7" t="s">
        <v>3445</v>
      </c>
      <c r="E1899" s="8" t="str">
        <f>IFERROR(__xludf.DUMMYFUNCTION("googletranslate(D1899,""id"",""en"")"),"Come on, let's broke up, I don't want this PPKM party clown CKCK")</f>
        <v>Come on, let's broke up, I don't want this PPKM party clown CKCK</v>
      </c>
    </row>
    <row r="1900" ht="15.75" customHeight="1">
      <c r="A1900" s="2">
        <v>1899.0</v>
      </c>
      <c r="B1900" s="5" t="s">
        <v>3446</v>
      </c>
      <c r="C1900" s="6">
        <v>2.0</v>
      </c>
      <c r="D1900" s="7" t="s">
        <v>3447</v>
      </c>
      <c r="E1900" s="8" t="str">
        <f>IFERROR(__xludf.DUMMYFUNCTION("googletranslate(D1900,""id"",""en"")"),": Ppkm paint maker huh? : How come you know? : because you have colored my life")</f>
        <v>: Ppkm paint maker huh? : How come you know? : because you have colored my life</v>
      </c>
    </row>
    <row r="1901" ht="15.75" customHeight="1">
      <c r="A1901" s="2">
        <v>1900.0</v>
      </c>
      <c r="B1901" s="5" t="s">
        <v>3448</v>
      </c>
      <c r="C1901" s="6">
        <v>2.0</v>
      </c>
      <c r="D1901" s="7" t="s">
        <v>3449</v>
      </c>
      <c r="E1901" s="8" t="str">
        <f>IFERROR(__xludf.DUMMYFUNCTION("googletranslate(D1901,""id"",""en"")"),"PPKM (dizzy because of missing) Yhaaaa")</f>
        <v>PPKM (dizzy because of missing) Yhaaaa</v>
      </c>
    </row>
    <row r="1902" ht="15.75" customHeight="1">
      <c r="A1902" s="2">
        <v>1901.0</v>
      </c>
      <c r="B1902" s="5" t="s">
        <v>3450</v>
      </c>
      <c r="C1902" s="6">
        <v>1.0</v>
      </c>
      <c r="D1902" s="7" t="s">
        <v>3451</v>
      </c>
      <c r="E1902" s="8" t="str">
        <f>IFERROR(__xludf.DUMMYFUNCTION("googletranslate(D1902,""id"",""en"")"),"This is someone who knows the purpose of the PPKM? Asked to limit worship and not forbid it. What he limits instead the way to make his brain, and is told to defend! The impression of religious but no smart blass")</f>
        <v>This is someone who knows the purpose of the PPKM? Asked to limit worship and not forbid it. What he limits instead the way to make his brain, and is told to defend! The impression of religious but no smart blass</v>
      </c>
    </row>
    <row r="1903" ht="15.75" customHeight="1">
      <c r="A1903" s="2">
        <v>1902.0</v>
      </c>
      <c r="B1903" s="5" t="s">
        <v>3452</v>
      </c>
      <c r="C1903" s="6">
        <v>1.0</v>
      </c>
      <c r="D1903" s="7" t="s">
        <v>3453</v>
      </c>
      <c r="E1903" s="8" t="str">
        <f>IFERROR(__xludf.DUMMYFUNCTION("googletranslate(D1903,""id"",""en"")"),"Initially joking was now confused? From PSBB, PPKM, to the level of $ Number $, instead of being controlled by Covid instead becoming the loss of the lives of the people not toys, due to the policy of Mencla")</f>
        <v>Initially joking was now confused? From PSBB, PPKM, to the level of $ Number $, instead of being controlled by Covid instead becoming the loss of the lives of the people not toys, due to the policy of Mencla</v>
      </c>
    </row>
    <row r="1904" ht="15.75" customHeight="1">
      <c r="A1904" s="2">
        <v>1903.0</v>
      </c>
      <c r="B1904" s="5" t="s">
        <v>3454</v>
      </c>
      <c r="C1904" s="6">
        <v>2.0</v>
      </c>
      <c r="D1904" s="9" t="s">
        <v>3455</v>
      </c>
      <c r="E1904" s="8" t="str">
        <f>IFERROR(__xludf.DUMMYFUNCTION("googletranslate(D1904,""id"",""en"")"),"So I eat yogurt ori every day tp because ppkm becomes stol first week because lazy grocerry shopping yeah I used to buy in the last video that is small gt tp tp but there is no me to tell the big vidioin, I think it's gpp deh anymark Gini PPKM")</f>
        <v>So I eat yogurt ori every day tp because ppkm becomes stol first week because lazy grocerry shopping yeah I used to buy in the last video that is small gt tp tp but there is no me to tell the big vidioin, I think it's gpp deh anymark Gini PPKM</v>
      </c>
    </row>
    <row r="1905" ht="15.75" customHeight="1">
      <c r="A1905" s="2">
        <v>1904.0</v>
      </c>
      <c r="B1905" s="5" t="s">
        <v>3456</v>
      </c>
      <c r="C1905" s="6">
        <v>1.0</v>
      </c>
      <c r="D1905" s="7" t="s">
        <v>3457</v>
      </c>
      <c r="E1905" s="8" t="str">
        <f>IFERROR(__xludf.DUMMYFUNCTION("googletranslate(D1905,""id"",""en"")"),"The purpose of the PPKM is good, but the people are difficult to arrange and not orderly. If you want to be scheduled, it's wrong too. Even though PPKM, try seeing the reality, just get gathered here and there. JD I think it's useless.")</f>
        <v>The purpose of the PPKM is good, but the people are difficult to arrange and not orderly. If you want to be scheduled, it's wrong too. Even though PPKM, try seeing the reality, just get gathered here and there. JD I think it's useless.</v>
      </c>
    </row>
    <row r="1906" ht="15.75" customHeight="1">
      <c r="A1906" s="2">
        <v>1905.0</v>
      </c>
      <c r="B1906" s="5" t="s">
        <v>3458</v>
      </c>
      <c r="C1906" s="6">
        <v>2.0</v>
      </c>
      <c r="D1906" s="7" t="s">
        <v>3458</v>
      </c>
      <c r="E1906" s="8" t="str">
        <f>IFERROR(__xludf.DUMMYFUNCTION("googletranslate(D1906,""id"",""en"")"),"/ Wal During the PPKM on Java, package delivery is slower? Or just the same?")</f>
        <v>/ Wal During the PPKM on Java, package delivery is slower? Or just the same?</v>
      </c>
    </row>
    <row r="1907" ht="15.75" customHeight="1">
      <c r="A1907" s="2">
        <v>1906.0</v>
      </c>
      <c r="B1907" s="5" t="s">
        <v>3459</v>
      </c>
      <c r="C1907" s="6">
        <v>2.0</v>
      </c>
      <c r="D1907" s="10" t="s">
        <v>1930</v>
      </c>
      <c r="E1907" s="8" t="str">
        <f>IFERROR(__xludf.DUMMYFUNCTION("googletranslate(D1907,""id"",""en"")"),"Abis PPKM.")</f>
        <v>Abis PPKM.</v>
      </c>
    </row>
    <row r="1908" ht="15.75" customHeight="1">
      <c r="A1908" s="2">
        <v>1907.0</v>
      </c>
      <c r="B1908" s="5" t="s">
        <v>3460</v>
      </c>
      <c r="C1908" s="6">
        <v>2.0</v>
      </c>
      <c r="D1908" s="7" t="s">
        <v>3461</v>
      </c>
      <c r="E1908" s="8" t="str">
        <f>IFERROR(__xludf.DUMMYFUNCTION("googletranslate(D1908,""id"",""en"")"),"after ppkm we'll move to bali huh")</f>
        <v>after ppkm we'll move to bali huh</v>
      </c>
    </row>
    <row r="1909" ht="15.75" customHeight="1">
      <c r="A1909" s="2">
        <v>1908.0</v>
      </c>
      <c r="B1909" s="5" t="s">
        <v>3462</v>
      </c>
      <c r="C1909" s="6">
        <v>1.0</v>
      </c>
      <c r="D1909" s="7" t="s">
        <v>3463</v>
      </c>
      <c r="E1909" s="8" t="str">
        <f>IFERROR(__xludf.DUMMYFUNCTION("googletranslate(D1909,""id"",""en"")"),"PPKM Level turns out to be more complained than Bon Chilli Level")</f>
        <v>PPKM Level turns out to be more complained than Bon Chilli Level</v>
      </c>
    </row>
    <row r="1910" ht="15.75" customHeight="1">
      <c r="A1910" s="2">
        <v>1909.0</v>
      </c>
      <c r="B1910" s="5" t="s">
        <v>3464</v>
      </c>
      <c r="C1910" s="6">
        <v>1.0</v>
      </c>
      <c r="D1910" s="7" t="s">
        <v>3465</v>
      </c>
      <c r="E1910" s="8" t="str">
        <f>IFERROR(__xludf.DUMMYFUNCTION("googletranslate(D1910,""id"",""en"")"),"Shut up ... People Want Change ... You think it's great X PPKM you're Latteung..bodat big you")</f>
        <v>Shut up ... People Want Change ... You think it's great X PPKM you're Latteung..bodat big you</v>
      </c>
    </row>
    <row r="1911" ht="15.75" customHeight="1">
      <c r="A1911" s="2">
        <v>1910.0</v>
      </c>
      <c r="B1911" s="5" t="s">
        <v>3466</v>
      </c>
      <c r="C1911" s="6">
        <v>1.0</v>
      </c>
      <c r="D1911" s="9" t="s">
        <v>3466</v>
      </c>
      <c r="E1911" s="8" t="str">
        <f>IFERROR(__xludf.DUMMYFUNCTION("googletranslate(D1911,""id"",""en"")"),"During this PPKM, the government gave help or not? Honestly I don't know, but yes, maybe it must be thought about making a policy but also for the solution to the Indonesian people even though PPKM but can still eat.")</f>
        <v>During this PPKM, the government gave help or not? Honestly I don't know, but yes, maybe it must be thought about making a policy but also for the solution to the Indonesian people even though PPKM but can still eat.</v>
      </c>
    </row>
    <row r="1912" ht="15.75" customHeight="1">
      <c r="A1912" s="2">
        <v>1911.0</v>
      </c>
      <c r="B1912" s="5" t="s">
        <v>3467</v>
      </c>
      <c r="C1912" s="6">
        <v>2.0</v>
      </c>
      <c r="D1912" s="10" t="s">
        <v>3468</v>
      </c>
      <c r="E1912" s="8" t="str">
        <f>IFERROR(__xludf.DUMMYFUNCTION("googletranslate(D1912,""id"",""en"")"),"What is PPKM?")</f>
        <v>What is PPKM?</v>
      </c>
    </row>
    <row r="1913" ht="15.75" customHeight="1">
      <c r="A1913" s="2">
        <v>1912.0</v>
      </c>
      <c r="B1913" s="5" t="s">
        <v>3469</v>
      </c>
      <c r="C1913" s="6">
        <v>2.0</v>
      </c>
      <c r="D1913" s="7" t="s">
        <v>3470</v>
      </c>
      <c r="E1913" s="8" t="str">
        <f>IFERROR(__xludf.DUMMYFUNCTION("googletranslate(D1913,""id"",""en"")"),"PPKM Level $ Number $ in my mind ""Iki Merapi Mount Po Piye Status?""")</f>
        <v>PPKM Level $ Number $ in my mind "Iki Merapi Mount Po Piye Status?"</v>
      </c>
    </row>
    <row r="1914" ht="15.75" customHeight="1">
      <c r="A1914" s="2">
        <v>1913.0</v>
      </c>
      <c r="B1914" s="5" t="s">
        <v>3471</v>
      </c>
      <c r="C1914" s="6">
        <v>1.0</v>
      </c>
      <c r="D1914" s="9" t="s">
        <v>3472</v>
      </c>
      <c r="E1914" s="8" t="str">
        <f>IFERROR(__xludf.DUMMYFUNCTION("googletranslate(D1914,""id"",""en"")"),"I also can practice first PPKM")</f>
        <v>I also can practice first PPKM</v>
      </c>
    </row>
    <row r="1915" ht="15.75" customHeight="1">
      <c r="A1915" s="2">
        <v>1914.0</v>
      </c>
      <c r="B1915" s="5" t="s">
        <v>3473</v>
      </c>
      <c r="C1915" s="6">
        <v>3.0</v>
      </c>
      <c r="D1915" s="9" t="s">
        <v>3474</v>
      </c>
      <c r="E1915" s="8" t="str">
        <f>IFERROR(__xludf.DUMMYFUNCTION("googletranslate(D1915,""id"",""en"")"),"If it is forced to leave, just obey the prokes. But the shop is opening the ppkm gni?")</f>
        <v>If it is forced to leave, just obey the prokes. But the shop is opening the ppkm gni?</v>
      </c>
    </row>
    <row r="1916" ht="15.75" customHeight="1">
      <c r="A1916" s="2">
        <v>1915.0</v>
      </c>
      <c r="B1916" s="5" t="s">
        <v>3475</v>
      </c>
      <c r="C1916" s="6">
        <v>2.0</v>
      </c>
      <c r="D1916" s="9" t="s">
        <v>3476</v>
      </c>
      <c r="E1916" s="8" t="str">
        <f>IFERROR(__xludf.DUMMYFUNCTION("googletranslate(D1916,""id"",""en"")"),"PPKM level Loh.")</f>
        <v>PPKM level Loh.</v>
      </c>
    </row>
    <row r="1917" ht="15.75" customHeight="1">
      <c r="A1917" s="2">
        <v>1916.0</v>
      </c>
      <c r="B1917" s="5" t="s">
        <v>3477</v>
      </c>
      <c r="C1917" s="6">
        <v>1.0</v>
      </c>
      <c r="D1917" s="7" t="s">
        <v>3478</v>
      </c>
      <c r="E1917" s="8" t="str">
        <f>IFERROR(__xludf.DUMMYFUNCTION("googletranslate(D1917,""id"",""en"")"),"Chancellor UI Replacement LBP JD PPKM Coordinator, Corona Virus Draft DR Indonesia")</f>
        <v>Chancellor UI Replacement LBP JD PPKM Coordinator, Corona Virus Draft DR Indonesia</v>
      </c>
    </row>
    <row r="1918" ht="15.75" customHeight="1">
      <c r="A1918" s="2">
        <v>1917.0</v>
      </c>
      <c r="B1918" s="5" t="s">
        <v>3479</v>
      </c>
      <c r="C1918" s="6">
        <v>3.0</v>
      </c>
      <c r="D1918" s="9" t="s">
        <v>3480</v>
      </c>
      <c r="E1918" s="8" t="str">
        <f>IFERROR(__xludf.DUMMYFUNCTION("googletranslate(D1918,""id"",""en"")"),"We also don't like ppkm ... yukk obedient prokessuregera vaccerkasus down ... ppkm is relaxed")</f>
        <v>We also don't like ppkm ... yukk obedient prokessuregera vaccerkasus down ... ppkm is relaxed</v>
      </c>
    </row>
    <row r="1919" ht="15.75" customHeight="1">
      <c r="A1919" s="2">
        <v>1918.0</v>
      </c>
      <c r="B1919" s="5" t="s">
        <v>3481</v>
      </c>
      <c r="C1919" s="6">
        <v>1.0</v>
      </c>
      <c r="D1919" s="9" t="s">
        <v>3482</v>
      </c>
      <c r="E1919" s="8" t="str">
        <f>IFERROR(__xludf.DUMMYFUNCTION("googletranslate(D1919,""id"",""en"")"),"ppkm (slowly you slowly """" ""i) due to pansos. young kids.klo in grebek ntar ngangis")</f>
        <v>ppkm (slowly you slowly "" "i) due to pansos. young kids.klo in grebek ntar ngangis</v>
      </c>
    </row>
    <row r="1920" ht="15.75" customHeight="1">
      <c r="A1920" s="2">
        <v>1919.0</v>
      </c>
      <c r="B1920" s="5" t="s">
        <v>3483</v>
      </c>
      <c r="C1920" s="6">
        <v>2.0</v>
      </c>
      <c r="D1920" s="9" t="s">
        <v>3484</v>
      </c>
      <c r="E1920" s="8" t="str">
        <f>IFERROR(__xludf.DUMMYFUNCTION("googletranslate(D1920,""id"",""en"")"),"Only this time I took the PPKM train until the station was welcomed to TA and security guard: ""The assignment letter was issued"" ""double mask"" ""lines give a distance of one arm"" Really the first line for tap in, then the line again until the undergr"&amp;"ound, then wait for the train")</f>
        <v>Only this time I took the PPKM train until the station was welcomed to TA and security guard: "The assignment letter was issued" "double mask" "lines give a distance of one arm" Really the first line for tap in, then the line again until the underground, then wait for the train</v>
      </c>
    </row>
    <row r="1921" ht="15.75" customHeight="1">
      <c r="A1921" s="2">
        <v>1920.0</v>
      </c>
      <c r="B1921" s="5" t="s">
        <v>3485</v>
      </c>
      <c r="C1921" s="6">
        <v>2.0</v>
      </c>
      <c r="D1921" s="7" t="s">
        <v>3486</v>
      </c>
      <c r="E1921" s="8" t="str">
        <f>IFERROR(__xludf.DUMMYFUNCTION("googletranslate(D1921,""id"",""en"")"),"Is there a PPKM level? rich more pesen richeese")</f>
        <v>Is there a PPKM level? rich more pesen richeese</v>
      </c>
    </row>
    <row r="1922" ht="15.75" customHeight="1">
      <c r="A1922" s="2">
        <v>1921.0</v>
      </c>
      <c r="B1922" s="5" t="s">
        <v>3487</v>
      </c>
      <c r="C1922" s="6">
        <v>1.0</v>
      </c>
      <c r="D1922" s="7" t="s">
        <v>3488</v>
      </c>
      <c r="E1922" s="8" t="str">
        <f>IFERROR(__xludf.DUMMYFUNCTION("googletranslate(D1922,""id"",""en"")"),"Arrogant Apparatus Like this Yy Can't Impopy Se Who Have This Negree Doesn't See Another Org Is This One Tupoksi Dr Off Officer? As a result of the PPKM, the apparatus who was petented")</f>
        <v>Arrogant Apparatus Like this Yy Can't Impopy Se Who Have This Negree Doesn't See Another Org Is This One Tupoksi Dr Off Officer? As a result of the PPKM, the apparatus who was petented</v>
      </c>
    </row>
    <row r="1923" ht="15.75" customHeight="1">
      <c r="A1923" s="2">
        <v>1922.0</v>
      </c>
      <c r="B1923" s="5" t="s">
        <v>3489</v>
      </c>
      <c r="C1923" s="6">
        <v>1.0</v>
      </c>
      <c r="D1923" s="9" t="s">
        <v>3490</v>
      </c>
      <c r="E1923" s="8" t="str">
        <f>IFERROR(__xludf.DUMMYFUNCTION("googletranslate(D1923,""id"",""en"")"),"Just say that the emergency PPKM was not extended. Just like that, it's hard to talk about it. Honestly what it is not easy, too fancy for the ruling elite")</f>
        <v>Just say that the emergency PPKM was not extended. Just like that, it's hard to talk about it. Honestly what it is not easy, too fancy for the ruling elite</v>
      </c>
    </row>
    <row r="1924" ht="15.75" customHeight="1">
      <c r="A1924" s="2">
        <v>1923.0</v>
      </c>
      <c r="B1924" s="5" t="s">
        <v>3491</v>
      </c>
      <c r="C1924" s="6">
        <v>2.0</v>
      </c>
      <c r="D1924" s="7" t="s">
        <v>3492</v>
      </c>
      <c r="E1924" s="8" t="str">
        <f>IFERROR(__xludf.DUMMYFUNCTION("googletranslate(D1924,""id"",""en"")"),"PPKM Level, Pura Pura Kagak Understand Pat Pat Wipeatat")</f>
        <v>PPKM Level, Pura Pura Kagak Understand Pat Pat Wipeatat</v>
      </c>
    </row>
    <row r="1925" ht="15.75" customHeight="1">
      <c r="A1925" s="2">
        <v>1924.0</v>
      </c>
      <c r="B1925" s="5" t="s">
        <v>3493</v>
      </c>
      <c r="C1925" s="6">
        <v>2.0</v>
      </c>
      <c r="D1925" s="7" t="s">
        <v>3494</v>
      </c>
      <c r="E1925" s="8" t="str">
        <f>IFERROR(__xludf.DUMMYFUNCTION("googletranslate(D1925,""id"",""en"")"),"PPKMPernah dating and then married.")</f>
        <v>PPKMPernah dating and then married.</v>
      </c>
    </row>
    <row r="1926" ht="15.75" customHeight="1">
      <c r="A1926" s="2">
        <v>1925.0</v>
      </c>
      <c r="B1926" s="5" t="s">
        <v>3495</v>
      </c>
      <c r="C1926" s="6">
        <v>2.0</v>
      </c>
      <c r="D1926" s="7" t="s">
        <v>3495</v>
      </c>
      <c r="E1926" s="8" t="str">
        <f>IFERROR(__xludf.DUMMYFUNCTION("googletranslate(D1926,""id"",""en"")"),"Emergency PPKM extended until you are mine Uwoooo Uwoooo Uwoooo")</f>
        <v>Emergency PPKM extended until you are mine Uwoooo Uwoooo Uwoooo</v>
      </c>
    </row>
    <row r="1927" ht="15.75" customHeight="1">
      <c r="A1927" s="2">
        <v>1926.0</v>
      </c>
      <c r="B1927" s="5" t="s">
        <v>3496</v>
      </c>
      <c r="C1927" s="6">
        <v>1.0</v>
      </c>
      <c r="D1927" s="7" t="s">
        <v>3497</v>
      </c>
      <c r="E1927" s="8" t="str">
        <f>IFERROR(__xludf.DUMMYFUNCTION("googletranslate(D1927,""id"",""en"")"),"PPKM, the narrated policy on behalf of humanity by strangling his man")</f>
        <v>PPKM, the narrated policy on behalf of humanity by strangling his man</v>
      </c>
    </row>
    <row r="1928" ht="15.75" customHeight="1">
      <c r="A1928" s="2">
        <v>1927.0</v>
      </c>
      <c r="B1928" s="5" t="s">
        <v>3498</v>
      </c>
      <c r="C1928" s="6">
        <v>1.0</v>
      </c>
      <c r="D1928" s="7" t="s">
        <v>3499</v>
      </c>
      <c r="E1928" s="8" t="str">
        <f>IFERROR(__xludf.DUMMYFUNCTION("googletranslate(D1928,""id"",""en"")"),"Maybe because it feels like it might make a super emergency PPKM term, after that there will be more Emergency Super Duper PPKM if the case increases after the Emergency PPKM applies, the selection of the term is increasingly difficult ...")</f>
        <v>Maybe because it feels like it might make a super emergency PPKM term, after that there will be more Emergency Super Duper PPKM if the case increases after the Emergency PPKM applies, the selection of the term is increasingly difficult ...</v>
      </c>
    </row>
    <row r="1929" ht="15.75" customHeight="1">
      <c r="A1929" s="2">
        <v>1928.0</v>
      </c>
      <c r="B1929" s="5" t="s">
        <v>3500</v>
      </c>
      <c r="C1929" s="6">
        <v>1.0</v>
      </c>
      <c r="D1929" s="7" t="s">
        <v>3501</v>
      </c>
      <c r="E1929" s="8" t="str">
        <f>IFERROR(__xludf.DUMMYFUNCTION("googletranslate(D1929,""id"",""en"")"),"Ppkm level, with whose regular title will change but this is the same and ahh never mind")</f>
        <v>Ppkm level, with whose regular title will change but this is the same and ahh never mind</v>
      </c>
    </row>
    <row r="1930" ht="15.75" customHeight="1">
      <c r="A1930" s="2">
        <v>1929.0</v>
      </c>
      <c r="B1930" s="5" t="s">
        <v>3502</v>
      </c>
      <c r="C1930" s="6">
        <v>1.0</v>
      </c>
      <c r="D1930" s="9" t="s">
        <v>3503</v>
      </c>
      <c r="E1930" s="8" t="str">
        <f>IFERROR(__xludf.DUMMYFUNCTION("googletranslate(D1930,""id"",""en"")"),". Alive org2 on LG is difficult and then he contributes to the PPKM right on the sake of being stressed. Try you think, how many people who lost their jobs, the economy of his family dropped Grgr PPKM. then you still have a happy post IG Story !!! Fucked "&amp;"up Bgt")</f>
        <v>. Alive org2 on LG is difficult and then he contributes to the PPKM right on the sake of being stressed. Try you think, how many people who lost their jobs, the economy of his family dropped Grgr PPKM. then you still have a happy post IG Story !!! Fucked up Bgt</v>
      </c>
    </row>
    <row r="1931" ht="15.75" customHeight="1">
      <c r="A1931" s="2">
        <v>1930.0</v>
      </c>
      <c r="B1931" s="5" t="s">
        <v>3504</v>
      </c>
      <c r="C1931" s="6">
        <v>1.0</v>
      </c>
      <c r="D1931" s="9" t="s">
        <v>3505</v>
      </c>
      <c r="E1931" s="8" t="str">
        <f>IFERROR(__xludf.DUMMYFUNCTION("googletranslate(D1931,""id"",""en"")"),"Where do you go? Orthu lu can't affect it until it seems to be ppkm? Poor jg")</f>
        <v>Where do you go? Orthu lu can't affect it until it seems to be ppkm? Poor jg</v>
      </c>
    </row>
    <row r="1932" ht="15.75" customHeight="1">
      <c r="A1932" s="2">
        <v>1931.0</v>
      </c>
      <c r="B1932" s="5" t="s">
        <v>3506</v>
      </c>
      <c r="C1932" s="6">
        <v>2.0</v>
      </c>
      <c r="D1932" s="9" t="s">
        <v>3507</v>
      </c>
      <c r="E1932" s="8" t="str">
        <f>IFERROR(__xludf.DUMMYFUNCTION("googletranslate(D1932,""id"",""en"")"),"Klu now ppkm really employee ..harus there is a work letter")</f>
        <v>Klu now ppkm really employee ..harus there is a work letter</v>
      </c>
    </row>
    <row r="1933" ht="15.75" customHeight="1">
      <c r="A1933" s="2">
        <v>1932.0</v>
      </c>
      <c r="B1933" s="5" t="s">
        <v>3508</v>
      </c>
      <c r="C1933" s="6">
        <v>1.0</v>
      </c>
      <c r="D1933" s="9" t="s">
        <v>3509</v>
      </c>
      <c r="E1933" s="8" t="str">
        <f>IFERROR(__xludf.DUMMYFUNCTION("googletranslate(D1933,""id"",""en"")"),"See not sorry for the medical officers and the lower people who depend on the interaction to connect to life ... PPKM is extended not because it wants the government but wants some groups where the same group will be able to blame when the pandemic peache"&amp;"s ...")</f>
        <v>See not sorry for the medical officers and the lower people who depend on the interaction to connect to life ... PPKM is extended not because it wants the government but wants some groups where the same group will be able to blame when the pandemic peaches ...</v>
      </c>
    </row>
    <row r="1934" ht="15.75" customHeight="1">
      <c r="A1934" s="2">
        <v>1933.0</v>
      </c>
      <c r="B1934" s="5" t="s">
        <v>3510</v>
      </c>
      <c r="C1934" s="6">
        <v>1.0</v>
      </c>
      <c r="D1934" s="9" t="s">
        <v>3511</v>
      </c>
      <c r="E1934" s="8" t="str">
        <f>IFERROR(__xludf.DUMMYFUNCTION("googletranslate(D1934,""id"",""en"")"),"They are ridden by their family interests. His wife needs a livelihood to meet the needs. PSBB / PPKM and whatever its name just troubles the small people. And only satisfying a group of people whose lives are comfortable.")</f>
        <v>They are ridden by their family interests. His wife needs a livelihood to meet the needs. PSBB / PPKM and whatever its name just troubles the small people. And only satisfying a group of people whose lives are comfortable.</v>
      </c>
    </row>
    <row r="1935" ht="15.75" customHeight="1">
      <c r="A1935" s="2">
        <v>1934.0</v>
      </c>
      <c r="B1935" s="5" t="s">
        <v>3512</v>
      </c>
      <c r="C1935" s="6">
        <v>3.0</v>
      </c>
      <c r="D1935" s="7" t="s">
        <v>3513</v>
      </c>
      <c r="E1935" s="8" t="str">
        <f>IFERROR(__xludf.DUMMYFUNCTION("googletranslate(D1935,""id"",""en"")"),"Morning, enthusiasm continues even though Emergency PPKM")</f>
        <v>Morning, enthusiasm continues even though Emergency PPKM</v>
      </c>
    </row>
    <row r="1936" ht="15.75" customHeight="1">
      <c r="A1936" s="2">
        <v>1935.0</v>
      </c>
      <c r="B1936" s="5" t="s">
        <v>3514</v>
      </c>
      <c r="C1936" s="6">
        <v>3.0</v>
      </c>
      <c r="D1936" s="7" t="s">
        <v>3515</v>
      </c>
      <c r="E1936" s="8" t="str">
        <f>IFERROR(__xludf.DUMMYFUNCTION("googletranslate(D1936,""id"",""en"")"),"Come on, Gaes ... How many more Corona torture us? Want to how many of our brothers and sisters who are victims of Corona Blakasadut's malignancy? Therefore, PPKM will not mean anything without all of us.")</f>
        <v>Come on, Gaes ... How many more Corona torture us? Want to how many of our brothers and sisters who are victims of Corona Blakasadut's malignancy? Therefore, PPKM will not mean anything without all of us.</v>
      </c>
    </row>
    <row r="1937" ht="15.75" customHeight="1">
      <c r="A1937" s="2">
        <v>1936.0</v>
      </c>
      <c r="B1937" s="5" t="s">
        <v>3516</v>
      </c>
      <c r="C1937" s="6">
        <v>1.0</v>
      </c>
      <c r="D1937" s="7" t="s">
        <v>3517</v>
      </c>
      <c r="E1937" s="8" t="str">
        <f>IFERROR(__xludf.DUMMYFUNCTION("googletranslate(D1937,""id"",""en"")"),"Ihh really aduin org lgi ppkm worship at home too")</f>
        <v>Ihh really aduin org lgi ppkm worship at home too</v>
      </c>
    </row>
    <row r="1938" ht="15.75" customHeight="1">
      <c r="A1938" s="2">
        <v>1937.0</v>
      </c>
      <c r="B1938" s="5" t="s">
        <v>3518</v>
      </c>
      <c r="C1938" s="6">
        <v>1.0</v>
      </c>
      <c r="D1938" s="7" t="s">
        <v>3519</v>
      </c>
      <c r="E1938" s="8" t="str">
        <f>IFERROR(__xludf.DUMMYFUNCTION("googletranslate(D1938,""id"",""en"")"),"good morning gangs again the emergency ppkm day but still gbs kmn huahahaha")</f>
        <v>good morning gangs again the emergency ppkm day but still gbs kmn huahahaha</v>
      </c>
    </row>
    <row r="1939" ht="15.75" customHeight="1">
      <c r="A1939" s="2">
        <v>1938.0</v>
      </c>
      <c r="B1939" s="5" t="s">
        <v>3520</v>
      </c>
      <c r="C1939" s="6">
        <v>1.0</v>
      </c>
      <c r="D1939" s="7" t="s">
        <v>3521</v>
      </c>
      <c r="E1939" s="8" t="str">
        <f>IFERROR(__xludf.DUMMYFUNCTION("googletranslate(D1939,""id"",""en"")"),"Udh is miserable because of PPKM, Mal is a bginian. Angel Terahe Ngatur")</f>
        <v>Udh is miserable because of PPKM, Mal is a bginian. Angel Terahe Ngatur</v>
      </c>
    </row>
    <row r="1940" ht="15.75" customHeight="1">
      <c r="A1940" s="2">
        <v>1939.0</v>
      </c>
      <c r="B1940" s="5" t="s">
        <v>3522</v>
      </c>
      <c r="C1940" s="6">
        <v>1.0</v>
      </c>
      <c r="D1940" s="9" t="s">
        <v>3523</v>
      </c>
      <c r="E1940" s="8" t="str">
        <f>IFERROR(__xludf.DUMMYFUNCTION("googletranslate(D1940,""id"",""en"")"),"Lha yo Yang ky this ... it makes a pandemic going on constantly. Not subside, instead it increases. Mbok yes if you don't want ppkm ppkm an, yes, obedient to the proces knp to? GR2 org2 kek gini, who got a lot of people. Demo, cluster, doesn't use a mask."&amp;" Wes Adu Abab is not Sisan.")</f>
        <v>Lha yo Yang ky this ... it makes a pandemic going on constantly. Not subside, instead it increases. Mbok yes if you don't want ppkm ppkm an, yes, obedient to the proces knp to? GR2 org2 kek gini, who got a lot of people. Demo, cluster, doesn't use a mask. Wes Adu Abab is not Sisan.</v>
      </c>
    </row>
    <row r="1941" ht="15.75" customHeight="1">
      <c r="A1941" s="2">
        <v>1940.0</v>
      </c>
      <c r="B1941" s="5" t="s">
        <v>3524</v>
      </c>
      <c r="C1941" s="6">
        <v>2.0</v>
      </c>
      <c r="D1941" s="7" t="s">
        <v>3525</v>
      </c>
      <c r="E1941" s="8" t="str">
        <f>IFERROR(__xludf.DUMMYFUNCTION("googletranslate(D1941,""id"",""en"")"),"Impact PPKM PO.")</f>
        <v>Impact PPKM PO.</v>
      </c>
    </row>
    <row r="1942" ht="15.75" customHeight="1">
      <c r="A1942" s="2">
        <v>1941.0</v>
      </c>
      <c r="B1942" s="5" t="s">
        <v>3526</v>
      </c>
      <c r="C1942" s="6">
        <v>1.0</v>
      </c>
      <c r="D1942" s="9" t="s">
        <v>3527</v>
      </c>
      <c r="E1942" s="8" t="str">
        <f>IFERROR(__xludf.DUMMYFUNCTION("googletranslate(D1942,""id"",""en"")"),"PPKM stands for the enactment of restrictions on community activities, bang. Gow it, don't hang out at Warkop, read the news occasionally. At least if you want to be a burden on the family must have social awareness too.")</f>
        <v>PPKM stands for the enactment of restrictions on community activities, bang. Gow it, don't hang out at Warkop, read the news occasionally. At least if you want to be a burden on the family must have social awareness too.</v>
      </c>
    </row>
    <row r="1943" ht="15.75" customHeight="1">
      <c r="A1943" s="2">
        <v>1942.0</v>
      </c>
      <c r="B1943" s="5" t="s">
        <v>3528</v>
      </c>
      <c r="C1943" s="6">
        <v>1.0</v>
      </c>
      <c r="D1943" s="7" t="s">
        <v>3529</v>
      </c>
      <c r="E1943" s="8" t="str">
        <f>IFERROR(__xludf.DUMMYFUNCTION("googletranslate(D1943,""id"",""en"")"),"Who is not exposed to covids but can't make a living because the PPKM still doesn't get Bandos? Bulk vaccination feels often done lately.")</f>
        <v>Who is not exposed to covids but can't make a living because the PPKM still doesn't get Bandos? Bulk vaccination feels often done lately.</v>
      </c>
    </row>
    <row r="1944" ht="15.75" customHeight="1">
      <c r="A1944" s="2">
        <v>1943.0</v>
      </c>
      <c r="B1944" s="5" t="s">
        <v>3530</v>
      </c>
      <c r="C1944" s="6">
        <v>2.0</v>
      </c>
      <c r="D1944" s="7" t="s">
        <v>3531</v>
      </c>
      <c r="E1944" s="8" t="str">
        <f>IFERROR(__xludf.DUMMYFUNCTION("googletranslate(D1944,""id"",""en"")"),"Psbbppkm microppkm emerguratppkm level .... the last king ppkm")</f>
        <v>Psbbppkm microppkm emerguratppkm level .... the last king ppkm</v>
      </c>
    </row>
    <row r="1945" ht="15.75" customHeight="1">
      <c r="A1945" s="2">
        <v>1944.0</v>
      </c>
      <c r="B1945" s="5" t="s">
        <v>3532</v>
      </c>
      <c r="C1945" s="6">
        <v>1.0</v>
      </c>
      <c r="D1945" s="9" t="s">
        <v>3533</v>
      </c>
      <c r="E1945" s="8" t="str">
        <f>IFERROR(__xludf.DUMMYFUNCTION("googletranslate(D1945,""id"",""en"")"),"Just take care of the PPKM border just complaining with the heat of the dust. Which Lu snapped it keeps the block symbol of the block. Don't have a code of ethics as well as ""kta &amp; amp; shocked wallet.")</f>
        <v>Just take care of the PPKM border just complaining with the heat of the dust. Which Lu snapped it keeps the block symbol of the block. Don't have a code of ethics as well as "kta &amp; amp; shocked wallet.</v>
      </c>
    </row>
    <row r="1946" ht="15.75" customHeight="1">
      <c r="A1946" s="2">
        <v>1945.0</v>
      </c>
      <c r="B1946" s="5" t="s">
        <v>3534</v>
      </c>
      <c r="C1946" s="6">
        <v>1.0</v>
      </c>
      <c r="D1946" s="7" t="s">
        <v>3535</v>
      </c>
      <c r="E1946" s="8" t="str">
        <f>IFERROR(__xludf.DUMMYFUNCTION("googletranslate(D1946,""id"",""en"")"),"Ppkm and at this house, how come Gofood also hesitate with the brother, la wong the closing clock, the policy is at least qualified,")</f>
        <v>Ppkm and at this house, how come Gofood also hesitate with the brother, la wong the closing clock, the policy is at least qualified,</v>
      </c>
    </row>
    <row r="1947" ht="15.75" customHeight="1">
      <c r="A1947" s="2">
        <v>1946.0</v>
      </c>
      <c r="B1947" s="5" t="s">
        <v>3536</v>
      </c>
      <c r="C1947" s="6">
        <v>1.0</v>
      </c>
      <c r="D1947" s="7" t="s">
        <v>3536</v>
      </c>
      <c r="E1947" s="8" t="str">
        <f>IFERROR(__xludf.DUMMYFUNCTION("googletranslate(D1947,""id"",""en"")"),"After PPKM especially yes. Mutually change the title is not finished.")</f>
        <v>After PPKM especially yes. Mutually change the title is not finished.</v>
      </c>
    </row>
    <row r="1948" ht="15.75" customHeight="1">
      <c r="A1948" s="2">
        <v>1947.0</v>
      </c>
      <c r="B1948" s="5" t="s">
        <v>3537</v>
      </c>
      <c r="C1948" s="6">
        <v>1.0</v>
      </c>
      <c r="D1948" s="7" t="s">
        <v>3538</v>
      </c>
      <c r="E1948" s="8" t="str">
        <f>IFERROR(__xludf.DUMMYFUNCTION("googletranslate(D1948,""id"",""en"")"),"Ppkm until aid tags don't have people in brackets who are looking for food in fine. But those who have delicious jabanan diem in rmh are also in the salary of the country.")</f>
        <v>Ppkm until aid tags don't have people in brackets who are looking for food in fine. But those who have delicious jabanan diem in rmh are also in the salary of the country.</v>
      </c>
    </row>
    <row r="1949" ht="15.75" customHeight="1">
      <c r="A1949" s="2">
        <v>1948.0</v>
      </c>
      <c r="B1949" s="5" t="s">
        <v>3539</v>
      </c>
      <c r="C1949" s="6">
        <v>1.0</v>
      </c>
      <c r="D1949" s="7" t="s">
        <v>3540</v>
      </c>
      <c r="E1949" s="8" t="str">
        <f>IFERROR(__xludf.DUMMYFUNCTION("googletranslate(D1949,""id"",""en"")"),"TASIKMALAYA - I oppose this PPKM rule, because it does not succumb and not croping, I refuse to close, I as a coffee trader, coffee farmer, cimol artisan, fried rice, artisan seblak reject this rule, said Naza Fitri.")</f>
        <v>TASIKMALAYA - I oppose this PPKM rule, because it does not succumb and not croping, I refuse to close, I as a coffee trader, coffee farmer, cimol artisan, fried rice, artisan seblak reject this rule, said Naza Fitri.</v>
      </c>
    </row>
    <row r="1950" ht="15.75" customHeight="1">
      <c r="A1950" s="2">
        <v>1949.0</v>
      </c>
      <c r="B1950" s="5" t="s">
        <v>3541</v>
      </c>
      <c r="C1950" s="6">
        <v>1.0</v>
      </c>
      <c r="D1950" s="9" t="s">
        <v>3542</v>
      </c>
      <c r="E1950" s="8" t="str">
        <f>IFERROR(__xludf.DUMMYFUNCTION("googletranslate(D1950,""id"",""en"")"),"Start out of ideas for activities while at home. It's really damn, especially my personal at home, it's been a long time before the PPKM, when Covid is here again worse. Until now it hasn't subsided too")</f>
        <v>Start out of ideas for activities while at home. It's really damn, especially my personal at home, it's been a long time before the PPKM, when Covid is here again worse. Until now it hasn't subsided too</v>
      </c>
    </row>
    <row r="1951" ht="15.75" customHeight="1">
      <c r="A1951" s="2">
        <v>1950.0</v>
      </c>
      <c r="B1951" s="5" t="s">
        <v>3543</v>
      </c>
      <c r="C1951" s="6">
        <v>1.0</v>
      </c>
      <c r="D1951" s="9" t="s">
        <v>3544</v>
      </c>
      <c r="E1951" s="8" t="str">
        <f>IFERROR(__xludf.DUMMYFUNCTION("googletranslate(D1951,""id"",""en"")"),"The people told to obey Prokes, the Government of Abai Urus the lives of affected people. Avoid the word ""Lockdown"", replace it from PSBB to PPKM, etc. Until now this person is still with his pedestal that is powerful.")</f>
        <v>The people told to obey Prokes, the Government of Abai Urus the lives of affected people. Avoid the word "Lockdown", replace it from PSBB to PPKM, etc. Until now this person is still with his pedestal that is powerful.</v>
      </c>
    </row>
    <row r="1952" ht="15.75" customHeight="1">
      <c r="A1952" s="2">
        <v>1951.0</v>
      </c>
      <c r="B1952" s="5" t="s">
        <v>3545</v>
      </c>
      <c r="C1952" s="6">
        <v>1.0</v>
      </c>
      <c r="D1952" s="7" t="s">
        <v>3545</v>
      </c>
      <c r="E1952" s="8" t="str">
        <f>IFERROR(__xludf.DUMMYFUNCTION("googletranslate(D1952,""id"",""en"")"),"Crazy PPKM Anju PPKM")</f>
        <v>Crazy PPKM Anju PPKM</v>
      </c>
    </row>
    <row r="1953" ht="15.75" customHeight="1">
      <c r="A1953" s="2">
        <v>1952.0</v>
      </c>
      <c r="B1953" s="5" t="s">
        <v>3546</v>
      </c>
      <c r="C1953" s="6">
        <v>1.0</v>
      </c>
      <c r="D1953" s="7" t="s">
        <v>3547</v>
      </c>
      <c r="E1953" s="8" t="str">
        <f>IFERROR(__xludf.DUMMYFUNCTION("googletranslate(D1953,""id"",""en"")"),"Walah ... LGI PPKM Emergency Ngadin Offline Activities")</f>
        <v>Walah ... LGI PPKM Emergency Ngadin Offline Activities</v>
      </c>
    </row>
    <row r="1954" ht="15.75" customHeight="1">
      <c r="A1954" s="2">
        <v>1953.0</v>
      </c>
      <c r="B1954" s="5" t="s">
        <v>3548</v>
      </c>
      <c r="C1954" s="6">
        <v>1.0</v>
      </c>
      <c r="D1954" s="7" t="s">
        <v>3548</v>
      </c>
      <c r="E1954" s="8" t="str">
        <f>IFERROR(__xludf.DUMMYFUNCTION("googletranslate(D1954,""id"",""en"")"),"The Platform on the PPKM so that covid down or say ""let's get it fast, let's get"" finished alive, boro ""diem at home to eat a day - just have to see the income from the sale, if it wants to be quickly finished why swab, vitamin, oxygen is not free Like"&amp;"write?")</f>
        <v>The Platform on the PPKM so that covid down or say "let's get it fast, let's get" finished alive, boro "diem at home to eat a day - just have to see the income from the sale, if it wants to be quickly finished why swab, vitamin, oxygen is not free Likewrite?</v>
      </c>
    </row>
    <row r="1955" ht="15.75" customHeight="1">
      <c r="A1955" s="2">
        <v>1954.0</v>
      </c>
      <c r="B1955" s="5" t="s">
        <v>3549</v>
      </c>
      <c r="C1955" s="6">
        <v>1.0</v>
      </c>
      <c r="D1955" s="7" t="s">
        <v>3550</v>
      </c>
      <c r="E1955" s="8" t="str">
        <f>IFERROR(__xludf.DUMMYFUNCTION("googletranslate(D1955,""id"",""en"")"),"Right now the national emergency and the Opung who are emergency PPKM leaders do not dare to take a firm stance even dare to defend people / breakers who violate. For example, TKA from Covid sources can still enter Indonesia ... the process and capture al"&amp;"l those who violate ... that's just.")</f>
        <v>Right now the national emergency and the Opung who are emergency PPKM leaders do not dare to take a firm stance even dare to defend people / breakers who violate. For example, TKA from Covid sources can still enter Indonesia ... the process and capture all those who violate ... that's just.</v>
      </c>
    </row>
    <row r="1956" ht="15.75" customHeight="1">
      <c r="A1956" s="2">
        <v>1955.0</v>
      </c>
      <c r="B1956" s="5" t="s">
        <v>3551</v>
      </c>
      <c r="C1956" s="6">
        <v>1.0</v>
      </c>
      <c r="D1956" s="7" t="s">
        <v>3552</v>
      </c>
      <c r="E1956" s="8" t="str">
        <f>IFERROR(__xludf.DUMMYFUNCTION("googletranslate(D1956,""id"",""en"")"),"Again ppkm ... everywhere everywhere ...")</f>
        <v>Again ppkm ... everywhere everywhere ...</v>
      </c>
    </row>
    <row r="1957" ht="15.75" customHeight="1">
      <c r="A1957" s="2">
        <v>1956.0</v>
      </c>
      <c r="B1957" s="5" t="s">
        <v>3553</v>
      </c>
      <c r="C1957" s="6">
        <v>1.0</v>
      </c>
      <c r="D1957" s="9" t="s">
        <v>3554</v>
      </c>
      <c r="E1957" s="8" t="str">
        <f>IFERROR(__xludf.DUMMYFUNCTION("googletranslate(D1957,""id"",""en"")"),"Just now, Tereak2 asked Lokdon ... Cuman PPKM was noisy about Eid al-Adha (which there must be a security income). it's not far away with his father and husband")</f>
        <v>Just now, Tereak2 asked Lokdon ... Cuman PPKM was noisy about Eid al-Adha (which there must be a security income). it's not far away with his father and husband</v>
      </c>
    </row>
    <row r="1958" ht="15.75" customHeight="1">
      <c r="A1958" s="2">
        <v>1957.0</v>
      </c>
      <c r="B1958" s="5" t="s">
        <v>3555</v>
      </c>
      <c r="C1958" s="6">
        <v>1.0</v>
      </c>
      <c r="D1958" s="7" t="s">
        <v>3555</v>
      </c>
      <c r="E1958" s="8" t="str">
        <f>IFERROR(__xludf.DUMMYFUNCTION("googletranslate(D1958,""id"",""en"")"),"after thinking until morning, finally it was finally done with the lure of the basic needs all because behind Bandung felt very long caused by PPKM and more worrying about the pandemic that Anjinun here")</f>
        <v>after thinking until morning, finally it was finally done with the lure of the basic needs all because behind Bandung felt very long caused by PPKM and more worrying about the pandemic that Anjinun here</v>
      </c>
    </row>
    <row r="1959" ht="15.75" customHeight="1">
      <c r="A1959" s="2">
        <v>1958.0</v>
      </c>
      <c r="B1959" s="5" t="s">
        <v>3556</v>
      </c>
      <c r="C1959" s="6">
        <v>1.0</v>
      </c>
      <c r="D1959" s="7" t="s">
        <v>3557</v>
      </c>
      <c r="E1959" s="8" t="str">
        <f>IFERROR(__xludf.DUMMYFUNCTION("googletranslate(D1959,""id"",""en"")"),"Tangkepin is also people who don't obey PPKM. Secretary of Article Negligence Nurse which results in loss of life")</f>
        <v>Tangkepin is also people who don't obey PPKM. Secretary of Article Negligence Nurse which results in loss of life</v>
      </c>
    </row>
    <row r="1960" ht="15.75" customHeight="1">
      <c r="A1960" s="2">
        <v>1959.0</v>
      </c>
      <c r="B1960" s="5" t="s">
        <v>3558</v>
      </c>
      <c r="C1960" s="6">
        <v>1.0</v>
      </c>
      <c r="D1960" s="9" t="s">
        <v>3559</v>
      </c>
      <c r="E1960" s="8" t="str">
        <f>IFERROR(__xludf.DUMMYFUNCTION("googletranslate(D1960,""id"",""en"")"),"Kedungwuni area, Doro, and several culinary business places in Kab. PKL, since the emergency PPKM was enacted, stretched out of visitors once.")</f>
        <v>Kedungwuni area, Doro, and several culinary business places in Kab. PKL, since the emergency PPKM was enacted, stretched out of visitors once.</v>
      </c>
    </row>
    <row r="1961" ht="15.75" customHeight="1">
      <c r="A1961" s="2">
        <v>1960.0</v>
      </c>
      <c r="B1961" s="5" t="s">
        <v>3560</v>
      </c>
      <c r="C1961" s="6">
        <v>1.0</v>
      </c>
      <c r="D1961" s="7" t="s">
        <v>3561</v>
      </c>
      <c r="E1961" s="8" t="str">
        <f>IFERROR(__xludf.DUMMYFUNCTION("googletranslate(D1961,""id"",""en"")"),"Here is difficult, I have to use the domicile suket from Mr. RT / RW or use Suket from the office. Laaahh PPKM this told him to use everything.")</f>
        <v>Here is difficult, I have to use the domicile suket from Mr. RT / RW or use Suket from the office. Laaahh PPKM this told him to use everything.</v>
      </c>
    </row>
    <row r="1962" ht="15.75" customHeight="1">
      <c r="A1962" s="2">
        <v>1961.0</v>
      </c>
      <c r="B1962" s="5" t="s">
        <v>3562</v>
      </c>
      <c r="C1962" s="6">
        <v>1.0</v>
      </c>
      <c r="D1962" s="7" t="s">
        <v>3563</v>
      </c>
      <c r="E1962" s="8" t="str">
        <f>IFERROR(__xludf.DUMMYFUNCTION("googletranslate(D1962,""id"",""en"")"),"Ko help ppkm weve the country has been bankrupt yes")</f>
        <v>Ko help ppkm weve the country has been bankrupt yes</v>
      </c>
    </row>
    <row r="1963" ht="15.75" customHeight="1">
      <c r="A1963" s="2">
        <v>1962.0</v>
      </c>
      <c r="B1963" s="5" t="s">
        <v>3564</v>
      </c>
      <c r="C1963" s="6">
        <v>1.0</v>
      </c>
      <c r="D1963" s="7" t="s">
        <v>3565</v>
      </c>
      <c r="E1963" s="8" t="str">
        <f>IFERROR(__xludf.DUMMYFUNCTION("googletranslate(D1963,""id"",""en"")"),"PPKM (Mr. President must back down)")</f>
        <v>PPKM (Mr. President must back down)</v>
      </c>
    </row>
    <row r="1964" ht="15.75" customHeight="1">
      <c r="A1964" s="2">
        <v>1963.0</v>
      </c>
      <c r="B1964" s="5" t="s">
        <v>3566</v>
      </c>
      <c r="C1964" s="6">
        <v>1.0</v>
      </c>
      <c r="D1964" s="9" t="s">
        <v>3567</v>
      </c>
      <c r="E1964" s="8" t="str">
        <f>IFERROR(__xludf.DUMMYFUNCTION("googletranslate(D1964,""id"",""en"")"),"Believe that the classmate of the capital is not lockdown just a pPKM which in the field does not set firmly only in the form of appeal")</f>
        <v>Believe that the classmate of the capital is not lockdown just a pPKM which in the field does not set firmly only in the form of appeal</v>
      </c>
    </row>
    <row r="1965" ht="15.75" customHeight="1">
      <c r="A1965" s="2">
        <v>1964.0</v>
      </c>
      <c r="B1965" s="5" t="s">
        <v>3568</v>
      </c>
      <c r="C1965" s="6">
        <v>1.0</v>
      </c>
      <c r="D1965" s="7" t="s">
        <v>3569</v>
      </c>
      <c r="E1965" s="8" t="str">
        <f>IFERROR(__xludf.DUMMYFUNCTION("googletranslate(D1965,""id"",""en"")"),"Ppkm give sir help should not continue to have no help, how do people want to obey it ... need loose, daily, the employee is different from ASN even though we don't work don't eat sir ... Different from ASN even though they have a PPKM they still get a sa"&amp;"lary ....")</f>
        <v>Ppkm give sir help should not continue to have no help, how do people want to obey it ... need loose, daily, the employee is different from ASN even though we don't work don't eat sir ... Different from ASN even though they have a PPKM they still get a salary ....</v>
      </c>
    </row>
    <row r="1966" ht="15.75" customHeight="1">
      <c r="A1966" s="2">
        <v>1965.0</v>
      </c>
      <c r="B1966" s="5" t="s">
        <v>3570</v>
      </c>
      <c r="C1966" s="6">
        <v>1.0</v>
      </c>
      <c r="D1966" s="7" t="s">
        <v>3571</v>
      </c>
      <c r="E1966" s="8" t="str">
        <f>IFERROR(__xludf.DUMMYFUNCTION("googletranslate(D1966,""id"",""en"")"),"Your PPKmpanlan is soft ***")</f>
        <v>Your PPKmpanlan is soft ***</v>
      </c>
    </row>
    <row r="1967" ht="15.75" customHeight="1">
      <c r="A1967" s="2">
        <v>1966.0</v>
      </c>
      <c r="B1967" s="5" t="s">
        <v>3572</v>
      </c>
      <c r="C1967" s="6">
        <v>1.0</v>
      </c>
      <c r="D1967" s="7" t="s">
        <v>3573</v>
      </c>
      <c r="E1967" s="8" t="str">
        <f>IFERROR(__xludf.DUMMYFUNCTION("googletranslate(D1967,""id"",""en"")"),"Ppkmpunten sir when backwards")</f>
        <v>Ppkmpunten sir when backwards</v>
      </c>
    </row>
    <row r="1968" ht="15.75" customHeight="1">
      <c r="A1968" s="2">
        <v>1967.0</v>
      </c>
      <c r="B1968" s="5" t="s">
        <v>3574</v>
      </c>
      <c r="C1968" s="6">
        <v>1.0</v>
      </c>
      <c r="D1968" s="9" t="s">
        <v>3575</v>
      </c>
      <c r="E1968" s="8" t="str">
        <f>IFERROR(__xludf.DUMMYFUNCTION("googletranslate(D1968,""id"",""en"")"),"If the Paspampres shows the identity and member card ... and still being examined by this and that by the PPKM officer I agreed the police was dealt with ... but if not ... ?? Well it's not ... !! Continue to bring friends to Mapolres, do you want to do i"&amp;"t ... ?? Good jago ... ??")</f>
        <v>If the Paspampres shows the identity and member card ... and still being examined by this and that by the PPKM officer I agreed the police was dealt with ... but if not ... ?? Well it's not ... !! Continue to bring friends to Mapolres, do you want to do it ... ?? Good jago ... ??</v>
      </c>
    </row>
    <row r="1969" ht="15.75" customHeight="1">
      <c r="A1969" s="2">
        <v>1968.0</v>
      </c>
      <c r="B1969" s="5" t="s">
        <v>3576</v>
      </c>
      <c r="C1969" s="6">
        <v>1.0</v>
      </c>
      <c r="D1969" s="7" t="s">
        <v>3577</v>
      </c>
      <c r="E1969" s="8" t="str">
        <f>IFERROR(__xludf.DUMMYFUNCTION("googletranslate(D1969,""id"",""en"")"),"GanasCenteng China CommunistSnews.id-coordinator of the Java-Bali Emergency Emergency Coordinator, Luhut Binsar Pandjaitan, if you have communication with Beijing for handling Pandemic Covid-19.Wayahe")</f>
        <v>GanasCenteng China CommunistSnews.id-coordinator of the Java-Bali Emergency Emergency Coordinator, Luhut Binsar Pandjaitan, if you have communication with Beijing for handling Pandemic Covid-19.Wayahe</v>
      </c>
    </row>
    <row r="1970" ht="15.75" customHeight="1">
      <c r="A1970" s="2">
        <v>1969.0</v>
      </c>
      <c r="B1970" s="5" t="s">
        <v>3578</v>
      </c>
      <c r="C1970" s="6">
        <v>1.0</v>
      </c>
      <c r="D1970" s="9" t="s">
        <v>3579</v>
      </c>
      <c r="E1970" s="8" t="str">
        <f>IFERROR(__xludf.DUMMYFUNCTION("googletranslate(D1970,""id"",""en"")"),"Actually, you want PPKM or Lockdown it. But the problem is not all sectors have the same thought. Such as a working place not told WFH but all the way was closed then how to sell it")</f>
        <v>Actually, you want PPKM or Lockdown it. But the problem is not all sectors have the same thought. Such as a working place not told WFH but all the way was closed then how to sell it</v>
      </c>
    </row>
    <row r="1971" ht="15.75" customHeight="1">
      <c r="A1971" s="2">
        <v>1970.0</v>
      </c>
      <c r="B1971" s="5" t="s">
        <v>3580</v>
      </c>
      <c r="C1971" s="6">
        <v>1.0</v>
      </c>
      <c r="D1971" s="7" t="s">
        <v>3581</v>
      </c>
      <c r="E1971" s="8" t="str">
        <f>IFERROR(__xludf.DUMMYFUNCTION("googletranslate(D1971,""id"",""en"")"),"Ppkm (slowly run out of money)")</f>
        <v>Ppkm (slowly run out of money)</v>
      </c>
    </row>
    <row r="1972" ht="15.75" customHeight="1">
      <c r="A1972" s="2">
        <v>1971.0</v>
      </c>
      <c r="B1972" s="5" t="s">
        <v>3582</v>
      </c>
      <c r="C1972" s="6">
        <v>1.0</v>
      </c>
      <c r="D1972" s="7" t="s">
        <v>3583</v>
      </c>
      <c r="E1972" s="8" t="str">
        <f>IFERROR(__xludf.DUMMYFUNCTION("googletranslate(D1972,""id"",""en"")"),"As long as it doesn't like PPKM in Jakarta, Pak Ganjar ... PPKM Petenteng Petenteng Like Angry Monkey is not clear and wrong")</f>
        <v>As long as it doesn't like PPKM in Jakarta, Pak Ganjar ... PPKM Petenteng Petenteng Like Angry Monkey is not clear and wrong</v>
      </c>
    </row>
    <row r="1973" ht="15.75" customHeight="1">
      <c r="A1973" s="2">
        <v>1972.0</v>
      </c>
      <c r="B1973" s="5" t="s">
        <v>3584</v>
      </c>
      <c r="C1973" s="6">
        <v>1.0</v>
      </c>
      <c r="D1973" s="7" t="s">
        <v>3585</v>
      </c>
      <c r="E1973" s="8" t="str">
        <f>IFERROR(__xludf.DUMMYFUNCTION("googletranslate(D1973,""id"",""en"")"),"PPKM. Government betrayal to the community.")</f>
        <v>PPKM. Government betrayal to the community.</v>
      </c>
    </row>
    <row r="1974" ht="15.75" customHeight="1">
      <c r="A1974" s="2">
        <v>1973.0</v>
      </c>
      <c r="B1974" s="5" t="s">
        <v>3586</v>
      </c>
      <c r="C1974" s="6">
        <v>1.0</v>
      </c>
      <c r="D1974" s="7" t="s">
        <v>3587</v>
      </c>
      <c r="E1974" s="8" t="str">
        <f>IFERROR(__xludf.DUMMYFUNCTION("googletranslate(D1974,""id"",""en"")"),"Anjay from Epic down to Grandmaster Hixrotppkm = Slowly we are poor?")</f>
        <v>Anjay from Epic down to Grandmaster Hixrotppkm = Slowly we are poor?</v>
      </c>
    </row>
    <row r="1975" ht="15.75" customHeight="1">
      <c r="A1975" s="2">
        <v>1974.0</v>
      </c>
      <c r="B1975" s="5" t="s">
        <v>3588</v>
      </c>
      <c r="C1975" s="6">
        <v>1.0</v>
      </c>
      <c r="D1975" s="7" t="s">
        <v>3589</v>
      </c>
      <c r="E1975" s="8" t="str">
        <f>IFERROR(__xludf.DUMMYFUNCTION("googletranslate(D1975,""id"",""en"")"),"Why starvation, Lha Wong People Pd LG LG DO MOM DRACK DRACKING IN THE PANDEMI Season and Application of PPKM eh PD in Usirin, in Transfer Merchandise, even those who are severely flushed using fire engines to the people.")</f>
        <v>Why starvation, Lha Wong People Pd LG LG DO MOM DRACK DRACKING IN THE PANDEMI Season and Application of PPKM eh PD in Usirin, in Transfer Merchandise, even those who are severely flushed using fire engines to the people.</v>
      </c>
    </row>
    <row r="1976" ht="15.75" customHeight="1">
      <c r="A1976" s="2">
        <v>1975.0</v>
      </c>
      <c r="B1976" s="5" t="s">
        <v>3590</v>
      </c>
      <c r="C1976" s="6">
        <v>1.0</v>
      </c>
      <c r="D1976" s="9" t="s">
        <v>3591</v>
      </c>
      <c r="E1976" s="8" t="str">
        <f>IFERROR(__xludf.DUMMYFUNCTION("googletranslate(D1976,""id"",""en"")"),"I swear the bad org! Where do you know that org want to make the event know that there is an emergency PPKM policy. It's also been assembled all invitations and it's just giving rice box doang..ya God is sad if you don't like to try to be reprimanded firs"&amp;"t so that the person will give an explanation")</f>
        <v>I swear the bad org! Where do you know that org want to make the event know that there is an emergency PPKM policy. It's also been assembled all invitations and it's just giving rice box doang..ya God is sad if you don't like to try to be reprimanded first so that the person will give an explanation</v>
      </c>
    </row>
    <row r="1977" ht="15.75" customHeight="1">
      <c r="A1977" s="2">
        <v>1976.0</v>
      </c>
      <c r="B1977" s="5" t="s">
        <v>3592</v>
      </c>
      <c r="C1977" s="6">
        <v>1.0</v>
      </c>
      <c r="D1977" s="9" t="s">
        <v>3593</v>
      </c>
      <c r="E1977" s="8" t="str">
        <f>IFERROR(__xludf.DUMMYFUNCTION("googletranslate(D1977,""id"",""en"")"),"Bener's arrogant PPKM officers. Try fighting out the same paspampres camouflage")</f>
        <v>Bener's arrogant PPKM officers. Try fighting out the same paspampres camouflage</v>
      </c>
    </row>
    <row r="1978" ht="15.75" customHeight="1">
      <c r="A1978" s="2">
        <v>1977.0</v>
      </c>
      <c r="B1978" s="5" t="s">
        <v>3594</v>
      </c>
      <c r="C1978" s="6">
        <v>1.0</v>
      </c>
      <c r="D1978" s="7" t="s">
        <v>3595</v>
      </c>
      <c r="E1978" s="8" t="str">
        <f>IFERROR(__xludf.DUMMYFUNCTION("googletranslate(D1978,""id"",""en"")"),"Yes, BI.")</f>
        <v>Yes, BI.</v>
      </c>
    </row>
    <row r="1979" ht="15.75" customHeight="1">
      <c r="A1979" s="2">
        <v>1978.0</v>
      </c>
      <c r="B1979" s="5" t="s">
        <v>3596</v>
      </c>
      <c r="C1979" s="6">
        <v>1.0</v>
      </c>
      <c r="D1979" s="7" t="s">
        <v>3597</v>
      </c>
      <c r="E1979" s="8" t="str">
        <f>IFERROR(__xludf.DUMMYFUNCTION("googletranslate(D1979,""id"",""en"")"),"It is precisely plunging Muslims, Shg if the PPKM is widely violated by the people, then many who have contracted covid. Is that what is expected?")</f>
        <v>It is precisely plunging Muslims, Shg if the PPKM is widely violated by the people, then many who have contracted covid. Is that what is expected?</v>
      </c>
    </row>
    <row r="1980" ht="15.75" customHeight="1">
      <c r="A1980" s="2">
        <v>1979.0</v>
      </c>
      <c r="B1980" s="5" t="s">
        <v>3598</v>
      </c>
      <c r="C1980" s="6">
        <v>1.0</v>
      </c>
      <c r="D1980" s="9" t="s">
        <v>3599</v>
      </c>
      <c r="E1980" s="8" t="str">
        <f>IFERROR(__xludf.DUMMYFUNCTION("googletranslate(D1980,""id"",""en"")"),"Here, the stupid, lu comment, there is no work, Lu Picek's eyes in suffering from finding hard because of the PPKM, it's even a comment, it's not clear, it doesn't come in, if you don't go down the suicide it's much better to be in Rocky")</f>
        <v>Here, the stupid, lu comment, there is no work, Lu Picek's eyes in suffering from finding hard because of the PPKM, it's even a comment, it's not clear, it doesn't come in, if you don't go down the suicide it's much better to be in Rocky</v>
      </c>
    </row>
    <row r="1981" ht="15.75" customHeight="1">
      <c r="A1981" s="2">
        <v>1980.0</v>
      </c>
      <c r="B1981" s="5" t="s">
        <v>3600</v>
      </c>
      <c r="C1981" s="6">
        <v>1.0</v>
      </c>
      <c r="D1981" s="7" t="s">
        <v>3601</v>
      </c>
      <c r="E1981" s="8" t="str">
        <f>IFERROR(__xludf.DUMMYFUNCTION("googletranslate(D1981,""id"",""en"")"),"With the pretext of PSBB and PPKM deception, evidence that the regime was not serious in an effort to rescue the nation from the Corona outbreak.")</f>
        <v>With the pretext of PSBB and PPKM deception, evidence that the regime was not serious in an effort to rescue the nation from the Corona outbreak.</v>
      </c>
    </row>
    <row r="1982" ht="15.75" customHeight="1">
      <c r="A1982" s="2">
        <v>1981.0</v>
      </c>
      <c r="B1982" s="5" t="s">
        <v>3602</v>
      </c>
      <c r="C1982" s="6">
        <v>1.0</v>
      </c>
      <c r="D1982" s="9" t="s">
        <v>3603</v>
      </c>
      <c r="E1982" s="8" t="str">
        <f>IFERROR(__xludf.DUMMYFUNCTION("googletranslate(D1982,""id"",""en"")"),"this ppkm sm rakyt psi sadistic ... kl bukn ppkm normally pke soogook an ..mkan it do it msuk ny it's good ---- &amp; gt; bro, too")</f>
        <v>this ppkm sm rakyt psi sadistic ... kl bukn ppkm normally pke soogook an ..mkan it do it msuk ny it's good ---- &amp; gt; bro, too</v>
      </c>
    </row>
    <row r="1983" ht="15.75" customHeight="1">
      <c r="A1983" s="2">
        <v>1982.0</v>
      </c>
      <c r="B1983" s="5" t="s">
        <v>3604</v>
      </c>
      <c r="C1983" s="6">
        <v>1.0</v>
      </c>
      <c r="D1983" s="7" t="s">
        <v>3605</v>
      </c>
      <c r="E1983" s="8" t="str">
        <f>IFERROR(__xludf.DUMMYFUNCTION("googletranslate(D1983,""id"",""en"")"),"Friday prayers were eliminated at the factory during emergency PPKM. Said friend, there is Corona above God")</f>
        <v>Friday prayers were eliminated at the factory during emergency PPKM. Said friend, there is Corona above God</v>
      </c>
    </row>
    <row r="1984" ht="15.75" customHeight="1">
      <c r="A1984" s="2">
        <v>1983.0</v>
      </c>
      <c r="B1984" s="5" t="s">
        <v>3606</v>
      </c>
      <c r="C1984" s="6">
        <v>2.0</v>
      </c>
      <c r="D1984" s="7" t="s">
        <v>3606</v>
      </c>
      <c r="E1984" s="8" t="str">
        <f>IFERROR(__xludf.DUMMYFUNCTION("googletranslate(D1984,""id"",""en"")"),"Seoul wih preparing for PPKM too")</f>
        <v>Seoul wih preparing for PPKM too</v>
      </c>
    </row>
    <row r="1985" ht="15.75" customHeight="1">
      <c r="A1985" s="2">
        <v>1984.0</v>
      </c>
      <c r="B1985" s="5" t="s">
        <v>3607</v>
      </c>
      <c r="C1985" s="6">
        <v>1.0</v>
      </c>
      <c r="D1985" s="7" t="s">
        <v>3608</v>
      </c>
      <c r="E1985" s="8" t="str">
        <f>IFERROR(__xludf.DUMMYFUNCTION("googletranslate(D1985,""id"",""en"")"),"It should be returned to the site today, because it gets an impact on the PPKM Let's continue sleeping again")</f>
        <v>It should be returned to the site today, because it gets an impact on the PPKM Let's continue sleeping again</v>
      </c>
    </row>
    <row r="1986" ht="15.75" customHeight="1">
      <c r="A1986" s="2">
        <v>1985.0</v>
      </c>
      <c r="B1986" s="5" t="s">
        <v>3609</v>
      </c>
      <c r="C1986" s="6">
        <v>3.0</v>
      </c>
      <c r="D1986" s="7" t="s">
        <v>3610</v>
      </c>
      <c r="E1986" s="8" t="str">
        <f>IFERROR(__xludf.DUMMYFUNCTION("googletranslate(D1986,""id"",""en"")"),"Ppkm ""multiply the dhikr, multiply alms, strengthen the priest and reduce immorality"" emergurattatt")</f>
        <v>Ppkm "multiply the dhikr, multiply alms, strengthen the priest and reduce immorality" emergurattatt</v>
      </c>
    </row>
    <row r="1987" ht="15.75" customHeight="1">
      <c r="A1987" s="2">
        <v>1986.0</v>
      </c>
      <c r="B1987" s="5" t="s">
        <v>3611</v>
      </c>
      <c r="C1987" s="6">
        <v>2.0</v>
      </c>
      <c r="D1987" s="9" t="s">
        <v>3611</v>
      </c>
      <c r="E1987" s="8" t="str">
        <f>IFERROR(__xludf.DUMMYFUNCTION("googletranslate(D1987,""id"",""en"")"),"The prospective passengers of the aircraft are required to show the vaccine proof card, a minimum of the first dose vaccination. This is applied since Emergency PPKM to the time specified later")</f>
        <v>The prospective passengers of the aircraft are required to show the vaccine proof card, a minimum of the first dose vaccination. This is applied since Emergency PPKM to the time specified later</v>
      </c>
    </row>
    <row r="1988" ht="15.75" customHeight="1">
      <c r="A1988" s="2">
        <v>1987.0</v>
      </c>
      <c r="B1988" s="5" t="s">
        <v>3612</v>
      </c>
      <c r="C1988" s="6">
        <v>2.0</v>
      </c>
      <c r="D1988" s="9" t="s">
        <v>3613</v>
      </c>
      <c r="E1988" s="8" t="str">
        <f>IFERROR(__xludf.DUMMYFUNCTION("googletranslate(D1988,""id"",""en"")"),"It's not yet ppkm, den")</f>
        <v>It's not yet ppkm, den</v>
      </c>
    </row>
    <row r="1989" ht="15.75" customHeight="1">
      <c r="A1989" s="2">
        <v>1988.0</v>
      </c>
      <c r="B1989" s="5" t="s">
        <v>3614</v>
      </c>
      <c r="C1989" s="6">
        <v>1.0</v>
      </c>
      <c r="D1989" s="7" t="s">
        <v>3615</v>
      </c>
      <c r="E1989" s="8" t="str">
        <f>IFERROR(__xludf.DUMMYFUNCTION("googletranslate(D1989,""id"",""en"")"),"just paspampres, yesterday the doctor was told to go home because of the emergency ppkm")</f>
        <v>just paspampres, yesterday the doctor was told to go home because of the emergency ppkm</v>
      </c>
    </row>
    <row r="1990" ht="15.75" customHeight="1">
      <c r="A1990" s="2">
        <v>1989.0</v>
      </c>
      <c r="B1990" s="5" t="s">
        <v>3616</v>
      </c>
      <c r="C1990" s="6">
        <v>2.0</v>
      </c>
      <c r="D1990" s="9" t="s">
        <v>3617</v>
      </c>
      <c r="E1990" s="8" t="str">
        <f>IFERROR(__xludf.DUMMYFUNCTION("googletranslate(D1990,""id"",""en"")"),"Min if you want to go in Jogja when the PPKM requirements, what are you helped, bro")</f>
        <v>Min if you want to go in Jogja when the PPKM requirements, what are you helped, bro</v>
      </c>
    </row>
    <row r="1991" ht="15.75" customHeight="1">
      <c r="A1991" s="2">
        <v>1990.0</v>
      </c>
      <c r="B1991" s="5" t="s">
        <v>3618</v>
      </c>
      <c r="C1991" s="6">
        <v>3.0</v>
      </c>
      <c r="D1991" s="7" t="s">
        <v>3618</v>
      </c>
      <c r="E1991" s="8" t="str">
        <f>IFERROR(__xludf.DUMMYFUNCTION("googletranslate(D1991,""id"",""en"")"),"The East Java Provincial Government invites the active role of the community to participate in escorting the ongoing emergency PPKM process")</f>
        <v>The East Java Provincial Government invites the active role of the community to participate in escorting the ongoing emergency PPKM process</v>
      </c>
    </row>
    <row r="1992" ht="15.75" customHeight="1">
      <c r="A1992" s="2">
        <v>1991.0</v>
      </c>
      <c r="B1992" s="5" t="s">
        <v>3619</v>
      </c>
      <c r="C1992" s="6">
        <v>2.0</v>
      </c>
      <c r="D1992" s="7" t="s">
        <v>3620</v>
      </c>
      <c r="E1992" s="8" t="str">
        <f>IFERROR(__xludf.DUMMYFUNCTION("googletranslate(D1992,""id"",""en"")"),"PPKM's emergence")</f>
        <v>PPKM's emergence</v>
      </c>
    </row>
    <row r="1993" ht="15.75" customHeight="1">
      <c r="A1993" s="2">
        <v>1992.0</v>
      </c>
      <c r="B1993" s="5" t="s">
        <v>3621</v>
      </c>
      <c r="C1993" s="6">
        <v>2.0</v>
      </c>
      <c r="D1993" s="7" t="s">
        <v>3622</v>
      </c>
      <c r="E1993" s="8" t="str">
        <f>IFERROR(__xludf.DUMMYFUNCTION("googletranslate(D1993,""id"",""en"")"),"PPKMPAgi Morning Meets FormerPadal Want to meet Mbayu")</f>
        <v>PPKMPAgi Morning Meets FormerPadal Want to meet Mbayu</v>
      </c>
    </row>
    <row r="1994" ht="15.75" customHeight="1">
      <c r="A1994" s="2">
        <v>1993.0</v>
      </c>
      <c r="B1994" s="5" t="s">
        <v>3623</v>
      </c>
      <c r="C1994" s="6">
        <v>2.0</v>
      </c>
      <c r="D1994" s="7" t="s">
        <v>3624</v>
      </c>
      <c r="E1994" s="8" t="str">
        <f>IFERROR(__xludf.DUMMYFUNCTION("googletranslate(D1994,""id"",""en"")"),"PPKMPAGI Morning Kangen Mas Him Nanya Mas.")</f>
        <v>PPKMPAGI Morning Kangen Mas Him Nanya Mas.</v>
      </c>
    </row>
    <row r="1995" ht="15.75" customHeight="1">
      <c r="A1995" s="2">
        <v>1994.0</v>
      </c>
      <c r="B1995" s="5" t="s">
        <v>3625</v>
      </c>
      <c r="C1995" s="6">
        <v>1.0</v>
      </c>
      <c r="D1995" s="9" t="s">
        <v>3625</v>
      </c>
      <c r="E1995" s="8" t="str">
        <f>IFERROR(__xludf.DUMMYFUNCTION("googletranslate(D1995,""id"",""en"")"),"This PPKM / Semi Lockdown problem is from the previous polemic. Health or economic bet. The health affairs of the life bet. Economic affairs stakes stomach and state stability.")</f>
        <v>This PPKM / Semi Lockdown problem is from the previous polemic. Health or economic bet. The health affairs of the life bet. Economic affairs stakes stomach and state stability.</v>
      </c>
    </row>
    <row r="1996" ht="15.75" customHeight="1">
      <c r="A1996" s="2">
        <v>1995.0</v>
      </c>
      <c r="B1996" s="5" t="s">
        <v>3626</v>
      </c>
      <c r="C1996" s="6">
        <v>3.0</v>
      </c>
      <c r="D1996" s="9" t="s">
        <v>3627</v>
      </c>
      <c r="E1996" s="8" t="str">
        <f>IFERROR(__xludf.DUMMYFUNCTION("googletranslate(D1996,""id"",""en"")"),"Beware of political maneuvers KPK employees who do not pass the TWK. PPKM Basmi Covid.")</f>
        <v>Beware of political maneuvers KPK employees who do not pass the TWK. PPKM Basmi Covid.</v>
      </c>
    </row>
    <row r="1997" ht="15.75" customHeight="1">
      <c r="A1997" s="2">
        <v>1996.0</v>
      </c>
      <c r="B1997" s="5" t="s">
        <v>3628</v>
      </c>
      <c r="C1997" s="6">
        <v>2.0</v>
      </c>
      <c r="D1997" s="7" t="s">
        <v>3629</v>
      </c>
      <c r="E1997" s="8" t="str">
        <f>IFERROR(__xludf.DUMMYFUNCTION("googletranslate(D1997,""id"",""en"")"),"The City Government (Pemko) of Padang ensured that the application of tightening the enactment of the restrictions on the Micro Community Activities (PPKM) without any insulation. Started it was implemented on Thursday (8/7/2021) until Tuesday (20/7/2021)"&amp;" or was determined by the Iduladha holiday.")</f>
        <v>The City Government (Pemko) of Padang ensured that the application of tightening the enactment of the restrictions on the Micro Community Activities (PPKM) without any insulation. Started it was implemented on Thursday (8/7/2021) until Tuesday (20/7/2021) or was determined by the Iduladha holiday.</v>
      </c>
    </row>
    <row r="1998" ht="15.75" customHeight="1">
      <c r="A1998" s="2">
        <v>1997.0</v>
      </c>
      <c r="B1998" s="5" t="s">
        <v>3630</v>
      </c>
      <c r="C1998" s="6">
        <v>2.0</v>
      </c>
      <c r="D1998" s="7" t="s">
        <v>3631</v>
      </c>
      <c r="E1998" s="8" t="str">
        <f>IFERROR(__xludf.DUMMYFUNCTION("googletranslate(D1998,""id"",""en"")"),"PPKM = want to go to Moscow.")</f>
        <v>PPKM = want to go to Moscow.</v>
      </c>
    </row>
    <row r="1999" ht="15.75" customHeight="1">
      <c r="A1999" s="2">
        <v>1998.0</v>
      </c>
      <c r="B1999" s="5" t="s">
        <v>3632</v>
      </c>
      <c r="C1999" s="6">
        <v>2.0</v>
      </c>
      <c r="D1999" s="7" t="s">
        <v>3633</v>
      </c>
      <c r="E1999" s="8" t="str">
        <f>IFERROR(__xludf.DUMMYFUNCTION("googletranslate(D1999,""id"",""en"")"),"Good morning min .. want to ask kl take STSI directly to the office BS? or lg wfh because of the ppkm? Please Info Min .. Thank you")</f>
        <v>Good morning min .. want to ask kl take STSI directly to the office BS? or lg wfh because of the ppkm? Please Info Min .. Thank you</v>
      </c>
    </row>
    <row r="2000" ht="15.75" customHeight="1">
      <c r="A2000" s="2">
        <v>1999.0</v>
      </c>
      <c r="B2000" s="5" t="s">
        <v>3634</v>
      </c>
      <c r="C2000" s="6">
        <v>2.0</v>
      </c>
      <c r="D2000" s="7" t="s">
        <v>3634</v>
      </c>
      <c r="E2000" s="8" t="str">
        <f>IFERROR(__xludf.DUMMYFUNCTION("googletranslate(D2000,""id"",""en"")"),"lg ppkm gini bole rises ojol ga?")</f>
        <v>lg ppkm gini bole rises ojol ga?</v>
      </c>
    </row>
    <row r="2001" ht="15.75" customHeight="1">
      <c r="A2001" s="2">
        <v>2000.0</v>
      </c>
      <c r="B2001" s="5" t="s">
        <v>3635</v>
      </c>
      <c r="C2001" s="6">
        <v>2.0</v>
      </c>
      <c r="D2001" s="9" t="s">
        <v>3636</v>
      </c>
      <c r="E2001" s="8" t="str">
        <f>IFERROR(__xludf.DUMMYFUNCTION("googletranslate(D2001,""id"",""en"")"),"Again ppkm boss can't be idre first")</f>
        <v>Again ppkm boss can't be idre first</v>
      </c>
    </row>
    <row r="2002" ht="15.75" customHeight="1">
      <c r="A2002" s="2">
        <v>2001.0</v>
      </c>
      <c r="B2002" s="5" t="s">
        <v>3637</v>
      </c>
      <c r="C2002" s="6">
        <v>2.0</v>
      </c>
      <c r="D2002" s="9" t="s">
        <v>3638</v>
      </c>
      <c r="E2002" s="8" t="str">
        <f>IFERROR(__xludf.DUMMYFUNCTION("googletranslate(D2002,""id"",""en"")"),"Still ppkm, so hold it before")</f>
        <v>Still ppkm, so hold it before</v>
      </c>
    </row>
    <row r="2003" ht="15.75" customHeight="1">
      <c r="A2003" s="2">
        <v>2002.0</v>
      </c>
      <c r="B2003" s="5" t="s">
        <v>3639</v>
      </c>
      <c r="C2003" s="6">
        <v>2.0</v>
      </c>
      <c r="D2003" s="7" t="s">
        <v>3640</v>
      </c>
      <c r="E2003" s="8" t="str">
        <f>IFERROR(__xludf.DUMMYFUNCTION("googletranslate(D2003,""id"",""en"")"),"A key word- ppkm- kudel- kangkung- tut wuri handayani")</f>
        <v>A key word- ppkm- kudel- kangkung- tut wuri handayani</v>
      </c>
    </row>
    <row r="2004" ht="15.75" customHeight="1">
      <c r="A2004" s="2">
        <v>2003.0</v>
      </c>
      <c r="B2004" s="5" t="s">
        <v>3641</v>
      </c>
      <c r="C2004" s="6">
        <v>1.0</v>
      </c>
      <c r="D2004" s="9" t="s">
        <v>3642</v>
      </c>
      <c r="E2004" s="8" t="str">
        <f>IFERROR(__xludf.DUMMYFUNCTION("googletranslate(D2004,""id"",""en"")"),"Lion Air Group Stop Flights to Papua, the reason because PPKM and several cities have not been able to serve TESPCR")</f>
        <v>Lion Air Group Stop Flights to Papua, the reason because PPKM and several cities have not been able to serve TESPCR</v>
      </c>
    </row>
    <row r="2005" ht="15.75" customHeight="1">
      <c r="A2005" s="2">
        <v>2004.0</v>
      </c>
      <c r="B2005" s="5" t="s">
        <v>3643</v>
      </c>
      <c r="C2005" s="6">
        <v>2.0</v>
      </c>
      <c r="D2005" s="7" t="s">
        <v>3644</v>
      </c>
      <c r="E2005" s="8" t="str">
        <f>IFERROR(__xludf.DUMMYFUNCTION("googletranslate(D2005,""id"",""en"")"),"Tarihara Ku Manja Prempun (PPKM)")</f>
        <v>Tarihara Ku Manja Prempun (PPKM)</v>
      </c>
    </row>
    <row r="2006" ht="15.75" customHeight="1">
      <c r="A2006" s="2">
        <v>2005.0</v>
      </c>
      <c r="B2006" s="5" t="s">
        <v>3645</v>
      </c>
      <c r="C2006" s="6">
        <v>1.0</v>
      </c>
      <c r="D2006" s="9" t="s">
        <v>3646</v>
      </c>
      <c r="E2006" s="8" t="str">
        <f>IFERROR(__xludf.DUMMYFUNCTION("googletranslate(D2006,""id"",""en"")"),"Where is the policy ppkm ??? ... it's just answered ... I can know who you can omelin ...")</f>
        <v>Where is the policy ppkm ??? ... it's just answered ... I can know who you can omelin ...</v>
      </c>
    </row>
    <row r="2007" ht="15.75" customHeight="1">
      <c r="A2007" s="2">
        <v>2006.0</v>
      </c>
      <c r="B2007" s="5" t="s">
        <v>3647</v>
      </c>
      <c r="C2007" s="6">
        <v>2.0</v>
      </c>
      <c r="D2007" s="7" t="s">
        <v>3648</v>
      </c>
      <c r="E2007" s="8" t="str">
        <f>IFERROR(__xludf.DUMMYFUNCTION("googletranslate(D2007,""id"",""en"")"),"PPKM. Even the approach then disappeared.")</f>
        <v>PPKM. Even the approach then disappeared.</v>
      </c>
    </row>
    <row r="2008" ht="15.75" customHeight="1">
      <c r="A2008" s="2">
        <v>2007.0</v>
      </c>
      <c r="B2008" s="5" t="s">
        <v>3649</v>
      </c>
      <c r="C2008" s="6">
        <v>2.0</v>
      </c>
      <c r="D2008" s="7" t="s">
        <v>3650</v>
      </c>
      <c r="E2008" s="8" t="str">
        <f>IFERROR(__xludf.DUMMYFUNCTION("googletranslate(D2008,""id"",""en"")"),"Wkwkwkwkwk patiently finished ppkm maybe")</f>
        <v>Wkwkwkwkwk patiently finished ppkm maybe</v>
      </c>
    </row>
    <row r="2009" ht="15.75" customHeight="1">
      <c r="A2009" s="2">
        <v>2008.0</v>
      </c>
      <c r="B2009" s="5" t="s">
        <v>3651</v>
      </c>
      <c r="C2009" s="6">
        <v>2.0</v>
      </c>
      <c r="D2009" s="7" t="s">
        <v>3651</v>
      </c>
      <c r="E2009" s="8" t="str">
        <f>IFERROR(__xludf.DUMMYFUNCTION("googletranslate(D2009,""id"",""en"")"),"I like PPKM, without PP.")</f>
        <v>I like PPKM, without PP.</v>
      </c>
    </row>
    <row r="2010" ht="15.75" customHeight="1">
      <c r="A2010" s="2">
        <v>2009.0</v>
      </c>
      <c r="B2010" s="5" t="s">
        <v>3652</v>
      </c>
      <c r="C2010" s="6">
        <v>2.0</v>
      </c>
      <c r="D2010" s="7" t="s">
        <v>3652</v>
      </c>
      <c r="E2010" s="8" t="str">
        <f>IFERROR(__xludf.DUMMYFUNCTION("googletranslate(D2010,""id"",""en"")"),"Really tumben jodantae long ... what is because ppkm huh")</f>
        <v>Really tumben jodantae long ... what is because ppkm huh</v>
      </c>
    </row>
    <row r="2011" ht="15.75" customHeight="1">
      <c r="A2011" s="2">
        <v>2010.0</v>
      </c>
      <c r="B2011" s="5" t="s">
        <v>3653</v>
      </c>
      <c r="C2011" s="6">
        <v>2.0</v>
      </c>
      <c r="D2011" s="7" t="s">
        <v>3654</v>
      </c>
      <c r="E2011" s="8" t="str">
        <f>IFERROR(__xludf.DUMMYFUNCTION("googletranslate(D2011,""id"",""en"")"),"Morning - Morning Kangen Missing (PPKM)")</f>
        <v>Morning - Morning Kangen Missing (PPKM)</v>
      </c>
    </row>
    <row r="2012" ht="15.75" customHeight="1">
      <c r="A2012" s="2">
        <v>2011.0</v>
      </c>
      <c r="B2012" s="5" t="s">
        <v>3655</v>
      </c>
      <c r="C2012" s="6">
        <v>2.0</v>
      </c>
      <c r="D2012" s="7" t="s">
        <v>3656</v>
      </c>
      <c r="E2012" s="8" t="str">
        <f>IFERROR(__xludf.DUMMYFUNCTION("googletranslate(D2012,""id"",""en"")"),"PPKM returned home you were angry")</f>
        <v>PPKM returned home you were angry</v>
      </c>
    </row>
    <row r="2013" ht="15.75" customHeight="1">
      <c r="A2013" s="2">
        <v>2012.0</v>
      </c>
      <c r="B2013" s="5" t="s">
        <v>3657</v>
      </c>
      <c r="C2013" s="6">
        <v>2.0</v>
      </c>
      <c r="D2013" s="7" t="s">
        <v>3658</v>
      </c>
      <c r="E2013" s="8" t="str">
        <f>IFERROR(__xludf.DUMMYFUNCTION("googletranslate(D2013,""id"",""en"")"),"Hopefully it doesn't extend his PPKM. Can't go to this palangka")</f>
        <v>Hopefully it doesn't extend his PPKM. Can't go to this palangka</v>
      </c>
    </row>
    <row r="2014" ht="15.75" customHeight="1">
      <c r="A2014" s="2">
        <v>2013.0</v>
      </c>
      <c r="B2014" s="5" t="s">
        <v>3659</v>
      </c>
      <c r="C2014" s="6">
        <v>2.0</v>
      </c>
      <c r="D2014" s="7" t="s">
        <v>3660</v>
      </c>
      <c r="E2014" s="8" t="str">
        <f>IFERROR(__xludf.DUMMYFUNCTION("googletranslate(D2014,""id"",""en"")"),"Smell of smell of PPKM volume two nihh")</f>
        <v>Smell of smell of PPKM volume two nihh</v>
      </c>
    </row>
    <row r="2015" ht="15.75" customHeight="1">
      <c r="A2015" s="2">
        <v>2014.0</v>
      </c>
      <c r="B2015" s="5" t="s">
        <v>3661</v>
      </c>
      <c r="C2015" s="6">
        <v>3.0</v>
      </c>
      <c r="D2015" s="7" t="s">
        <v>3662</v>
      </c>
      <c r="E2015" s="8" t="str">
        <f>IFERROR(__xludf.DUMMYFUNCTION("googletranslate(D2015,""id"",""en"")"),"Alhamdulillah, it can get PPKM benefits from hopefully a blessing on Friday is full of blessings ... aamiin")</f>
        <v>Alhamdulillah, it can get PPKM benefits from hopefully a blessing on Friday is full of blessings ... aamiin</v>
      </c>
    </row>
    <row r="2016" ht="15.75" customHeight="1">
      <c r="A2016" s="2">
        <v>2015.0</v>
      </c>
      <c r="B2016" s="5" t="s">
        <v>3663</v>
      </c>
      <c r="C2016" s="6">
        <v>2.0</v>
      </c>
      <c r="D2016" s="7" t="s">
        <v>3664</v>
      </c>
      <c r="E2016" s="8" t="str">
        <f>IFERROR(__xludf.DUMMYFUNCTION("googletranslate(D2016,""id"",""en"")"),"Important ppkmpaling you mingkem")</f>
        <v>Important ppkmpaling you mingkem</v>
      </c>
    </row>
    <row r="2017" ht="15.75" customHeight="1">
      <c r="A2017" s="2">
        <v>2016.0</v>
      </c>
      <c r="B2017" s="5" t="s">
        <v>3665</v>
      </c>
      <c r="C2017" s="6">
        <v>1.0</v>
      </c>
      <c r="D2017" s="7" t="s">
        <v>3665</v>
      </c>
      <c r="E2017" s="8" t="str">
        <f>IFERROR(__xludf.DUMMYFUNCTION("googletranslate(D2017,""id"",""en"")"),"More ppkm a lot of clashes, who did it tell?")</f>
        <v>More ppkm a lot of clashes, who did it tell?</v>
      </c>
    </row>
    <row r="2018" ht="15.75" customHeight="1">
      <c r="A2018" s="2">
        <v>2017.0</v>
      </c>
      <c r="B2018" s="5" t="s">
        <v>3666</v>
      </c>
      <c r="C2018" s="6">
        <v>1.0</v>
      </c>
      <c r="D2018" s="7" t="s">
        <v>3667</v>
      </c>
      <c r="E2018" s="8" t="str">
        <f>IFERROR(__xludf.DUMMYFUNCTION("googletranslate(D2018,""id"",""en"")"),"For the people of Mah, ""Prokes Prokeeees, PPKM Brrroooo"".")</f>
        <v>For the people of Mah, "Prokes Prokeeees, PPKM Brrroooo".</v>
      </c>
    </row>
    <row r="2019" ht="15.75" customHeight="1">
      <c r="A2019" s="2">
        <v>2018.0</v>
      </c>
      <c r="B2019" s="5" t="s">
        <v>3668</v>
      </c>
      <c r="C2019" s="6">
        <v>2.0</v>
      </c>
      <c r="D2019" s="7" t="s">
        <v>3669</v>
      </c>
      <c r="E2019" s="8" t="str">
        <f>IFERROR(__xludf.DUMMYFUNCTION("googletranslate(D2019,""id"",""en"")"),"Wow it's really cool. Means this emergency PPKM rule doesn't apply to people who have been vaccinated")</f>
        <v>Wow it's really cool. Means this emergency PPKM rule doesn't apply to people who have been vaccinated</v>
      </c>
    </row>
    <row r="2020" ht="15.75" customHeight="1">
      <c r="A2020" s="2">
        <v>2019.0</v>
      </c>
      <c r="B2020" s="5" t="s">
        <v>3670</v>
      </c>
      <c r="C2020" s="6">
        <v>1.0</v>
      </c>
      <c r="D2020" s="9" t="s">
        <v>3671</v>
      </c>
      <c r="E2020" s="8" t="str">
        <f>IFERROR(__xludf.DUMMYFUNCTION("googletranslate(D2020,""id"",""en"")"),"trending funny topic, najwa mba which was attacked by buzzerp with the police whose ppkm assignment hang in paspampres, funny bonded the behavior of Togo citizens")</f>
        <v>trending funny topic, najwa mba which was attacked by buzzerp with the police whose ppkm assignment hang in paspampres, funny bonded the behavior of Togo citizens</v>
      </c>
    </row>
    <row r="2021" ht="15.75" customHeight="1">
      <c r="A2021" s="2">
        <v>2020.0</v>
      </c>
      <c r="B2021" s="5" t="s">
        <v>3672</v>
      </c>
      <c r="C2021" s="6">
        <v>2.0</v>
      </c>
      <c r="D2021" s="7" t="s">
        <v>3673</v>
      </c>
      <c r="E2021" s="8" t="str">
        <f>IFERROR(__xludf.DUMMYFUNCTION("googletranslate(D2021,""id"",""en"")"),"Law No PPKM Nomenclature")</f>
        <v>Law No PPKM Nomenclature</v>
      </c>
    </row>
    <row r="2022" ht="15.75" customHeight="1">
      <c r="A2022" s="2">
        <v>2021.0</v>
      </c>
      <c r="B2022" s="5" t="s">
        <v>3674</v>
      </c>
      <c r="C2022" s="6">
        <v>2.0</v>
      </c>
      <c r="D2022" s="9" t="s">
        <v>3675</v>
      </c>
      <c r="E2022" s="8" t="str">
        <f>IFERROR(__xludf.DUMMYFUNCTION("googletranslate(D2022,""id"",""en"")"),"Sorry I know the emergency PPKM protap kog. Look. The government has issued a rule who has the right to carry out activities in the Emergency PPKM time but with the provisions of the requirement. We are not in place but whether the two parties have partic"&amp;"ipated in the government's provisions")</f>
        <v>Sorry I know the emergency PPKM protap kog. Look. The government has issued a rule who has the right to carry out activities in the Emergency PPKM time but with the provisions of the requirement. We are not in place but whether the two parties have participated in the government's provisions</v>
      </c>
    </row>
    <row r="2023" ht="15.75" customHeight="1">
      <c r="A2023" s="2">
        <v>2022.0</v>
      </c>
      <c r="B2023" s="5" t="s">
        <v>3676</v>
      </c>
      <c r="C2023" s="6">
        <v>2.0</v>
      </c>
      <c r="D2023" s="9" t="s">
        <v>3676</v>
      </c>
      <c r="E2023" s="8" t="str">
        <f>IFERROR(__xludf.DUMMYFUNCTION("googletranslate(D2023,""id"",""en"")"),"At the same time follow up on the direction of the Governor of the Governor of the Emergency PPKM Evaluation Meeting, the Provincial Government ensures that the vaccination has been running at Juanda Airport by being present and monitor directly to the lo"&amp;"cation")</f>
        <v>At the same time follow up on the direction of the Governor of the Governor of the Emergency PPKM Evaluation Meeting, the Provincial Government ensures that the vaccination has been running at Juanda Airport by being present and monitor directly to the location</v>
      </c>
    </row>
    <row r="2024" ht="15.75" customHeight="1">
      <c r="A2024" s="2">
        <v>2023.0</v>
      </c>
      <c r="B2024" s="5" t="s">
        <v>3677</v>
      </c>
      <c r="C2024" s="6">
        <v>1.0</v>
      </c>
      <c r="D2024" s="7" t="s">
        <v>3678</v>
      </c>
      <c r="E2024" s="8" t="str">
        <f>IFERROR(__xludf.DUMMYFUNCTION("googletranslate(D2024,""id"",""en"")"),"The government inaugurates Emergency PPKM and impacts the policy or whether or not public activities. One of its policies is to cover several public facilities and the work sector, including the closure of worship houses.")</f>
        <v>The government inaugurates Emergency PPKM and impacts the policy or whether or not public activities. One of its policies is to cover several public facilities and the work sector, including the closure of worship houses.</v>
      </c>
    </row>
    <row r="2025" ht="15.75" customHeight="1">
      <c r="A2025" s="2">
        <v>2024.0</v>
      </c>
      <c r="B2025" s="5" t="s">
        <v>3679</v>
      </c>
      <c r="C2025" s="6">
        <v>2.0</v>
      </c>
      <c r="D2025" s="7" t="s">
        <v>3680</v>
      </c>
      <c r="E2025" s="8" t="str">
        <f>IFERROR(__xludf.DUMMYFUNCTION("googletranslate(D2025,""id"",""en"")"),"PPKM applies in Java and Bali aje Mpok")</f>
        <v>PPKM applies in Java and Bali aje Mpok</v>
      </c>
    </row>
    <row r="2026" ht="15.75" customHeight="1">
      <c r="A2026" s="2">
        <v>2025.0</v>
      </c>
      <c r="B2026" s="5" t="s">
        <v>3681</v>
      </c>
      <c r="C2026" s="6">
        <v>2.0</v>
      </c>
      <c r="D2026" s="7" t="s">
        <v>3682</v>
      </c>
      <c r="E2026" s="8" t="str">
        <f>IFERROR(__xludf.DUMMYFUNCTION("googletranslate(D2026,""id"",""en"")"),"Read carefully emergency PPKM rules. The essential sector may be operating with the application of the% WFO half of LG WFH. Understand until here?")</f>
        <v>Read carefully emergency PPKM rules. The essential sector may be operating with the application of the% WFO half of LG WFH. Understand until here?</v>
      </c>
    </row>
    <row r="2027" ht="15.75" customHeight="1">
      <c r="A2027" s="2">
        <v>2026.0</v>
      </c>
      <c r="B2027" s="5" t="s">
        <v>3683</v>
      </c>
      <c r="C2027" s="6">
        <v>3.0</v>
      </c>
      <c r="D2027" s="7" t="s">
        <v>3684</v>
      </c>
      <c r="E2027" s="8" t="str">
        <f>IFERROR(__xludf.DUMMYFUNCTION("googletranslate(D2027,""id"",""en"")"),"Alhamdulillah, you can get a PPKM allowance from the lapak, hopefully the blessing ... aamiin is rabbal'alamin")</f>
        <v>Alhamdulillah, you can get a PPKM allowance from the lapak, hopefully the blessing ... aamiin is rabbal'alamin</v>
      </c>
    </row>
    <row r="2028" ht="15.75" customHeight="1">
      <c r="A2028" s="2">
        <v>2027.0</v>
      </c>
      <c r="B2028" s="5" t="s">
        <v>3685</v>
      </c>
      <c r="C2028" s="6">
        <v>3.0</v>
      </c>
      <c r="D2028" s="7" t="s">
        <v>3686</v>
      </c>
      <c r="E2028" s="8" t="str">
        <f>IFERROR(__xludf.DUMMYFUNCTION("googletranslate(D2028,""id"",""en"")"),"It's easy for our negligent health. And those who are sick are immediately cured to remain prayer from home, even though it is heavy in this emergency PPKM situation. Allah is a loving and generous. morning.")</f>
        <v>It's easy for our negligent health. And those who are sick are immediately cured to remain prayer from home, even though it is heavy in this emergency PPKM situation. Allah is a loving and generous. morning.</v>
      </c>
    </row>
    <row r="2029" ht="15.75" customHeight="1">
      <c r="A2029" s="2">
        <v>2028.0</v>
      </c>
      <c r="B2029" s="5" t="s">
        <v>3687</v>
      </c>
      <c r="C2029" s="6">
        <v>3.0</v>
      </c>
      <c r="D2029" s="7" t="s">
        <v>3688</v>
      </c>
      <c r="E2029" s="8" t="str">
        <f>IFERROR(__xludf.DUMMYFUNCTION("googletranslate(D2029,""id"",""en"")"),"Emergency PPKM is precisely prevented the spread of Covid. PPKM Basmi Covid.")</f>
        <v>Emergency PPKM is precisely prevented the spread of Covid. PPKM Basmi Covid.</v>
      </c>
    </row>
    <row r="2030" ht="15.75" customHeight="1">
      <c r="A2030" s="2">
        <v>2029.0</v>
      </c>
      <c r="B2030" s="5" t="s">
        <v>3689</v>
      </c>
      <c r="C2030" s="6">
        <v>3.0</v>
      </c>
      <c r="D2030" s="7" t="s">
        <v>3690</v>
      </c>
      <c r="E2030" s="8" t="str">
        <f>IFERROR(__xludf.DUMMYFUNCTION("googletranslate(D2030,""id"",""en"")"),"The presidential policy related to Emergency PPKM is very appropriate because it is certainly considered from various aspects. We are optimistic, the Covid-19 pandemic immediately disappeared from Bumi Nusantara. Lord YME bless the Indonesian nation. Aami"&amp;"n3.")</f>
        <v>The presidential policy related to Emergency PPKM is very appropriate because it is certainly considered from various aspects. We are optimistic, the Covid-19 pandemic immediately disappeared from Bumi Nusantara. Lord YME bless the Indonesian nation. Aamin3.</v>
      </c>
    </row>
    <row r="2031" ht="15.75" customHeight="1">
      <c r="A2031" s="2">
        <v>2030.0</v>
      </c>
      <c r="B2031" s="5" t="s">
        <v>3691</v>
      </c>
      <c r="C2031" s="6">
        <v>3.0</v>
      </c>
      <c r="D2031" s="7" t="s">
        <v>3692</v>
      </c>
      <c r="E2031" s="8" t="str">
        <f>IFERROR(__xludf.DUMMYFUNCTION("googletranslate(D2031,""id"",""en"")"),"PPKM is still long but I'm patient. For the sake of all of us")</f>
        <v>PPKM is still long but I'm patient. For the sake of all of us</v>
      </c>
    </row>
    <row r="2032" ht="15.75" customHeight="1">
      <c r="A2032" s="2">
        <v>2031.0</v>
      </c>
      <c r="B2032" s="5" t="s">
        <v>3693</v>
      </c>
      <c r="C2032" s="6">
        <v>1.0</v>
      </c>
      <c r="D2032" s="9" t="s">
        <v>3694</v>
      </c>
      <c r="E2032" s="8" t="str">
        <f>IFERROR(__xludf.DUMMYFUNCTION("googletranslate(D2032,""id"",""en"")"),"Hmm..makin here, the greater the implementation of the emergency ppkm. The assistant of the arrogant is like a hero Duh! Give Help NDAK, usually snatching the lapak.dustenan!")</f>
        <v>Hmm..makin here, the greater the implementation of the emergency ppkm. The assistant of the arrogant is like a hero Duh! Give Help NDAK, usually snatching the lapak.dustenan!</v>
      </c>
    </row>
    <row r="2033" ht="15.75" customHeight="1">
      <c r="A2033" s="2">
        <v>2032.0</v>
      </c>
      <c r="B2033" s="5" t="s">
        <v>3695</v>
      </c>
      <c r="C2033" s="6">
        <v>3.0</v>
      </c>
      <c r="D2033" s="7" t="s">
        <v>3696</v>
      </c>
      <c r="E2033" s="8" t="str">
        <f>IFERROR(__xludf.DUMMYFUNCTION("googletranslate(D2033,""id"",""en"")"),"PAGIPAGI PAKKT All HRS Collaboration HRS Collaboration in this PPKM Kt knows the meaning of collaboration? He knows Mr. means asking for donations")</f>
        <v>PAGIPAGI PAKKT All HRS Collaboration HRS Collaboration in this PPKM Kt knows the meaning of collaboration? He knows Mr. means asking for donations</v>
      </c>
    </row>
    <row r="2034" ht="15.75" customHeight="1">
      <c r="A2034" s="2">
        <v>2033.0</v>
      </c>
      <c r="B2034" s="5" t="s">
        <v>3697</v>
      </c>
      <c r="C2034" s="6">
        <v>2.0</v>
      </c>
      <c r="D2034" s="7" t="s">
        <v>3698</v>
      </c>
      <c r="E2034" s="8" t="str">
        <f>IFERROR(__xludf.DUMMYFUNCTION("googletranslate(D2034,""id"",""en"")"),"After the PPKM will be called PPKN after that PAI, Penjas, MTK, IPS, IPA and many others")</f>
        <v>After the PPKM will be called PPKN after that PAI, Penjas, MTK, IPS, IPA and many others</v>
      </c>
    </row>
    <row r="2035" ht="15.75" customHeight="1">
      <c r="A2035" s="2">
        <v>2034.0</v>
      </c>
      <c r="B2035" s="5" t="s">
        <v>3699</v>
      </c>
      <c r="C2035" s="6">
        <v>1.0</v>
      </c>
      <c r="D2035" s="9" t="s">
        <v>3700</v>
      </c>
      <c r="E2035" s="8" t="str">
        <f>IFERROR(__xludf.DUMMYFUNCTION("googletranslate(D2035,""id"",""en"")"),"What applies the policy forbid the homecoming not yet covid decreases Malak soaring PPKM promotes to oblige the people of the vaccine to be calm, surely May decrease ...")</f>
        <v>What applies the policy forbid the homecoming not yet covid decreases Malak soaring PPKM promotes to oblige the people of the vaccine to be calm, surely May decrease ...</v>
      </c>
    </row>
    <row r="2036" ht="15.75" customHeight="1">
      <c r="A2036" s="2">
        <v>2035.0</v>
      </c>
      <c r="B2036" s="5" t="s">
        <v>3701</v>
      </c>
      <c r="C2036" s="6">
        <v>1.0</v>
      </c>
      <c r="D2036" s="7" t="s">
        <v>3702</v>
      </c>
      <c r="E2036" s="8" t="str">
        <f>IFERROR(__xludf.DUMMYFUNCTION("googletranslate(D2036,""id"",""en"")"),"That's right sir. And now it has begun to occur ppkm.Para Penguzerp hit by a disaster. Recent disaster whether calamity")</f>
        <v>That's right sir. And now it has begun to occur ppkm.Para Penguzerp hit by a disaster. Recent disaster whether calamity</v>
      </c>
    </row>
    <row r="2037" ht="15.75" customHeight="1">
      <c r="A2037" s="2">
        <v>2036.0</v>
      </c>
      <c r="B2037" s="5" t="s">
        <v>3703</v>
      </c>
      <c r="C2037" s="6">
        <v>1.0</v>
      </c>
      <c r="D2037" s="7" t="s">
        <v>3704</v>
      </c>
      <c r="E2037" s="8" t="str">
        <f>IFERROR(__xludf.DUMMYFUNCTION("googletranslate(D2037,""id"",""en"")"),"Ppkm - morning morning blessing")</f>
        <v>Ppkm - morning morning blessing</v>
      </c>
    </row>
    <row r="2038" ht="15.75" customHeight="1">
      <c r="A2038" s="2">
        <v>2037.0</v>
      </c>
      <c r="B2038" s="5" t="s">
        <v>3705</v>
      </c>
      <c r="C2038" s="6">
        <v>1.0</v>
      </c>
      <c r="D2038" s="7" t="s">
        <v>3705</v>
      </c>
      <c r="E2038" s="8" t="str">
        <f>IFERROR(__xludf.DUMMYFUNCTION("googletranslate(D2038,""id"",""en"")"),"Pngn to Jogja, PPKM AJG")</f>
        <v>Pngn to Jogja, PPKM AJG</v>
      </c>
    </row>
    <row r="2039" ht="15.75" customHeight="1">
      <c r="A2039" s="2">
        <v>2038.0</v>
      </c>
      <c r="B2039" s="5" t="s">
        <v>3706</v>
      </c>
      <c r="C2039" s="6">
        <v>1.0</v>
      </c>
      <c r="D2039" s="7" t="s">
        <v>3707</v>
      </c>
      <c r="E2039" s="8" t="str">
        <f>IFERROR(__xludf.DUMMYFUNCTION("googletranslate(D2039,""id"",""en"")"),"It has been a habit of harsh treatment of pol, especially for ordinary people ... it should be that this PPKM must be more wise where the people byk are more troubled and panic because of this pandemic.")</f>
        <v>It has been a habit of harsh treatment of pol, especially for ordinary people ... it should be that this PPKM must be more wise where the people byk are more troubled and panic because of this pandemic.</v>
      </c>
    </row>
    <row r="2040" ht="15.75" customHeight="1">
      <c r="A2040" s="2">
        <v>2039.0</v>
      </c>
      <c r="B2040" s="5" t="s">
        <v>3708</v>
      </c>
      <c r="C2040" s="6">
        <v>1.0</v>
      </c>
      <c r="D2040" s="7" t="s">
        <v>3709</v>
      </c>
      <c r="E2040" s="8" t="str">
        <f>IFERROR(__xludf.DUMMYFUNCTION("googletranslate(D2040,""id"",""en"")"),"Don't quib an Emergency MNC Emergency PPKM So slow in Dinoyo Malang Payday Never late you know")</f>
        <v>Don't quib an Emergency MNC Emergency PPKM So slow in Dinoyo Malang Payday Never late you know</v>
      </c>
    </row>
    <row r="2041" ht="15.75" customHeight="1">
      <c r="A2041" s="2">
        <v>2040.0</v>
      </c>
      <c r="B2041" s="5" t="s">
        <v>2097</v>
      </c>
      <c r="C2041" s="6">
        <v>2.0</v>
      </c>
      <c r="D2041" s="7" t="s">
        <v>2097</v>
      </c>
      <c r="E2041" s="8" t="str">
        <f>IFERROR(__xludf.DUMMYFUNCTION("googletranslate(D2041,""id"",""en"")"),"I like PPKM without PP")</f>
        <v>I like PPKM without PP</v>
      </c>
    </row>
    <row r="2042" ht="15.75" customHeight="1">
      <c r="A2042" s="2">
        <v>2041.0</v>
      </c>
      <c r="B2042" s="5" t="s">
        <v>3710</v>
      </c>
      <c r="C2042" s="6">
        <v>3.0</v>
      </c>
      <c r="D2042" s="7" t="s">
        <v>3711</v>
      </c>
      <c r="E2042" s="8" t="str">
        <f>IFERROR(__xludf.DUMMYFUNCTION("googletranslate(D2042,""id"",""en"")"),"Alhamdulillah in my city I was safe smoothly controlled by the PPKM BPK. We are all compact to obey the protocol, even though they are lacking in sekli. But all smoothly includes the vaccine of ank ank aged $ number $ th which is dri Wednesday July kmrin "&amp;"has been blessed")</f>
        <v>Alhamdulillah in my city I was safe smoothly controlled by the PPKM BPK. We are all compact to obey the protocol, even though they are lacking in sekli. But all smoothly includes the vaccine of ank ank aged $ number $ th which is dri Wednesday July kmrin has been blessed</v>
      </c>
    </row>
    <row r="2043" ht="15.75" customHeight="1">
      <c r="A2043" s="2">
        <v>2042.0</v>
      </c>
      <c r="B2043" s="5" t="s">
        <v>3712</v>
      </c>
      <c r="C2043" s="6">
        <v>2.0</v>
      </c>
      <c r="D2043" s="9" t="s">
        <v>3713</v>
      </c>
      <c r="E2043" s="8" t="str">
        <f>IFERROR(__xludf.DUMMYFUNCTION("googletranslate(D2043,""id"",""en"")"),"Ppkmpengen hug you mbak never cares then leave")</f>
        <v>Ppkmpengen hug you mbak never cares then leave</v>
      </c>
    </row>
    <row r="2044" ht="15.75" customHeight="1">
      <c r="A2044" s="2">
        <v>2043.0</v>
      </c>
      <c r="B2044" s="5" t="s">
        <v>3714</v>
      </c>
      <c r="C2044" s="6">
        <v>1.0</v>
      </c>
      <c r="D2044" s="7" t="s">
        <v>3715</v>
      </c>
      <c r="E2044" s="8" t="str">
        <f>IFERROR(__xludf.DUMMYFUNCTION("googletranslate(D2044,""id"",""en"")"),"Again PPKM, the store is closed especially with the zitcher.")</f>
        <v>Again PPKM, the store is closed especially with the zitcher.</v>
      </c>
    </row>
    <row r="2045" ht="15.75" customHeight="1">
      <c r="A2045" s="2">
        <v>2044.0</v>
      </c>
      <c r="B2045" s="5" t="s">
        <v>3716</v>
      </c>
      <c r="C2045" s="6">
        <v>1.0</v>
      </c>
      <c r="D2045" s="7" t="s">
        <v>3717</v>
      </c>
      <c r="E2045" s="8" t="str">
        <f>IFERROR(__xludf.DUMMYFUNCTION("googletranslate(D2045,""id"",""en"")"),"Sad to hear the story of his office friend closed because of PPKM and it wasn't paid")</f>
        <v>Sad to hear the story of his office friend closed because of PPKM and it wasn't paid</v>
      </c>
    </row>
    <row r="2046" ht="15.75" customHeight="1">
      <c r="A2046" s="2">
        <v>2045.0</v>
      </c>
      <c r="B2046" s="5" t="s">
        <v>3718</v>
      </c>
      <c r="C2046" s="6">
        <v>2.0</v>
      </c>
      <c r="D2046" s="10" t="s">
        <v>3719</v>
      </c>
      <c r="E2046" s="8" t="str">
        <f>IFERROR(__xludf.DUMMYFUNCTION("googletranslate(D2046,""id"",""en"")"),"Ppkm but")</f>
        <v>Ppkm but</v>
      </c>
    </row>
    <row r="2047" ht="15.75" customHeight="1">
      <c r="A2047" s="2">
        <v>2046.0</v>
      </c>
      <c r="B2047" s="5" t="s">
        <v>3720</v>
      </c>
      <c r="C2047" s="6">
        <v>2.0</v>
      </c>
      <c r="D2047" s="7" t="s">
        <v>3720</v>
      </c>
      <c r="E2047" s="8" t="str">
        <f>IFERROR(__xludf.DUMMYFUNCTION("googletranslate(D2047,""id"",""en"")"),"Thinking in Korea Understanding PPKM Gaxi")</f>
        <v>Thinking in Korea Understanding PPKM Gaxi</v>
      </c>
    </row>
    <row r="2048" ht="15.75" customHeight="1">
      <c r="A2048" s="2">
        <v>2047.0</v>
      </c>
      <c r="B2048" s="5" t="s">
        <v>3721</v>
      </c>
      <c r="C2048" s="6">
        <v>1.0</v>
      </c>
      <c r="D2048" s="7" t="s">
        <v>3721</v>
      </c>
      <c r="E2048" s="8" t="str">
        <f>IFERROR(__xludf.DUMMYFUNCTION("googletranslate(D2048,""id"",""en"")"),"rather unfortunately tryt some personnel don't understand the PPKM policy also so it's just close the business place")</f>
        <v>rather unfortunately tryt some personnel don't understand the PPKM policy also so it's just close the business place</v>
      </c>
    </row>
    <row r="2049" ht="15.75" customHeight="1">
      <c r="A2049" s="2">
        <v>2048.0</v>
      </c>
      <c r="B2049" s="5" t="s">
        <v>3722</v>
      </c>
      <c r="C2049" s="6">
        <v>2.0</v>
      </c>
      <c r="D2049" s="7" t="s">
        <v>3723</v>
      </c>
      <c r="E2049" s="8" t="str">
        <f>IFERROR(__xludf.DUMMYFUNCTION("googletranslate(D2049,""id"",""en"")"),"Ppkm gini bb jd rose again")</f>
        <v>Ppkm gini bb jd rose again</v>
      </c>
    </row>
    <row r="2050" ht="15.75" customHeight="1">
      <c r="A2050" s="2">
        <v>2049.0</v>
      </c>
      <c r="B2050" s="5" t="s">
        <v>3724</v>
      </c>
      <c r="C2050" s="6">
        <v>1.0</v>
      </c>
      <c r="D2050" s="9" t="s">
        <v>3725</v>
      </c>
      <c r="E2050" s="8" t="str">
        <f>IFERROR(__xludf.DUMMYFUNCTION("googletranslate(D2050,""id"",""en"")"),"Hmmm ... like there is something s4b0t4s3..fek because it hurts the boss of the slanted eye boss gets a grade of the gubb ppkm ... this is estimated LOOH")</f>
        <v>Hmmm ... like there is something s4b0t4s3..fek because it hurts the boss of the slanted eye boss gets a grade of the gubb ppkm ... this is estimated LOOH</v>
      </c>
    </row>
    <row r="2051" ht="15.75" customHeight="1">
      <c r="A2051" s="2">
        <v>2050.0</v>
      </c>
      <c r="B2051" s="5" t="s">
        <v>3726</v>
      </c>
      <c r="C2051" s="6">
        <v>2.0</v>
      </c>
      <c r="D2051" s="9" t="s">
        <v>3727</v>
      </c>
      <c r="E2051" s="8" t="str">
        <f>IFERROR(__xludf.DUMMYFUNCTION("googletranslate(D2051,""id"",""en"")"),"As far as I know, there is sanction for regional heads that reject the implementation of the PPKM in their area ..")</f>
        <v>As far as I know, there is sanction for regional heads that reject the implementation of the PPKM in their area ..</v>
      </c>
    </row>
    <row r="2052" ht="15.75" customHeight="1">
      <c r="A2052" s="2">
        <v>2051.0</v>
      </c>
      <c r="B2052" s="5" t="s">
        <v>3728</v>
      </c>
      <c r="C2052" s="6">
        <v>3.0</v>
      </c>
      <c r="D2052" s="7" t="s">
        <v>3729</v>
      </c>
      <c r="E2052" s="8" t="str">
        <f>IFERROR(__xludf.DUMMYFUNCTION("googletranslate(D2052,""id"",""en"")"),"The existence of my ppkm is staying home just, I want to stay at home with Mbak Luna Maya, it must be fun ...")</f>
        <v>The existence of my ppkm is staying home just, I want to stay at home with Mbak Luna Maya, it must be fun ...</v>
      </c>
    </row>
    <row r="2053" ht="15.75" customHeight="1">
      <c r="A2053" s="2">
        <v>2052.0</v>
      </c>
      <c r="B2053" s="5" t="s">
        <v>3730</v>
      </c>
      <c r="C2053" s="6">
        <v>3.0</v>
      </c>
      <c r="D2053" s="7" t="s">
        <v>3731</v>
      </c>
      <c r="E2053" s="8" t="str">
        <f>IFERROR(__xludf.DUMMYFUNCTION("googletranslate(D2053,""id"",""en"")"),"Wow, it will be exciting, there is a friend of the cwk gym later after PPKM")</f>
        <v>Wow, it will be exciting, there is a friend of the cwk gym later after PPKM</v>
      </c>
    </row>
    <row r="2054" ht="15.75" customHeight="1">
      <c r="A2054" s="2">
        <v>2053.0</v>
      </c>
      <c r="B2054" s="5" t="s">
        <v>3732</v>
      </c>
      <c r="C2054" s="6">
        <v>2.0</v>
      </c>
      <c r="D2054" s="9" t="s">
        <v>3733</v>
      </c>
      <c r="E2054" s="8" t="str">
        <f>IFERROR(__xludf.DUMMYFUNCTION("googletranslate(D2054,""id"",""en"")"),"PPKMPLELLAN LOOK We love our soft loves, we love it ... Hurry up and buy nasi uduk, keooh")</f>
        <v>PPKMPLELLAN LOOK We love our soft loves, we love it ... Hurry up and buy nasi uduk, keooh</v>
      </c>
    </row>
    <row r="2055" ht="15.75" customHeight="1">
      <c r="A2055" s="2">
        <v>2054.0</v>
      </c>
      <c r="B2055" s="5" t="s">
        <v>3734</v>
      </c>
      <c r="C2055" s="6">
        <v>1.0</v>
      </c>
      <c r="D2055" s="9" t="s">
        <v>3735</v>
      </c>
      <c r="E2055" s="8" t="str">
        <f>IFERROR(__xludf.DUMMYFUNCTION("googletranslate(D2055,""id"",""en"")"),"This is due to unclear central policy plus the actions of the agency who arrogant the people become victims. It should be Lockdown, you want the emergency PPKM name if the people can't go out for activities, the government must guarantee ... the people ar"&amp;"e given eating and other needs")</f>
        <v>This is due to unclear central policy plus the actions of the agency who arrogant the people become victims. It should be Lockdown, you want the emergency PPKM name if the people can't go out for activities, the government must guarantee ... the people are given eating and other needs</v>
      </c>
    </row>
    <row r="2056" ht="15.75" customHeight="1">
      <c r="A2056" s="2">
        <v>2055.0</v>
      </c>
      <c r="B2056" s="5" t="s">
        <v>3736</v>
      </c>
      <c r="C2056" s="6">
        <v>3.0</v>
      </c>
      <c r="D2056" s="7" t="s">
        <v>3737</v>
      </c>
      <c r="E2056" s="8" t="str">
        <f>IFERROR(__xludf.DUMMYFUNCTION("googletranslate(D2056,""id"",""en"")"),"In this PPKM period, multiply prayer &amp; amp; Sholawat ... ""Allahumma Innii A'uudzu Bika Minal Baroshi Wal Junuuni Wal Judzaami Wa Min Sayyi-il Asqoom"". ""O God, I take refuge with you from skin diseases, crazy, leprosy, and other terrible diseases, (HR. "&amp;"Abu Daud).")</f>
        <v>In this PPKM period, multiply prayer &amp; amp; Sholawat ... "Allahumma Innii A'uudzu Bika Minal Baroshi Wal Junuuni Wal Judzaami Wa Min Sayyi-il Asqoom". "O God, I take refuge with you from skin diseases, crazy, leprosy, and other terrible diseases, (HR. Abu Daud).</v>
      </c>
    </row>
    <row r="2057" ht="15.75" customHeight="1">
      <c r="A2057" s="2">
        <v>2056.0</v>
      </c>
      <c r="B2057" s="5" t="s">
        <v>3738</v>
      </c>
      <c r="C2057" s="6">
        <v>1.0</v>
      </c>
      <c r="D2057" s="9" t="s">
        <v>3739</v>
      </c>
      <c r="E2057" s="8" t="str">
        <f>IFERROR(__xludf.DUMMYFUNCTION("googletranslate(D2057,""id"",""en"")"),"Yes, if you don't want anyone selling during the PPKM, the people's prosecutor should be properly dongmous. It's not allowed, aid funds in corruption. Think of surviving can only be with Diem lamenting the fate? It's really good")</f>
        <v>Yes, if you don't want anyone selling during the PPKM, the people's prosecutor should be properly dongmous. It's not allowed, aid funds in corruption. Think of surviving can only be with Diem lamenting the fate? It's really good</v>
      </c>
    </row>
    <row r="2058" ht="15.75" customHeight="1">
      <c r="A2058" s="2">
        <v>2057.0</v>
      </c>
      <c r="B2058" s="5" t="s">
        <v>3740</v>
      </c>
      <c r="C2058" s="6">
        <v>2.0</v>
      </c>
      <c r="D2058" s="7" t="s">
        <v>3741</v>
      </c>
      <c r="E2058" s="8" t="str">
        <f>IFERROR(__xludf.DUMMYFUNCTION("googletranslate(D2058,""id"",""en"")"),"Eh hazelnut latte anget yes ... just wrap it, ppkm. Chat it in the dalem ...")</f>
        <v>Eh hazelnut latte anget yes ... just wrap it, ppkm. Chat it in the dalem ...</v>
      </c>
    </row>
    <row r="2059" ht="15.75" customHeight="1">
      <c r="A2059" s="2">
        <v>2058.0</v>
      </c>
      <c r="B2059" s="5" t="s">
        <v>3742</v>
      </c>
      <c r="C2059" s="6">
        <v>2.0</v>
      </c>
      <c r="D2059" s="9" t="s">
        <v>3743</v>
      </c>
      <c r="E2059" s="8" t="str">
        <f>IFERROR(__xludf.DUMMYFUNCTION("googletranslate(D2059,""id"",""en"")"),"Rather PPKM HRUS collects hard copy and library book so I don't forget")</f>
        <v>Rather PPKM HRUS collects hard copy and library book so I don't forget</v>
      </c>
    </row>
    <row r="2060" ht="15.75" customHeight="1">
      <c r="A2060" s="2">
        <v>2059.0</v>
      </c>
      <c r="B2060" s="5" t="s">
        <v>3744</v>
      </c>
      <c r="C2060" s="6">
        <v>1.0</v>
      </c>
      <c r="D2060" s="9" t="s">
        <v>3745</v>
      </c>
      <c r="E2060" s="8" t="str">
        <f>IFERROR(__xludf.DUMMYFUNCTION("googletranslate(D2060,""id"",""en"")"),"When the PPKM wants to come out fear of being rich by the porridge g out g to eat piye ... ttoh.")</f>
        <v>When the PPKM wants to come out fear of being rich by the porridge g out g to eat piye ... ttoh.</v>
      </c>
    </row>
    <row r="2061" ht="15.75" customHeight="1">
      <c r="A2061" s="2">
        <v>2060.0</v>
      </c>
      <c r="B2061" s="5" t="s">
        <v>3746</v>
      </c>
      <c r="C2061" s="6">
        <v>3.0</v>
      </c>
      <c r="D2061" s="7" t="s">
        <v>3747</v>
      </c>
      <c r="E2061" s="8" t="str">
        <f>IFERROR(__xludf.DUMMYFUNCTION("googletranslate(D2061,""id"",""en"")"),"The application is very useful, when the PPKM conditions like now can access")</f>
        <v>The application is very useful, when the PPKM conditions like now can access</v>
      </c>
    </row>
    <row r="2062" ht="15.75" customHeight="1">
      <c r="A2062" s="2">
        <v>2061.0</v>
      </c>
      <c r="B2062" s="5" t="s">
        <v>3748</v>
      </c>
      <c r="C2062" s="6">
        <v>1.0</v>
      </c>
      <c r="D2062" s="9" t="s">
        <v>3749</v>
      </c>
      <c r="E2062" s="8" t="str">
        <f>IFERROR(__xludf.DUMMYFUNCTION("googletranslate(D2062,""id"",""en"")"),"Seeing the money of the bansos just being buried, then the Lockdown is far from the PPKM.")</f>
        <v>Seeing the money of the bansos just being buried, then the Lockdown is far from the PPKM.</v>
      </c>
    </row>
    <row r="2063" ht="15.75" customHeight="1">
      <c r="A2063" s="2">
        <v>2062.0</v>
      </c>
      <c r="B2063" s="5" t="s">
        <v>3750</v>
      </c>
      <c r="C2063" s="6">
        <v>2.0</v>
      </c>
      <c r="D2063" s="7" t="s">
        <v>3751</v>
      </c>
      <c r="E2063" s="8" t="str">
        <f>IFERROR(__xludf.DUMMYFUNCTION("googletranslate(D2063,""id"",""en"")"),"Hopefully it becomes a learning for explaining the PPKM clearly to the apparatus in the field to run the rules also have discretion for the carrier of sick people; Not blind taqliq; cc")</f>
        <v>Hopefully it becomes a learning for explaining the PPKM clearly to the apparatus in the field to run the rules also have discretion for the carrier of sick people; Not blind taqliq; cc</v>
      </c>
    </row>
    <row r="2064" ht="15.75" customHeight="1">
      <c r="A2064" s="2">
        <v>2063.0</v>
      </c>
      <c r="B2064" s="5" t="s">
        <v>3752</v>
      </c>
      <c r="C2064" s="6">
        <v>3.0</v>
      </c>
      <c r="D2064" s="9" t="s">
        <v>3753</v>
      </c>
      <c r="E2064" s="8" t="str">
        <f>IFERROR(__xludf.DUMMYFUNCTION("googletranslate(D2064,""id"",""en"")"),"Alhamdulillah, the application is a solution when the CDPM conditions as we currently benefit can be accessed through the application, MBA")</f>
        <v>Alhamdulillah, the application is a solution when the CDPM conditions as we currently benefit can be accessed through the application, MBA</v>
      </c>
    </row>
    <row r="2065" ht="15.75" customHeight="1">
      <c r="A2065" s="2">
        <v>2064.0</v>
      </c>
      <c r="B2065" s="5" t="s">
        <v>3754</v>
      </c>
      <c r="C2065" s="6">
        <v>3.0</v>
      </c>
      <c r="D2065" s="7" t="s">
        <v>3754</v>
      </c>
      <c r="E2065" s="8" t="str">
        <f>IFERROR(__xludf.DUMMYFUNCTION("googletranslate(D2065,""id"",""en"")"),"Want Political Parties, Individuals, TNI, Polri, Entrepreneurs, Labor, IRT If Supporting Acceleration of Bulk Vaccination and Prokes Campaigns and PPKM Yes I Support100%")</f>
        <v>Want Political Parties, Individuals, TNI, Polri, Entrepreneurs, Labor, IRT If Supporting Acceleration of Bulk Vaccination and Prokes Campaigns and PPKM Yes I Support100%</v>
      </c>
    </row>
    <row r="2066" ht="15.75" customHeight="1">
      <c r="A2066" s="2">
        <v>2065.0</v>
      </c>
      <c r="B2066" s="5" t="s">
        <v>3755</v>
      </c>
      <c r="C2066" s="6">
        <v>2.0</v>
      </c>
      <c r="D2066" s="7" t="s">
        <v>3756</v>
      </c>
      <c r="E2066" s="8" t="str">
        <f>IFERROR(__xludf.DUMMYFUNCTION("googletranslate(D2066,""id"",""en"")"),"ppkm blay now namanye")</f>
        <v>ppkm blay now namanye</v>
      </c>
    </row>
    <row r="2067" ht="15.75" customHeight="1">
      <c r="A2067" s="2">
        <v>2066.0</v>
      </c>
      <c r="B2067" s="5" t="s">
        <v>3757</v>
      </c>
      <c r="C2067" s="6">
        <v>1.0</v>
      </c>
      <c r="D2067" s="9" t="s">
        <v>3758</v>
      </c>
      <c r="E2067" s="8" t="str">
        <f>IFERROR(__xludf.DUMMYFUNCTION("googletranslate(D2067,""id"",""en"")"),"Yes, like a jammed opportunity due to PPKM, the driver is creating with officers. SS is just the audience ??")</f>
        <v>Yes, like a jammed opportunity due to PPKM, the driver is creating with officers. SS is just the audience ??</v>
      </c>
    </row>
    <row r="2068" ht="15.75" customHeight="1">
      <c r="A2068" s="2">
        <v>2067.0</v>
      </c>
      <c r="B2068" s="5" t="s">
        <v>3759</v>
      </c>
      <c r="C2068" s="6">
        <v>1.0</v>
      </c>
      <c r="D2068" s="7" t="s">
        <v>3759</v>
      </c>
      <c r="E2068" s="8" t="str">
        <f>IFERROR(__xludf.DUMMYFUNCTION("googletranslate(D2068,""id"",""en"")"),"PPKM tortures the LDR pair")</f>
        <v>PPKM tortures the LDR pair</v>
      </c>
    </row>
    <row r="2069" ht="15.75" customHeight="1">
      <c r="A2069" s="2">
        <v>2068.0</v>
      </c>
      <c r="B2069" s="5" t="s">
        <v>3760</v>
      </c>
      <c r="C2069" s="6">
        <v>1.0</v>
      </c>
      <c r="D2069" s="7" t="s">
        <v>3760</v>
      </c>
      <c r="E2069" s="8" t="str">
        <f>IFERROR(__xludf.DUMMYFUNCTION("googletranslate(D2069,""id"",""en"")"),"PPKM adds a new PR, departing work through where it is ...")</f>
        <v>PPKM adds a new PR, departing work through where it is ...</v>
      </c>
    </row>
    <row r="2070" ht="15.75" customHeight="1">
      <c r="A2070" s="2">
        <v>2069.0</v>
      </c>
      <c r="B2070" s="5" t="s">
        <v>3761</v>
      </c>
      <c r="C2070" s="6">
        <v>1.0</v>
      </c>
      <c r="D2070" s="7" t="s">
        <v>3761</v>
      </c>
      <c r="E2070" s="8" t="str">
        <f>IFERROR(__xludf.DUMMYFUNCTION("googletranslate(D2070,""id"",""en"")"),"Ppkm is the restrictions on what closure ????? Kaka's dick that wants to work so it can't be closed all access. The airport closes AJG, just a small road that is closed. Ngehe is still morning")</f>
        <v>Ppkm is the restrictions on what closure ????? Kaka's dick that wants to work so it can't be closed all access. The airport closes AJG, just a small road that is closed. Ngehe is still morning</v>
      </c>
    </row>
    <row r="2071" ht="15.75" customHeight="1">
      <c r="A2071" s="2">
        <v>2070.0</v>
      </c>
      <c r="B2071" s="5" t="s">
        <v>3762</v>
      </c>
      <c r="C2071" s="6">
        <v>3.0</v>
      </c>
      <c r="D2071" s="9" t="s">
        <v>3763</v>
      </c>
      <c r="E2071" s="8" t="str">
        <f>IFERROR(__xludf.DUMMYFUNCTION("googletranslate(D2071,""id"",""en"")"),"Alhamdulillah, the JKN mobile application is a solution in the middle of this emergency PPKM. Need help doctors or others can pass online even pay bpjs health contributions can also")</f>
        <v>Alhamdulillah, the JKN mobile application is a solution in the middle of this emergency PPKM. Need help doctors or others can pass online even pay bpjs health contributions can also</v>
      </c>
    </row>
    <row r="2072" ht="15.75" customHeight="1">
      <c r="A2072" s="2">
        <v>2071.0</v>
      </c>
      <c r="B2072" s="5" t="s">
        <v>3764</v>
      </c>
      <c r="C2072" s="6">
        <v>1.0</v>
      </c>
      <c r="D2072" s="9" t="s">
        <v>3765</v>
      </c>
      <c r="E2072" s="8" t="str">
        <f>IFERROR(__xludf.DUMMYFUNCTION("googletranslate(D2072,""id"",""en"")"),"Please close the entire entrance to Indonesia from abroad both sea and air land. Virus C19 variants come from many flying flights. If PPKM applies, foreign flights are also stopped without exception.")</f>
        <v>Please close the entire entrance to Indonesia from abroad both sea and air land. Virus C19 variants come from many flying flights. If PPKM applies, foreign flights are also stopped without exception.</v>
      </c>
    </row>
    <row r="2073" ht="15.75" customHeight="1">
      <c r="A2073" s="2">
        <v>2072.0</v>
      </c>
      <c r="B2073" s="5" t="s">
        <v>3766</v>
      </c>
      <c r="C2073" s="6">
        <v>2.0</v>
      </c>
      <c r="D2073" s="9" t="s">
        <v>3767</v>
      </c>
      <c r="E2073" s="8" t="str">
        <f>IFERROR(__xludf.DUMMYFUNCTION("googletranslate(D2073,""id"",""en"")"),"Ppkm jawa bali. I'm Sundanese")</f>
        <v>Ppkm jawa bali. I'm Sundanese</v>
      </c>
    </row>
    <row r="2074" ht="15.75" customHeight="1">
      <c r="A2074" s="2">
        <v>2073.0</v>
      </c>
      <c r="B2074" s="5" t="s">
        <v>3768</v>
      </c>
      <c r="C2074" s="6">
        <v>1.0</v>
      </c>
      <c r="D2074" s="9" t="s">
        <v>3769</v>
      </c>
      <c r="E2074" s="8" t="str">
        <f>IFERROR(__xludf.DUMMYFUNCTION("googletranslate(D2074,""id"",""en"")"),"But this emg pandemic is a stressful stress, it has work rich romusha, when you go home always the news of the person dies, it's still on the ambulance then the sound of the sirine sounds all, then PPKM Surabaya Sidoarjo is jammed in jams")</f>
        <v>But this emg pandemic is a stressful stress, it has work rich romusha, when you go home always the news of the person dies, it's still on the ambulance then the sound of the sirine sounds all, then PPKM Surabaya Sidoarjo is jammed in jams</v>
      </c>
    </row>
    <row r="2075" ht="15.75" customHeight="1">
      <c r="A2075" s="2">
        <v>2074.0</v>
      </c>
      <c r="B2075" s="5" t="s">
        <v>3770</v>
      </c>
      <c r="C2075" s="6">
        <v>2.0</v>
      </c>
      <c r="D2075" s="7" t="s">
        <v>3770</v>
      </c>
      <c r="E2075" s="8" t="str">
        <f>IFERROR(__xludf.DUMMYFUNCTION("googletranslate(D2075,""id"",""en"")"),"But still ppkm hmmm")</f>
        <v>But still ppkm hmmm</v>
      </c>
    </row>
    <row r="2076" ht="15.75" customHeight="1">
      <c r="A2076" s="2">
        <v>2075.0</v>
      </c>
      <c r="B2076" s="5" t="s">
        <v>3771</v>
      </c>
      <c r="C2076" s="6">
        <v>3.0</v>
      </c>
      <c r="D2076" s="7" t="s">
        <v>3772</v>
      </c>
      <c r="E2076" s="8" t="str">
        <f>IFERROR(__xludf.DUMMYFUNCTION("googletranslate(D2076,""id"",""en"")"),"SM2 runs a task. For all PPKM and Paspampres officers. Petit the spirit")</f>
        <v>SM2 runs a task. For all PPKM and Paspampres officers. Petit the spirit</v>
      </c>
    </row>
    <row r="2077" ht="15.75" customHeight="1">
      <c r="A2077" s="2">
        <v>2076.0</v>
      </c>
      <c r="B2077" s="5" t="s">
        <v>3773</v>
      </c>
      <c r="C2077" s="6">
        <v>2.0</v>
      </c>
      <c r="D2077" s="7" t="s">
        <v>3773</v>
      </c>
      <c r="E2077" s="8" t="str">
        <f>IFERROR(__xludf.DUMMYFUNCTION("googletranslate(D2077,""id"",""en"")"),"PPKM (never believed then regret)")</f>
        <v>PPKM (never believed then regret)</v>
      </c>
    </row>
    <row r="2078" ht="15.75" customHeight="1">
      <c r="A2078" s="2">
        <v>2077.0</v>
      </c>
      <c r="B2078" s="5" t="s">
        <v>3774</v>
      </c>
      <c r="C2078" s="6">
        <v>3.0</v>
      </c>
      <c r="D2078" s="7" t="s">
        <v>3775</v>
      </c>
      <c r="E2078" s="8" t="str">
        <f>IFERROR(__xludf.DUMMYFUNCTION("googletranslate(D2078,""id"",""en"")"),"Muslims must be PPKM = Increase to the mosque with the M health protocol approaching to which allows Covid19 Variant Delta to endemic in Indonesia.")</f>
        <v>Muslims must be PPKM = Increase to the mosque with the M health protocol approaching to which allows Covid19 Variant Delta to endemic in Indonesia.</v>
      </c>
    </row>
    <row r="2079" ht="15.75" customHeight="1">
      <c r="A2079" s="2">
        <v>2078.0</v>
      </c>
      <c r="B2079" s="5" t="s">
        <v>3776</v>
      </c>
      <c r="C2079" s="6">
        <v>2.0</v>
      </c>
      <c r="D2079" s="7" t="s">
        <v>3777</v>
      </c>
      <c r="E2079" s="8" t="str">
        <f>IFERROR(__xludf.DUMMYFUNCTION("googletranslate(D2079,""id"",""en"")"),"Day-7 PPKM: Dreams He plays home again")</f>
        <v>Day-7 PPKM: Dreams He plays home again</v>
      </c>
    </row>
    <row r="2080" ht="15.75" customHeight="1">
      <c r="A2080" s="2">
        <v>2079.0</v>
      </c>
      <c r="B2080" s="5" t="s">
        <v>3778</v>
      </c>
      <c r="C2080" s="6">
        <v>3.0</v>
      </c>
      <c r="D2080" s="7" t="s">
        <v>3779</v>
      </c>
      <c r="E2080" s="8" t="str">
        <f>IFERROR(__xludf.DUMMYFUNCTION("googletranslate(D2080,""id"",""en"")"),"It's good as well as the time of PPKM, the deadline, creepy how come.")</f>
        <v>It's good as well as the time of PPKM, the deadline, creepy how come.</v>
      </c>
    </row>
    <row r="2081" ht="15.75" customHeight="1">
      <c r="A2081" s="2">
        <v>2080.0</v>
      </c>
      <c r="B2081" s="5" t="s">
        <v>3780</v>
      </c>
      <c r="C2081" s="6">
        <v>1.0</v>
      </c>
      <c r="D2081" s="7" t="s">
        <v>3781</v>
      </c>
      <c r="E2081" s="8" t="str">
        <f>IFERROR(__xludf.DUMMYFUNCTION("googletranslate(D2081,""id"",""en"")"),"Ppkm is a lot of insulation")</f>
        <v>Ppkm is a lot of insulation</v>
      </c>
    </row>
    <row r="2082" ht="15.75" customHeight="1">
      <c r="A2082" s="2">
        <v>2081.0</v>
      </c>
      <c r="B2082" s="5" t="s">
        <v>3782</v>
      </c>
      <c r="C2082" s="6">
        <v>1.0</v>
      </c>
      <c r="D2082" s="9" t="s">
        <v>3782</v>
      </c>
      <c r="E2082" s="8" t="str">
        <f>IFERROR(__xludf.DUMMYFUNCTION("googletranslate(D2082,""id"",""en"")"),"Sprts that have already been, where is the Narcotics Barbuk &amp; amp; Other valuables turned out to be sold again by around it. LHA fines &amp; amp; confiscated goods of PPKM violators who are only charged on the small people for example porridge &amp; amp; Ballong "&amp;"stalls, who guaranteed not misused officers?")</f>
        <v>Sprts that have already been, where is the Narcotics Barbuk &amp; amp; Other valuables turned out to be sold again by around it. LHA fines &amp; amp; confiscated goods of PPKM violators who are only charged on the small people for example porridge &amp; amp; Ballong stalls, who guaranteed not misused officers?</v>
      </c>
    </row>
    <row r="2083" ht="15.75" customHeight="1">
      <c r="A2083" s="2">
        <v>2082.0</v>
      </c>
      <c r="B2083" s="5" t="s">
        <v>3783</v>
      </c>
      <c r="C2083" s="6">
        <v>1.0</v>
      </c>
      <c r="D2083" s="7" t="s">
        <v>3784</v>
      </c>
      <c r="E2083" s="8" t="str">
        <f>IFERROR(__xludf.DUMMYFUNCTION("googletranslate(D2083,""id"",""en"")"),"Capable???? Many people who die from covid, many who are resolved due to PPKM and many who are persecuted due to government programs ... really don't arrive your brain Kangmas !!!")</f>
        <v>Capable???? Many people who die from covid, many who are resolved due to PPKM and many who are persecuted due to government programs ... really don't arrive your brain Kangmas !!!</v>
      </c>
    </row>
    <row r="2084" ht="15.75" customHeight="1">
      <c r="A2084" s="2">
        <v>2083.0</v>
      </c>
      <c r="B2084" s="5" t="s">
        <v>3785</v>
      </c>
      <c r="C2084" s="6">
        <v>1.0</v>
      </c>
      <c r="D2084" s="7" t="s">
        <v>3786</v>
      </c>
      <c r="E2084" s="8" t="str">
        <f>IFERROR(__xludf.DUMMYFUNCTION("googletranslate(D2084,""id"",""en"")"),"Ehhh once yeah I tell you ... you work paid by people's money but your work is just ngetweeting the people ... you use the mind as a human being until now the people's emergency ppkm is like a prisoner, but China's TKA enters so too In the past Indian peo"&amp;"ple entered Delta.")</f>
        <v>Ehhh once yeah I tell you ... you work paid by people's money but your work is just ngetweeting the people ... you use the mind as a human being until now the people's emergency ppkm is like a prisoner, but China's TKA enters so too In the past Indian people entered Delta.</v>
      </c>
    </row>
    <row r="2085" ht="15.75" customHeight="1">
      <c r="A2085" s="2">
        <v>2084.0</v>
      </c>
      <c r="B2085" s="5" t="s">
        <v>3787</v>
      </c>
      <c r="C2085" s="6">
        <v>1.0</v>
      </c>
      <c r="D2085" s="7" t="s">
        <v>3788</v>
      </c>
      <c r="E2085" s="8" t="str">
        <f>IFERROR(__xludf.DUMMYFUNCTION("googletranslate(D2085,""id"",""en"")"),"The village head was not detained despite being a suspect in the PPKM violation, because of the fact that the threat of punishment was only in prison. Different the treatment of the H scholars, the case is politicized")</f>
        <v>The village head was not detained despite being a suspect in the PPKM violation, because of the fact that the threat of punishment was only in prison. Different the treatment of the H scholars, the case is politicized</v>
      </c>
    </row>
    <row r="2086" ht="15.75" customHeight="1">
      <c r="A2086" s="2">
        <v>2085.0</v>
      </c>
      <c r="B2086" s="5" t="s">
        <v>3789</v>
      </c>
      <c r="C2086" s="6">
        <v>2.0</v>
      </c>
      <c r="D2086" s="7" t="s">
        <v>3790</v>
      </c>
      <c r="E2086" s="8" t="str">
        <f>IFERROR(__xludf.DUMMYFUNCTION("googletranslate(D2086,""id"",""en"")"),"Again OTW, Entering Avoiding PPKM Because of Inter-City Travel Wkwk")</f>
        <v>Again OTW, Entering Avoiding PPKM Because of Inter-City Travel Wkwk</v>
      </c>
    </row>
    <row r="2087" ht="15.75" customHeight="1">
      <c r="A2087" s="2">
        <v>2086.0</v>
      </c>
      <c r="B2087" s="5" t="s">
        <v>3791</v>
      </c>
      <c r="C2087" s="6">
        <v>1.0</v>
      </c>
      <c r="D2087" s="7" t="s">
        <v>3792</v>
      </c>
      <c r="E2087" s="8" t="str">
        <f>IFERROR(__xludf.DUMMYFUNCTION("googletranslate(D2087,""id"",""en"")"),"Narration like this HRS continues to be voiced, because the government has not been experienced. Eh this was repeated LG, when Emergency PPKM, WNA Chino flocked in Indonesia ... hmmmm")</f>
        <v>Narration like this HRS continues to be voiced, because the government has not been experienced. Eh this was repeated LG, when Emergency PPKM, WNA Chino flocked in Indonesia ... hmmmm</v>
      </c>
    </row>
    <row r="2088" ht="15.75" customHeight="1">
      <c r="A2088" s="2">
        <v>2087.0</v>
      </c>
      <c r="B2088" s="5" t="s">
        <v>3793</v>
      </c>
      <c r="C2088" s="6">
        <v>1.0</v>
      </c>
      <c r="D2088" s="9" t="s">
        <v>3794</v>
      </c>
      <c r="E2088" s="8" t="str">
        <f>IFERROR(__xludf.DUMMYFUNCTION("googletranslate(D2088,""id"",""en"")"),"I'm also curious about whether PD has commented on the Bansos for the people? It's already an emergency PPKM day, funds / bansos packages for the people have been spread yet?")</f>
        <v>I'm also curious about whether PD has commented on the Bansos for the people? It's already an emergency PPKM day, funds / bansos packages for the people have been spread yet?</v>
      </c>
    </row>
    <row r="2089" ht="15.75" customHeight="1">
      <c r="A2089" s="2">
        <v>2088.0</v>
      </c>
      <c r="B2089" s="5" t="s">
        <v>3795</v>
      </c>
      <c r="C2089" s="6">
        <v>2.0</v>
      </c>
      <c r="D2089" s="7" t="s">
        <v>3796</v>
      </c>
      <c r="E2089" s="8" t="str">
        <f>IFERROR(__xludf.DUMMYFUNCTION("googletranslate(D2089,""id"",""en"")"),"One in the first Emergency PPKM time?")</f>
        <v>One in the first Emergency PPKM time?</v>
      </c>
    </row>
    <row r="2090" ht="15.75" customHeight="1">
      <c r="A2090" s="2">
        <v>2089.0</v>
      </c>
      <c r="B2090" s="5" t="s">
        <v>3797</v>
      </c>
      <c r="C2090" s="6">
        <v>2.0</v>
      </c>
      <c r="D2090" s="7" t="s">
        <v>3798</v>
      </c>
      <c r="E2090" s="8" t="str">
        <f>IFERROR(__xludf.DUMMYFUNCTION("googletranslate(D2090,""id"",""en"")"),"Ooh reflection. But when I can't get ppkm I'm also gabisa wkwkwk")</f>
        <v>Ooh reflection. But when I can't get ppkm I'm also gabisa wkwkwk</v>
      </c>
    </row>
    <row r="2091" ht="15.75" customHeight="1">
      <c r="A2091" s="2">
        <v>2090.0</v>
      </c>
      <c r="B2091" s="5" t="s">
        <v>3799</v>
      </c>
      <c r="C2091" s="6">
        <v>1.0</v>
      </c>
      <c r="D2091" s="7" t="s">
        <v>3799</v>
      </c>
      <c r="E2091" s="8" t="str">
        <f>IFERROR(__xludf.DUMMYFUNCTION("googletranslate(D2091,""id"",""en"")"),"PPKM is the completion of the old age")</f>
        <v>PPKM is the completion of the old age</v>
      </c>
    </row>
    <row r="2092" ht="15.75" customHeight="1">
      <c r="A2092" s="2">
        <v>2091.0</v>
      </c>
      <c r="B2092" s="5" t="s">
        <v>3800</v>
      </c>
      <c r="C2092" s="6">
        <v>1.0</v>
      </c>
      <c r="D2092" s="9" t="s">
        <v>3801</v>
      </c>
      <c r="E2092" s="8" t="str">
        <f>IFERROR(__xludf.DUMMYFUNCTION("googletranslate(D2092,""id"",""en"")"),"Related to this, I heard in Kompas Tipi the person did not understand PPKM's intention. Funny, it's not just a child, LOLA (old loading)")</f>
        <v>Related to this, I heard in Kompas Tipi the person did not understand PPKM's intention. Funny, it's not just a child, LOLA (old loading)</v>
      </c>
    </row>
    <row r="2093" ht="15.75" customHeight="1">
      <c r="A2093" s="2">
        <v>2092.0</v>
      </c>
      <c r="B2093" s="5" t="s">
        <v>3802</v>
      </c>
      <c r="C2093" s="6">
        <v>3.0</v>
      </c>
      <c r="D2093" s="7" t="s">
        <v>3802</v>
      </c>
      <c r="E2093" s="8" t="str">
        <f>IFERROR(__xludf.DUMMYFUNCTION("googletranslate(D2093,""id"",""en"")"),"Khofifah advised, so that all parties truly discipline to carry out rules that apply to the implementation of Emergency PPKM. he bharap related parties able to give good socialization on the community")</f>
        <v>Khofifah advised, so that all parties truly discipline to carry out rules that apply to the implementation of Emergency PPKM. he bharap related parties able to give good socialization on the community</v>
      </c>
    </row>
    <row r="2094" ht="15.75" customHeight="1">
      <c r="A2094" s="2">
        <v>2093.0</v>
      </c>
      <c r="B2094" s="5" t="s">
        <v>3803</v>
      </c>
      <c r="C2094" s="6">
        <v>2.0</v>
      </c>
      <c r="D2094" s="7" t="s">
        <v>3803</v>
      </c>
      <c r="E2094" s="8" t="str">
        <f>IFERROR(__xludf.DUMMYFUNCTION("googletranslate(D2094,""id"",""en"")"),"Emergency ppkm extended?")</f>
        <v>Emergency ppkm extended?</v>
      </c>
    </row>
    <row r="2095" ht="15.75" customHeight="1">
      <c r="A2095" s="2">
        <v>2094.0</v>
      </c>
      <c r="B2095" s="5" t="s">
        <v>3804</v>
      </c>
      <c r="C2095" s="6">
        <v>1.0</v>
      </c>
      <c r="D2095" s="9" t="s">
        <v>3805</v>
      </c>
      <c r="E2095" s="8" t="str">
        <f>IFERROR(__xludf.DUMMYFUNCTION("googletranslate(D2095,""id"",""en"")"),"Same Si, I work on the field. Who must be prepared in the city, outside the city, even outside the city and all. Especially now there is PPKM, even before this PPKM I've tried the list in the office to join the vaccine. But it turned out that the discours"&amp;"e didang, and finally I was positive for and isan")</f>
        <v>Same Si, I work on the field. Who must be prepared in the city, outside the city, even outside the city and all. Especially now there is PPKM, even before this PPKM I've tried the list in the office to join the vaccine. But it turned out that the discourse didang, and finally I was positive for and isan</v>
      </c>
    </row>
    <row r="2096" ht="15.75" customHeight="1">
      <c r="A2096" s="2">
        <v>2095.0</v>
      </c>
      <c r="B2096" s="5" t="s">
        <v>3806</v>
      </c>
      <c r="C2096" s="6">
        <v>2.0</v>
      </c>
      <c r="D2096" s="7" t="s">
        <v>3806</v>
      </c>
      <c r="E2096" s="8" t="str">
        <f>IFERROR(__xludf.DUMMYFUNCTION("googletranslate(D2096,""id"",""en"")"),"Ppkm until when?")</f>
        <v>Ppkm until when?</v>
      </c>
    </row>
    <row r="2097" ht="15.75" customHeight="1">
      <c r="A2097" s="2">
        <v>2096.0</v>
      </c>
      <c r="B2097" s="5" t="s">
        <v>3807</v>
      </c>
      <c r="C2097" s="6">
        <v>1.0</v>
      </c>
      <c r="D2097" s="7" t="s">
        <v>3808</v>
      </c>
      <c r="E2097" s="8" t="str">
        <f>IFERROR(__xludf.DUMMYFUNCTION("googletranslate(D2097,""id"",""en"")"),"How to answer Lord this time the press conference for Emergency PPKM ... shook the head")</f>
        <v>How to answer Lord this time the press conference for Emergency PPKM ... shook the head</v>
      </c>
    </row>
    <row r="2098" ht="15.75" customHeight="1">
      <c r="A2098" s="2">
        <v>2097.0</v>
      </c>
      <c r="B2098" s="5" t="s">
        <v>3809</v>
      </c>
      <c r="C2098" s="6">
        <v>1.0</v>
      </c>
      <c r="D2098" s="7" t="s">
        <v>3810</v>
      </c>
      <c r="E2098" s="8" t="str">
        <f>IFERROR(__xludf.DUMMYFUNCTION("googletranslate(D2098,""id"",""en"")"),"They don't understand PPKM huh")</f>
        <v>They don't understand PPKM huh</v>
      </c>
    </row>
    <row r="2099" ht="15.75" customHeight="1">
      <c r="A2099" s="2">
        <v>2098.0</v>
      </c>
      <c r="B2099" s="5" t="s">
        <v>3811</v>
      </c>
      <c r="C2099" s="6">
        <v>3.0</v>
      </c>
      <c r="D2099" s="7" t="s">
        <v>3812</v>
      </c>
      <c r="E2099" s="8" t="str">
        <f>IFERROR(__xludf.DUMMYFUNCTION("googletranslate(D2099,""id"",""en"")"),"PPKM - obey the process wear a mask.")</f>
        <v>PPKM - obey the process wear a mask.</v>
      </c>
    </row>
    <row r="2100" ht="15.75" customHeight="1">
      <c r="A2100" s="2">
        <v>2099.0</v>
      </c>
      <c r="B2100" s="5" t="s">
        <v>3813</v>
      </c>
      <c r="C2100" s="6">
        <v>2.0</v>
      </c>
      <c r="D2100" s="7" t="s">
        <v>3814</v>
      </c>
      <c r="E2100" s="8" t="str">
        <f>IFERROR(__xludf.DUMMYFUNCTION("googletranslate(D2100,""id"",""en"")"),"PPKM: Resigned to Your Will")</f>
        <v>PPKM: Resigned to Your Will</v>
      </c>
    </row>
    <row r="2101" ht="15.75" customHeight="1">
      <c r="A2101" s="2">
        <v>2100.0</v>
      </c>
      <c r="B2101" s="5" t="s">
        <v>3815</v>
      </c>
      <c r="C2101" s="6">
        <v>1.0</v>
      </c>
      <c r="D2101" s="9" t="s">
        <v>3816</v>
      </c>
      <c r="E2101" s="8" t="str">
        <f>IFERROR(__xludf.DUMMYFUNCTION("googletranslate(D2101,""id"",""en"")"),"Kalu kg can sister to the fullest of the people nyang getting ppkmmupot together")</f>
        <v>Kalu kg can sister to the fullest of the people nyang getting ppkmmupot together</v>
      </c>
    </row>
    <row r="2102" ht="15.75" customHeight="1">
      <c r="A2102" s="2">
        <v>2101.0</v>
      </c>
      <c r="B2102" s="5" t="s">
        <v>3817</v>
      </c>
      <c r="C2102" s="6">
        <v>2.0</v>
      </c>
      <c r="D2102" s="7" t="s">
        <v>3818</v>
      </c>
      <c r="E2102" s="8" t="str">
        <f>IFERROR(__xludf.DUMMYFUNCTION("googletranslate(D2102,""id"",""en"")"),"Ssuai Instruction of the Minister of Home Affairs No. TTNG PPKM Emergency Some sectors, especially those including non-essential categories are indeed limited to get the Covid distribution chain - which when this is an emergency")</f>
        <v>Ssuai Instruction of the Minister of Home Affairs No. TTNG PPKM Emergency Some sectors, especially those including non-essential categories are indeed limited to get the Covid distribution chain - which when this is an emergency</v>
      </c>
    </row>
    <row r="2103" ht="15.75" customHeight="1">
      <c r="A2103" s="2">
        <v>2102.0</v>
      </c>
      <c r="B2103" s="5" t="s">
        <v>3819</v>
      </c>
      <c r="C2103" s="6">
        <v>2.0</v>
      </c>
      <c r="D2103" s="7" t="s">
        <v>3820</v>
      </c>
      <c r="E2103" s="8" t="str">
        <f>IFERROR(__xludf.DUMMYFUNCTION("googletranslate(D2103,""id"",""en"")"),"Suitable. Collection of Kuot2 PPKM")</f>
        <v>Suitable. Collection of Kuot2 PPKM</v>
      </c>
    </row>
    <row r="2104" ht="15.75" customHeight="1">
      <c r="A2104" s="2">
        <v>2103.0</v>
      </c>
      <c r="B2104" s="5" t="s">
        <v>3821</v>
      </c>
      <c r="C2104" s="6">
        <v>2.0</v>
      </c>
      <c r="D2104" s="7" t="s">
        <v>3822</v>
      </c>
      <c r="E2104" s="8" t="str">
        <f>IFERROR(__xludf.DUMMYFUNCTION("googletranslate(D2104,""id"",""en"")"),"After the PPKM ended Huaaa Mo Mo Time again")</f>
        <v>After the PPKM ended Huaaa Mo Mo Time again</v>
      </c>
    </row>
    <row r="2105" ht="15.75" customHeight="1">
      <c r="A2105" s="2">
        <v>2104.0</v>
      </c>
      <c r="B2105" s="5" t="s">
        <v>3823</v>
      </c>
      <c r="C2105" s="6">
        <v>1.0</v>
      </c>
      <c r="D2105" s="7" t="s">
        <v>3824</v>
      </c>
      <c r="E2105" s="8" t="str">
        <f>IFERROR(__xludf.DUMMYFUNCTION("googletranslate(D2105,""id"",""en"")"),"Arrogant and arrogant ... why ... ?? Because they have friends and weapons ... let's ... to Papua sir ... there is a weapon ... show your abilities there ... checked PPKM officers many reasons ...")</f>
        <v>Arrogant and arrogant ... why ... ?? Because they have friends and weapons ... let's ... to Papua sir ... there is a weapon ... show your abilities there ... checked PPKM officers many reasons ...</v>
      </c>
    </row>
    <row r="2106" ht="15.75" customHeight="1">
      <c r="A2106" s="2">
        <v>2105.0</v>
      </c>
      <c r="B2106" s="5" t="s">
        <v>3825</v>
      </c>
      <c r="C2106" s="6">
        <v>1.0</v>
      </c>
      <c r="D2106" s="7" t="s">
        <v>3826</v>
      </c>
      <c r="E2106" s="8" t="str">
        <f>IFERROR(__xludf.DUMMYFUNCTION("googletranslate(D2106,""id"",""en"")"),"AD who per member is OT13 SOB. I'm selling myself but LG PPKM is aware of the price of Dicon")</f>
        <v>AD who per member is OT13 SOB. I'm selling myself but LG PPKM is aware of the price of Dicon</v>
      </c>
    </row>
    <row r="2107" ht="15.75" customHeight="1">
      <c r="A2107" s="2">
        <v>2106.0</v>
      </c>
      <c r="B2107" s="5" t="s">
        <v>3827</v>
      </c>
      <c r="C2107" s="6">
        <v>3.0</v>
      </c>
      <c r="D2107" s="9" t="s">
        <v>3828</v>
      </c>
      <c r="E2107" s="8" t="str">
        <f>IFERROR(__xludf.DUMMYFUNCTION("googletranslate(D2107,""id"",""en"")"),"Salut Pade Both parties Party PPKM officers are indeed when they have to be hard and paspampres It will indeed be understood and patient")</f>
        <v>Salut Pade Both parties Party PPKM officers are indeed when they have to be hard and paspampres It will indeed be understood and patient</v>
      </c>
    </row>
    <row r="2108" ht="15.75" customHeight="1">
      <c r="A2108" s="2">
        <v>2107.0</v>
      </c>
      <c r="B2108" s="5" t="s">
        <v>3829</v>
      </c>
      <c r="C2108" s="6">
        <v>3.0</v>
      </c>
      <c r="D2108" s="9" t="s">
        <v>3830</v>
      </c>
      <c r="E2108" s="8" t="str">
        <f>IFERROR(__xludf.DUMMYFUNCTION("googletranslate(D2108,""id"",""en"")"),"Try behind his perspective, the food wrapped and eating at the house is pleasure, because it is safe and not much potential infected, and is forced to eat outside because it is working is compulsion. Working for PPKM may be a lot, doctors, nakes, police, "&amp;"other officers ...")</f>
        <v>Try behind his perspective, the food wrapped and eating at the house is pleasure, because it is safe and not much potential infected, and is forced to eat outside because it is working is compulsion. Working for PPKM may be a lot, doctors, nakes, police, other officers ...</v>
      </c>
    </row>
    <row r="2109" ht="15.75" customHeight="1">
      <c r="A2109" s="2">
        <v>2108.0</v>
      </c>
      <c r="B2109" s="5" t="s">
        <v>3831</v>
      </c>
      <c r="C2109" s="6">
        <v>2.0</v>
      </c>
      <c r="D2109" s="9" t="s">
        <v>3832</v>
      </c>
      <c r="E2109" s="8" t="str">
        <f>IFERROR(__xludf.DUMMYFUNCTION("googletranslate(D2109,""id"",""en"")"),"If I open the PPKM, the people are also vaccinated.")</f>
        <v>If I open the PPKM, the people are also vaccinated.</v>
      </c>
    </row>
    <row r="2110" ht="15.75" customHeight="1">
      <c r="A2110" s="2">
        <v>2109.0</v>
      </c>
      <c r="B2110" s="5" t="s">
        <v>3833</v>
      </c>
      <c r="C2110" s="6">
        <v>1.0</v>
      </c>
      <c r="D2110" s="7" t="s">
        <v>3834</v>
      </c>
      <c r="E2110" s="8" t="str">
        <f>IFERROR(__xludf.DUMMYFUNCTION("googletranslate(D2110,""id"",""en"")"),"Well this is true that I happen to be a cengkareng resident. PPKM only runs in certain regions. Honorable fathers must go down to suburban areas. To see directly whether the system is running or not.")</f>
        <v>Well this is true that I happen to be a cengkareng resident. PPKM only runs in certain regions. Honorable fathers must go down to suburban areas. To see directly whether the system is running or not.</v>
      </c>
    </row>
    <row r="2111" ht="15.75" customHeight="1">
      <c r="A2111" s="2">
        <v>2110.0</v>
      </c>
      <c r="B2111" s="5" t="s">
        <v>3835</v>
      </c>
      <c r="C2111" s="6">
        <v>3.0</v>
      </c>
      <c r="D2111" s="7" t="s">
        <v>3836</v>
      </c>
      <c r="E2111" s="8" t="str">
        <f>IFERROR(__xludf.DUMMYFUNCTION("googletranslate(D2111,""id"",""en"")"),"The people look forward to the sustainability of the Special Autonomy of Papua. The PPKM Discipline")</f>
        <v>The people look forward to the sustainability of the Special Autonomy of Papua. The PPKM Discipline</v>
      </c>
    </row>
    <row r="2112" ht="15.75" customHeight="1">
      <c r="A2112" s="2">
        <v>2111.0</v>
      </c>
      <c r="B2112" s="5" t="s">
        <v>3837</v>
      </c>
      <c r="C2112" s="6">
        <v>1.0</v>
      </c>
      <c r="D2112" s="7" t="s">
        <v>3838</v>
      </c>
      <c r="E2112" s="8" t="str">
        <f>IFERROR(__xludf.DUMMYFUNCTION("googletranslate(D2112,""id"",""en"")"),"Troubling PPKM")</f>
        <v>Troubling PPKM</v>
      </c>
    </row>
    <row r="2113" ht="15.75" customHeight="1">
      <c r="A2113" s="2">
        <v>2112.0</v>
      </c>
      <c r="B2113" s="5" t="s">
        <v>3839</v>
      </c>
      <c r="C2113" s="6">
        <v>1.0</v>
      </c>
      <c r="D2113" s="7" t="s">
        <v>3840</v>
      </c>
      <c r="E2113" s="8" t="str">
        <f>IFERROR(__xludf.DUMMYFUNCTION("googletranslate(D2113,""id"",""en"")"),"Perokes? Rules that appear only seasonal when certain moments. Apalgi PPKM Opung coordinator who did not understand the Law on Sangsi and Rights")</f>
        <v>Perokes? Rules that appear only seasonal when certain moments. Apalgi PPKM Opung coordinator who did not understand the Law on Sangsi and Rights</v>
      </c>
    </row>
    <row r="2114" ht="15.75" customHeight="1">
      <c r="A2114" s="2">
        <v>2113.0</v>
      </c>
      <c r="B2114" s="5" t="s">
        <v>3841</v>
      </c>
      <c r="C2114" s="6">
        <v>3.0</v>
      </c>
      <c r="D2114" s="7" t="s">
        <v>3842</v>
      </c>
      <c r="E2114" s="8" t="str">
        <f>IFERROR(__xludf.DUMMYFUNCTION("googletranslate(D2114,""id"",""en"")"),"The implementation of the emergency PPKM is still asked the PPKM discipline")</f>
        <v>The implementation of the emergency PPKM is still asked the PPKM discipline</v>
      </c>
    </row>
    <row r="2115" ht="15.75" customHeight="1">
      <c r="A2115" s="2">
        <v>2114.0</v>
      </c>
      <c r="B2115" s="5" t="s">
        <v>3843</v>
      </c>
      <c r="C2115" s="6">
        <v>1.0</v>
      </c>
      <c r="D2115" s="9" t="s">
        <v>3844</v>
      </c>
      <c r="E2115" s="8" t="str">
        <f>IFERROR(__xludf.DUMMYFUNCTION("googletranslate(D2115,""id"",""en"")"),"People are now rich more despicable than criminals and corruptors. PPKM just faced the small people. Please see your people sir.")</f>
        <v>People are now rich more despicable than criminals and corruptors. PPKM just faced the small people. Please see your people sir.</v>
      </c>
    </row>
    <row r="2116" ht="15.75" customHeight="1">
      <c r="A2116" s="2">
        <v>2115.0</v>
      </c>
      <c r="B2116" s="5" t="s">
        <v>3845</v>
      </c>
      <c r="C2116" s="6">
        <v>2.0</v>
      </c>
      <c r="D2116" s="7" t="s">
        <v>3846</v>
      </c>
      <c r="E2116" s="8" t="str">
        <f>IFERROR(__xludf.DUMMYFUNCTION("googletranslate(D2116,""id"",""en"")"),"PPKM Pura Pura Kangen Former")</f>
        <v>PPKM Pura Pura Kangen Former</v>
      </c>
    </row>
    <row r="2117" ht="15.75" customHeight="1">
      <c r="A2117" s="2">
        <v>2116.0</v>
      </c>
      <c r="B2117" s="5" t="s">
        <v>3847</v>
      </c>
      <c r="C2117" s="6">
        <v>2.0</v>
      </c>
      <c r="D2117" s="7" t="s">
        <v>3848</v>
      </c>
      <c r="E2117" s="8" t="str">
        <f>IFERROR(__xludf.DUMMYFUNCTION("googletranslate(D2117,""id"",""en"")"),"Ppkm ""multiply go to the mosque"" wkw")</f>
        <v>Ppkm "multiply go to the mosque" wkw</v>
      </c>
    </row>
    <row r="2118" ht="15.75" customHeight="1">
      <c r="A2118" s="2">
        <v>2117.0</v>
      </c>
      <c r="B2118" s="5" t="s">
        <v>3849</v>
      </c>
      <c r="C2118" s="6">
        <v>1.0</v>
      </c>
      <c r="D2118" s="7" t="s">
        <v>3850</v>
      </c>
      <c r="E2118" s="8" t="str">
        <f>IFERROR(__xludf.DUMMYFUNCTION("googletranslate(D2118,""id"",""en"")"),"Please enlighten what we have to do from what I believe in Banda Aceh will occur in unbelievers in the implementation of the PPKM. The street vendors only serve the buyer until the restaurant can serve clock buyers.")</f>
        <v>Please enlighten what we have to do from what I believe in Banda Aceh will occur in unbelievers in the implementation of the PPKM. The street vendors only serve the buyer until the restaurant can serve clock buyers.</v>
      </c>
    </row>
    <row r="2119" ht="15.75" customHeight="1">
      <c r="A2119" s="2">
        <v>2118.0</v>
      </c>
      <c r="B2119" s="5" t="s">
        <v>3851</v>
      </c>
      <c r="C2119" s="6">
        <v>3.0</v>
      </c>
      <c r="D2119" s="7" t="s">
        <v>3852</v>
      </c>
      <c r="E2119" s="8" t="str">
        <f>IFERROR(__xludf.DUMMYFUNCTION("googletranslate(D2119,""id"",""en"")"),"Which is at home, just calm down, the government provides bansos during the PPKM Discipline PPKM")</f>
        <v>Which is at home, just calm down, the government provides bansos during the PPKM Discipline PPKM</v>
      </c>
    </row>
    <row r="2120" ht="15.75" customHeight="1">
      <c r="A2120" s="2">
        <v>2119.0</v>
      </c>
      <c r="B2120" s="5" t="s">
        <v>3853</v>
      </c>
      <c r="C2120" s="6">
        <v>2.0</v>
      </c>
      <c r="D2120" s="7" t="s">
        <v>3854</v>
      </c>
      <c r="E2120" s="8" t="str">
        <f>IFERROR(__xludf.DUMMYFUNCTION("googletranslate(D2120,""id"",""en"")"),"Iyak again ppkm")</f>
        <v>Iyak again ppkm</v>
      </c>
    </row>
    <row r="2121" ht="15.75" customHeight="1">
      <c r="A2121" s="2">
        <v>2120.0</v>
      </c>
      <c r="B2121" s="5" t="s">
        <v>3855</v>
      </c>
      <c r="C2121" s="6">
        <v>1.0</v>
      </c>
      <c r="D2121" s="7" t="s">
        <v>3856</v>
      </c>
      <c r="E2121" s="8" t="str">
        <f>IFERROR(__xludf.DUMMYFUNCTION("googletranslate(D2121,""id"",""en"")"),"This PPKM tortures me a rational org-rational person. It's time for me to feel with him because I'm baleknya, it's still teros, it can be kmn2")</f>
        <v>This PPKM tortures me a rational org-rational person. It's time for me to feel with him because I'm baleknya, it's still teros, it can be kmn2</v>
      </c>
    </row>
    <row r="2122" ht="15.75" customHeight="1">
      <c r="A2122" s="2">
        <v>2121.0</v>
      </c>
      <c r="B2122" s="5" t="s">
        <v>3857</v>
      </c>
      <c r="C2122" s="6">
        <v>1.0</v>
      </c>
      <c r="D2122" s="7" t="s">
        <v>3858</v>
      </c>
      <c r="E2122" s="8" t="str">
        <f>IFERROR(__xludf.DUMMYFUNCTION("googletranslate(D2122,""id"",""en"")"),"These traders who usually like to hold near the boarding house on gada, what because the PPKM is not selling huh")</f>
        <v>These traders who usually like to hold near the boarding house on gada, what because the PPKM is not selling huh</v>
      </c>
    </row>
    <row r="2123" ht="15.75" customHeight="1">
      <c r="A2123" s="2">
        <v>2122.0</v>
      </c>
      <c r="B2123" s="5" t="s">
        <v>3859</v>
      </c>
      <c r="C2123" s="6">
        <v>1.0</v>
      </c>
      <c r="D2123" s="9" t="s">
        <v>3860</v>
      </c>
      <c r="E2123" s="8" t="str">
        <f>IFERROR(__xludf.DUMMYFUNCTION("googletranslate(D2123,""id"",""en"")"),"Dokmin is sad, PPKM comes again. Not sad because it doesn't want Covid numbers down, but sad because the suggestion to the dentist returns to the case of emergency or emergency, if the emergency is due to trauma, etc. Well emergency that is common is a to"&amp;"othache unbearable.")</f>
        <v>Dokmin is sad, PPKM comes again. Not sad because it doesn't want Covid numbers down, but sad because the suggestion to the dentist returns to the case of emergency or emergency, if the emergency is due to trauma, etc. Well emergency that is common is a toothache unbearable.</v>
      </c>
    </row>
    <row r="2124" ht="15.75" customHeight="1">
      <c r="A2124" s="2">
        <v>2123.0</v>
      </c>
      <c r="B2124" s="5" t="s">
        <v>3861</v>
      </c>
      <c r="C2124" s="6">
        <v>3.0</v>
      </c>
      <c r="D2124" s="7" t="s">
        <v>3862</v>
      </c>
      <c r="E2124" s="8" t="str">
        <f>IFERROR(__xludf.DUMMYFUNCTION("googletranslate(D2124,""id"",""en"")"),"Mending deketan but keep the distance because we are again PPKM.")</f>
        <v>Mending deketan but keep the distance because we are again PPKM.</v>
      </c>
    </row>
    <row r="2125" ht="15.75" customHeight="1">
      <c r="A2125" s="2">
        <v>2124.0</v>
      </c>
      <c r="B2125" s="5" t="s">
        <v>3863</v>
      </c>
      <c r="C2125" s="6">
        <v>2.0</v>
      </c>
      <c r="D2125" s="7" t="s">
        <v>3864</v>
      </c>
      <c r="E2125" s="8" t="str">
        <f>IFERROR(__xludf.DUMMYFUNCTION("googletranslate(D2125,""id"",""en"")"),"Ppkm, your lover man and your mom")</f>
        <v>Ppkm, your lover man and your mom</v>
      </c>
    </row>
    <row r="2126" ht="15.75" customHeight="1">
      <c r="A2126" s="2">
        <v>2125.0</v>
      </c>
      <c r="B2126" s="5" t="s">
        <v>3865</v>
      </c>
      <c r="C2126" s="6">
        <v>2.0</v>
      </c>
      <c r="D2126" s="7" t="s">
        <v>3866</v>
      </c>
      <c r="E2126" s="8" t="str">
        <f>IFERROR(__xludf.DUMMYFUNCTION("googletranslate(D2126,""id"",""en"")"),"The road must be dark nder. The risk of own borne. Moreover, PPKM again. Just be patient. It's also really wanting to crush with friends huhu: """)</f>
        <v>The road must be dark nder. The risk of own borne. Moreover, PPKM again. Just be patient. It's also really wanting to crush with friends huhu: "</v>
      </c>
    </row>
    <row r="2127" ht="15.75" customHeight="1">
      <c r="A2127" s="2">
        <v>2126.0</v>
      </c>
      <c r="B2127" s="5" t="s">
        <v>3867</v>
      </c>
      <c r="C2127" s="6">
        <v>1.0</v>
      </c>
      <c r="D2127" s="7" t="s">
        <v>3867</v>
      </c>
      <c r="E2127" s="8" t="str">
        <f>IFERROR(__xludf.DUMMYFUNCTION("googletranslate(D2127,""id"",""en"")"),"Because the ppkm seemed to go slow once")</f>
        <v>Because the ppkm seemed to go slow once</v>
      </c>
    </row>
    <row r="2128" ht="15.75" customHeight="1">
      <c r="A2128" s="2">
        <v>2127.0</v>
      </c>
      <c r="B2128" s="5" t="s">
        <v>3868</v>
      </c>
      <c r="C2128" s="6">
        <v>1.0</v>
      </c>
      <c r="D2128" s="7" t="s">
        <v>3869</v>
      </c>
      <c r="E2128" s="8" t="str">
        <f>IFERROR(__xludf.DUMMYFUNCTION("googletranslate(D2128,""id"",""en"")"),"Leader..the big of contradictions ... ppkm .... pack sir when backwards ...")</f>
        <v>Leader..the big of contradictions ... ppkm .... pack sir when backwards ...</v>
      </c>
    </row>
    <row r="2129" ht="15.75" customHeight="1">
      <c r="A2129" s="2">
        <v>2128.0</v>
      </c>
      <c r="B2129" s="5" t="s">
        <v>3870</v>
      </c>
      <c r="C2129" s="6">
        <v>3.0</v>
      </c>
      <c r="D2129" s="9" t="s">
        <v>3871</v>
      </c>
      <c r="E2129" s="8" t="str">
        <f>IFERROR(__xludf.DUMMYFUNCTION("googletranslate(D2129,""id"",""en"")"),"Uh, good morning. Happy weekend. Have you had breakfast yet? Because ppkm, just virtual ngeapel later tonight. Don't forget the prokes")</f>
        <v>Uh, good morning. Happy weekend. Have you had breakfast yet? Because ppkm, just virtual ngeapel later tonight. Don't forget the prokes</v>
      </c>
    </row>
    <row r="2130" ht="15.75" customHeight="1">
      <c r="A2130" s="2">
        <v>2129.0</v>
      </c>
      <c r="B2130" s="5" t="s">
        <v>3872</v>
      </c>
      <c r="C2130" s="6">
        <v>2.0</v>
      </c>
      <c r="D2130" s="7" t="s">
        <v>3873</v>
      </c>
      <c r="E2130" s="8" t="str">
        <f>IFERROR(__xludf.DUMMYFUNCTION("googletranslate(D2130,""id"",""en"")"),"Saturday still has to go to the office, what is PPKM?")</f>
        <v>Saturday still has to go to the office, what is PPKM?</v>
      </c>
    </row>
    <row r="2131" ht="15.75" customHeight="1">
      <c r="A2131" s="2">
        <v>2130.0</v>
      </c>
      <c r="B2131" s="5" t="s">
        <v>3874</v>
      </c>
      <c r="C2131" s="6">
        <v>2.0</v>
      </c>
      <c r="D2131" s="7" t="s">
        <v>3875</v>
      </c>
      <c r="E2131" s="8" t="str">
        <f>IFERROR(__xludf.DUMMYFUNCTION("googletranslate(D2131,""id"",""en"")"),"noisy ah again ppkm")</f>
        <v>noisy ah again ppkm</v>
      </c>
    </row>
    <row r="2132" ht="15.75" customHeight="1">
      <c r="A2132" s="2">
        <v>2131.0</v>
      </c>
      <c r="B2132" s="5" t="s">
        <v>3876</v>
      </c>
      <c r="C2132" s="6">
        <v>2.0</v>
      </c>
      <c r="D2132" s="7" t="s">
        <v>3877</v>
      </c>
      <c r="E2132" s="8" t="str">
        <f>IFERROR(__xludf.DUMMYFUNCTION("googletranslate(D2132,""id"",""en"")"),"GBS GBS vacation. Just net")</f>
        <v>GBS GBS vacation. Just net</v>
      </c>
    </row>
    <row r="2133" ht="15.75" customHeight="1">
      <c r="A2133" s="2">
        <v>2132.0</v>
      </c>
      <c r="B2133" s="5" t="s">
        <v>3878</v>
      </c>
      <c r="C2133" s="6">
        <v>1.0</v>
      </c>
      <c r="D2133" s="7" t="s">
        <v>3879</v>
      </c>
      <c r="E2133" s="8" t="str">
        <f>IFERROR(__xludf.DUMMYFUNCTION("googletranslate(D2133,""id"",""en"")"),"It's useless for PPKM, as long as Chinese TKA goes on. Until Judgment")</f>
        <v>It's useless for PPKM, as long as Chinese TKA goes on. Until Judgment</v>
      </c>
    </row>
    <row r="2134" ht="15.75" customHeight="1">
      <c r="A2134" s="2">
        <v>2133.0</v>
      </c>
      <c r="B2134" s="5" t="s">
        <v>3880</v>
      </c>
      <c r="C2134" s="6">
        <v>2.0</v>
      </c>
      <c r="D2134" s="7" t="s">
        <v>3881</v>
      </c>
      <c r="E2134" s="8" t="str">
        <f>IFERROR(__xludf.DUMMYFUNCTION("googletranslate(D2134,""id"",""en"")"),"PPKM (Money Fasty Youth)")</f>
        <v>PPKM (Money Fasty Youth)</v>
      </c>
    </row>
    <row r="2135" ht="15.75" customHeight="1">
      <c r="A2135" s="2">
        <v>2134.0</v>
      </c>
      <c r="B2135" s="5" t="s">
        <v>3882</v>
      </c>
      <c r="C2135" s="6">
        <v>2.0</v>
      </c>
      <c r="D2135" s="7" t="s">
        <v>3882</v>
      </c>
      <c r="E2135" s="8" t="str">
        <f>IFERROR(__xludf.DUMMYFUNCTION("googletranslate(D2135,""id"",""en"")"),"micro ppkm anywhere")</f>
        <v>micro ppkm anywhere</v>
      </c>
    </row>
    <row r="2136" ht="15.75" customHeight="1">
      <c r="A2136" s="2">
        <v>2135.0</v>
      </c>
      <c r="B2136" s="5" t="s">
        <v>3883</v>
      </c>
      <c r="C2136" s="6">
        <v>2.0</v>
      </c>
      <c r="D2136" s="7" t="s">
        <v>3883</v>
      </c>
      <c r="E2136" s="8" t="str">
        <f>IFERROR(__xludf.DUMMYFUNCTION("googletranslate(D2136,""id"",""en"")"),"Again imagining gaada corona, gaada ppkm.")</f>
        <v>Again imagining gaada corona, gaada ppkm.</v>
      </c>
    </row>
    <row r="2137" ht="15.75" customHeight="1">
      <c r="A2137" s="2">
        <v>2136.0</v>
      </c>
      <c r="B2137" s="5" t="s">
        <v>3884</v>
      </c>
      <c r="C2137" s="6">
        <v>3.0</v>
      </c>
      <c r="D2137" s="7" t="s">
        <v>3885</v>
      </c>
      <c r="E2137" s="8" t="str">
        <f>IFERROR(__xludf.DUMMYFUNCTION("googletranslate(D2137,""id"",""en"")"),"Emergency PPKM is right. The PPKM discipline")</f>
        <v>Emergency PPKM is right. The PPKM discipline</v>
      </c>
    </row>
    <row r="2138" ht="15.75" customHeight="1">
      <c r="A2138" s="2">
        <v>2137.0</v>
      </c>
      <c r="B2138" s="5" t="s">
        <v>3886</v>
      </c>
      <c r="C2138" s="6">
        <v>2.0</v>
      </c>
      <c r="D2138" s="7" t="s">
        <v>3887</v>
      </c>
      <c r="E2138" s="8" t="str">
        <f>IFERROR(__xludf.DUMMYFUNCTION("googletranslate(D2138,""id"",""en"")"),"Masi rich yesterday wanted to play. But the PPKM was getting more tight")</f>
        <v>Masi rich yesterday wanted to play. But the PPKM was getting more tight</v>
      </c>
    </row>
    <row r="2139" ht="15.75" customHeight="1">
      <c r="A2139" s="2">
        <v>2138.0</v>
      </c>
      <c r="B2139" s="5" t="s">
        <v>3888</v>
      </c>
      <c r="C2139" s="6">
        <v>3.0</v>
      </c>
      <c r="D2139" s="7" t="s">
        <v>3889</v>
      </c>
      <c r="E2139" s="8" t="str">
        <f>IFERROR(__xludf.DUMMYFUNCTION("googletranslate(D2139,""id"",""en"")"),"Ppkm = surely the turquoise is disappearing")</f>
        <v>Ppkm = surely the turquoise is disappearing</v>
      </c>
    </row>
    <row r="2140" ht="15.75" customHeight="1">
      <c r="A2140" s="2">
        <v>2139.0</v>
      </c>
      <c r="B2140" s="5" t="s">
        <v>3890</v>
      </c>
      <c r="C2140" s="6">
        <v>1.0</v>
      </c>
      <c r="D2140" s="7" t="s">
        <v>3891</v>
      </c>
      <c r="E2140" s="8" t="str">
        <f>IFERROR(__xludf.DUMMYFUNCTION("googletranslate(D2140,""id"",""en"")"),"PPKM. Studio closure")</f>
        <v>PPKM. Studio closure</v>
      </c>
    </row>
    <row r="2141" ht="15.75" customHeight="1">
      <c r="A2141" s="2">
        <v>2140.0</v>
      </c>
      <c r="B2141" s="5" t="s">
        <v>3892</v>
      </c>
      <c r="C2141" s="6">
        <v>2.0</v>
      </c>
      <c r="D2141" s="7" t="s">
        <v>3893</v>
      </c>
      <c r="E2141" s="8" t="str">
        <f>IFERROR(__xludf.DUMMYFUNCTION("googletranslate(D2141,""id"",""en"")"),"The PPKM slowly we get married.")</f>
        <v>The PPKM slowly we get married.</v>
      </c>
    </row>
    <row r="2142" ht="15.75" customHeight="1">
      <c r="A2142" s="2">
        <v>2141.0</v>
      </c>
      <c r="B2142" s="5" t="s">
        <v>3894</v>
      </c>
      <c r="C2142" s="6">
        <v>1.0</v>
      </c>
      <c r="D2142" s="7" t="s">
        <v>3895</v>
      </c>
      <c r="E2142" s="8" t="str">
        <f>IFERROR(__xludf.DUMMYFUNCTION("googletranslate(D2142,""id"",""en"")"),"After all, the officer should give the right example, don't just be just a trader, the PPKM clock, it's fast home from each other's house in the office")</f>
        <v>After all, the officer should give the right example, don't just be just a trader, the PPKM clock, it's fast home from each other's house in the office</v>
      </c>
    </row>
    <row r="2143" ht="15.75" customHeight="1">
      <c r="A2143" s="2">
        <v>2142.0</v>
      </c>
      <c r="B2143" s="5" t="s">
        <v>3896</v>
      </c>
      <c r="C2143" s="6">
        <v>1.0</v>
      </c>
      <c r="D2143" s="9" t="s">
        <v>3896</v>
      </c>
      <c r="E2143" s="8" t="str">
        <f>IFERROR(__xludf.DUMMYFUNCTION("googletranslate(D2143,""id"",""en"")"),"I am a healing process, suddenly faced with the state of ""tense"" PPKM and not good news. A little affect my condition again. I already feel better and even better why it feels like now to feel a little before.")</f>
        <v>I am a healing process, suddenly faced with the state of "tense" PPKM and not good news. A little affect my condition again. I already feel better and even better why it feels like now to feel a little before.</v>
      </c>
    </row>
    <row r="2144" ht="15.75" customHeight="1">
      <c r="A2144" s="2">
        <v>2143.0</v>
      </c>
      <c r="B2144" s="5" t="s">
        <v>3897</v>
      </c>
      <c r="C2144" s="6">
        <v>1.0</v>
      </c>
      <c r="D2144" s="9" t="s">
        <v>3898</v>
      </c>
      <c r="E2144" s="8" t="str">
        <f>IFERROR(__xludf.DUMMYFUNCTION("googletranslate(D2144,""id"",""en"")"),"In the area I lgi ppkm, which is dialyzed selling just basic food. There was someone who was told to close instead the demo of compensation, finally reported because it was stubborn. Think of the loss of ente")</f>
        <v>In the area I lgi ppkm, which is dialyzed selling just basic food. There was someone who was told to close instead the demo of compensation, finally reported because it was stubborn. Think of the loss of ente</v>
      </c>
    </row>
    <row r="2145" ht="15.75" customHeight="1">
      <c r="A2145" s="2">
        <v>2144.0</v>
      </c>
      <c r="B2145" s="5" t="s">
        <v>3899</v>
      </c>
      <c r="C2145" s="6">
        <v>1.0</v>
      </c>
      <c r="D2145" s="7" t="s">
        <v>3900</v>
      </c>
      <c r="E2145" s="8" t="str">
        <f>IFERROR(__xludf.DUMMYFUNCTION("googletranslate(D2145,""id"",""en"")"),"If people like ASN are all fulfilled their needs, then the attitude of the community will definitely comply with PPKM. Do you make a policy that makes the people more miserable Is there behind all this? Why did Covid suddenly explode, why did China arrive"&amp;"?")</f>
        <v>If people like ASN are all fulfilled their needs, then the attitude of the community will definitely comply with PPKM. Do you make a policy that makes the people more miserable Is there behind all this? Why did Covid suddenly explode, why did China arrive?</v>
      </c>
    </row>
    <row r="2146" ht="15.75" customHeight="1">
      <c r="A2146" s="2">
        <v>2145.0</v>
      </c>
      <c r="B2146" s="5" t="s">
        <v>3901</v>
      </c>
      <c r="C2146" s="6">
        <v>2.0</v>
      </c>
      <c r="D2146" s="7" t="s">
        <v>3902</v>
      </c>
      <c r="E2146" s="8" t="str">
        <f>IFERROR(__xludf.DUMMYFUNCTION("googletranslate(D2146,""id"",""en"")"),"PPKM = Slowly Slowly You Have Out ofTTTT")</f>
        <v>PPKM = Slowly Slowly You Have Out ofTTTT</v>
      </c>
    </row>
    <row r="2147" ht="15.75" customHeight="1">
      <c r="A2147" s="2">
        <v>2146.0</v>
      </c>
      <c r="B2147" s="5" t="s">
        <v>3903</v>
      </c>
      <c r="C2147" s="6">
        <v>3.0</v>
      </c>
      <c r="D2147" s="9" t="s">
        <v>3904</v>
      </c>
      <c r="E2147" s="8" t="str">
        <f>IFERROR(__xludf.DUMMYFUNCTION("googletranslate(D2147,""id"",""en"")"),"Let's get good prokes &amp; amp; Right, watch the environment, tell no activities that have the potential to cause a crowd so that this pandemic will immediately pass grateful JK BNYK MASY helped care by obeying PPKM. Together we can fight Pandemi I")</f>
        <v>Let's get good prokes &amp; amp; Right, watch the environment, tell no activities that have the potential to cause a crowd so that this pandemic will immediately pass grateful JK BNYK MASY helped care by obeying PPKM. Together we can fight Pandemi I</v>
      </c>
    </row>
    <row r="2148" ht="15.75" customHeight="1">
      <c r="A2148" s="2">
        <v>2147.0</v>
      </c>
      <c r="B2148" s="5" t="s">
        <v>3905</v>
      </c>
      <c r="C2148" s="6">
        <v>1.0</v>
      </c>
      <c r="D2148" s="9" t="s">
        <v>3905</v>
      </c>
      <c r="E2148" s="8" t="str">
        <f>IFERROR(__xludf.DUMMYFUNCTION("googletranslate(D2148,""id"",""en"")"),"The implementation of emergency PPKM is rather difficult to do true because the people have already lost trust in the government, finally all forms of rules enforcement are always considered as an attitude of arrogance")</f>
        <v>The implementation of emergency PPKM is rather difficult to do true because the people have already lost trust in the government, finally all forms of rules enforcement are always considered as an attitude of arrogance</v>
      </c>
    </row>
    <row r="2149" ht="15.75" customHeight="1">
      <c r="A2149" s="2">
        <v>2148.0</v>
      </c>
      <c r="B2149" s="5" t="s">
        <v>3906</v>
      </c>
      <c r="C2149" s="6">
        <v>1.0</v>
      </c>
      <c r="D2149" s="7" t="s">
        <v>3907</v>
      </c>
      <c r="E2149" s="8" t="str">
        <f>IFERROR(__xludf.DUMMYFUNCTION("googletranslate(D2149,""id"",""en"")"),"Revoke Emergency PPKM Entrance New Normal Poor People Who Are Hard to Look Out")</f>
        <v>Revoke Emergency PPKM Entrance New Normal Poor People Who Are Hard to Look Out</v>
      </c>
    </row>
    <row r="2150" ht="15.75" customHeight="1">
      <c r="A2150" s="2">
        <v>2149.0</v>
      </c>
      <c r="B2150" s="5" t="s">
        <v>3908</v>
      </c>
      <c r="C2150" s="6">
        <v>3.0</v>
      </c>
      <c r="D2150" s="7" t="s">
        <v>3909</v>
      </c>
      <c r="E2150" s="8" t="str">
        <f>IFERROR(__xludf.DUMMYFUNCTION("googletranslate(D2150,""id"",""en"")"),"Avoiding the danger must be prioritized.PPKM emergency is a form of government responsibility for the safety of nation citizens ...")</f>
        <v>Avoiding the danger must be prioritized.PPKM emergency is a form of government responsibility for the safety of nation citizens ...</v>
      </c>
    </row>
    <row r="2151" ht="15.75" customHeight="1">
      <c r="A2151" s="2">
        <v>2150.0</v>
      </c>
      <c r="B2151" s="5" t="s">
        <v>3910</v>
      </c>
      <c r="C2151" s="6">
        <v>1.0</v>
      </c>
      <c r="D2151" s="7" t="s">
        <v>3911</v>
      </c>
      <c r="E2151" s="8" t="str">
        <f>IFERROR(__xludf.DUMMYFUNCTION("googletranslate(D2151,""id"",""en"")"),"Honestly at this time I did not think the least about being vaccinated or not, for me who was more pnting what the fate of my business began to implement PPKM D Banda Aceh, which BTA time the footsteps of the foot but the restaurant can serve the buyer. B"&amp;"y,")</f>
        <v>Honestly at this time I did not think the least about being vaccinated or not, for me who was more pnting what the fate of my business began to implement PPKM D Banda Aceh, which BTA time the footsteps of the foot but the restaurant can serve the buyer. By,</v>
      </c>
    </row>
    <row r="2152" ht="15.75" customHeight="1">
      <c r="A2152" s="2">
        <v>2151.0</v>
      </c>
      <c r="B2152" s="5" t="s">
        <v>3912</v>
      </c>
      <c r="C2152" s="6">
        <v>2.0</v>
      </c>
      <c r="D2152" s="7" t="s">
        <v>3912</v>
      </c>
      <c r="E2152" s="8" t="str">
        <f>IFERROR(__xludf.DUMMYFUNCTION("googletranslate(D2152,""id"",""en"")"),"Khofifah to advance also to people who have no interest to always at home during Emergency PPKM")</f>
        <v>Khofifah to advance also to people who have no interest to always at home during Emergency PPKM</v>
      </c>
    </row>
    <row r="2153" ht="15.75" customHeight="1">
      <c r="A2153" s="2">
        <v>2152.0</v>
      </c>
      <c r="B2153" s="5" t="s">
        <v>3913</v>
      </c>
      <c r="C2153" s="6">
        <v>1.0</v>
      </c>
      <c r="D2153" s="7" t="s">
        <v>3913</v>
      </c>
      <c r="E2153" s="8" t="str">
        <f>IFERROR(__xludf.DUMMYFUNCTION("googletranslate(D2153,""id"",""en"")"),"Already the intention of the heart wants to watch Black Widow, instead PPKM")</f>
        <v>Already the intention of the heart wants to watch Black Widow, instead PPKM</v>
      </c>
    </row>
    <row r="2154" ht="15.75" customHeight="1">
      <c r="A2154" s="2">
        <v>2153.0</v>
      </c>
      <c r="B2154" s="5" t="s">
        <v>3914</v>
      </c>
      <c r="C2154" s="6">
        <v>2.0</v>
      </c>
      <c r="D2154" s="7" t="s">
        <v>3914</v>
      </c>
      <c r="E2154" s="8" t="str">
        <f>IFERROR(__xludf.DUMMYFUNCTION("googletranslate(D2154,""id"",""en"")"),"Morning Yall, PPKM Delicious Play What Game Yes")</f>
        <v>Morning Yall, PPKM Delicious Play What Game Yes</v>
      </c>
    </row>
    <row r="2155" ht="15.75" customHeight="1">
      <c r="A2155" s="2">
        <v>2154.0</v>
      </c>
      <c r="B2155" s="5" t="s">
        <v>3915</v>
      </c>
      <c r="C2155" s="6">
        <v>2.0</v>
      </c>
      <c r="D2155" s="7" t="s">
        <v>3916</v>
      </c>
      <c r="E2155" s="8" t="str">
        <f>IFERROR(__xludf.DUMMYFUNCTION("googletranslate(D2155,""id"",""en"")"),"- Wait for the cinema Open after PPKM- Disney + Premier Access- This last option you know")</f>
        <v>- Wait for the cinema Open after PPKM- Disney + Premier Access- This last option you know</v>
      </c>
    </row>
    <row r="2156" ht="15.75" customHeight="1">
      <c r="A2156" s="2">
        <v>2155.0</v>
      </c>
      <c r="B2156" s="5" t="s">
        <v>3917</v>
      </c>
      <c r="C2156" s="6">
        <v>1.0</v>
      </c>
      <c r="D2156" s="7" t="s">
        <v>3918</v>
      </c>
      <c r="E2156" s="8" t="str">
        <f>IFERROR(__xludf.DUMMYFUNCTION("googletranslate(D2156,""id"",""en"")"),"As a result of the road closed ... where a sense of Humanity PPKM")</f>
        <v>As a result of the road closed ... where a sense of Humanity PPKM</v>
      </c>
    </row>
    <row r="2157" ht="15.75" customHeight="1">
      <c r="A2157" s="2">
        <v>2156.0</v>
      </c>
      <c r="B2157" s="5" t="s">
        <v>3919</v>
      </c>
      <c r="C2157" s="6">
        <v>2.0</v>
      </c>
      <c r="D2157" s="7" t="s">
        <v>3920</v>
      </c>
      <c r="E2157" s="8" t="str">
        <f>IFERROR(__xludf.DUMMYFUNCTION("googletranslate(D2157,""id"",""en"")"),"PPKM: Never pedekatean then pass")</f>
        <v>PPKM: Never pedekatean then pass</v>
      </c>
    </row>
    <row r="2158" ht="15.75" customHeight="1">
      <c r="A2158" s="2">
        <v>2157.0</v>
      </c>
      <c r="B2158" s="5" t="s">
        <v>3921</v>
      </c>
      <c r="C2158" s="6">
        <v>2.0</v>
      </c>
      <c r="D2158" s="7" t="s">
        <v>3922</v>
      </c>
      <c r="E2158" s="8" t="str">
        <f>IFERROR(__xludf.DUMMYFUNCTION("googletranslate(D2158,""id"",""en"")"),"Remember when you join Twitter? I remember! want to enjoy inviting eating again ppkm eating indomie aje at home to enjoy it")</f>
        <v>Remember when you join Twitter? I remember! want to enjoy inviting eating again ppkm eating indomie aje at home to enjoy it</v>
      </c>
    </row>
    <row r="2159" ht="15.75" customHeight="1">
      <c r="A2159" s="2">
        <v>2158.0</v>
      </c>
      <c r="B2159" s="5" t="s">
        <v>3923</v>
      </c>
      <c r="C2159" s="6">
        <v>2.0</v>
      </c>
      <c r="D2159" s="7" t="s">
        <v>3924</v>
      </c>
      <c r="E2159" s="8" t="str">
        <f>IFERROR(__xludf.DUMMYFUNCTION("googletranslate(D2159,""id"",""en"")"),"After PSBB (ever sequence tipped dispersal) now becomes PPKM (never attention then disappears)")</f>
        <v>After PSBB (ever sequence tipped dispersal) now becomes PPKM (never attention then disappears)</v>
      </c>
    </row>
    <row r="2160" ht="15.75" customHeight="1">
      <c r="A2160" s="2">
        <v>2159.0</v>
      </c>
      <c r="B2160" s="5" t="s">
        <v>3925</v>
      </c>
      <c r="C2160" s="6">
        <v>1.0</v>
      </c>
      <c r="D2160" s="9" t="s">
        <v>3925</v>
      </c>
      <c r="E2160" s="8" t="str">
        <f>IFERROR(__xludf.DUMMYFUNCTION("googletranslate(D2160,""id"",""en"")"),"The emergency PPKM policy by the Minister of Transportation was not pro humanity, told all modes of transportation to refuse to take care patients to meet doctors for treatment. This is a characteristic of communist states")</f>
        <v>The emergency PPKM policy by the Minister of Transportation was not pro humanity, told all modes of transportation to refuse to take care patients to meet doctors for treatment. This is a characteristic of communist states</v>
      </c>
    </row>
    <row r="2161" ht="15.75" customHeight="1">
      <c r="A2161" s="2">
        <v>2160.0</v>
      </c>
      <c r="B2161" s="5" t="s">
        <v>3926</v>
      </c>
      <c r="C2161" s="6">
        <v>1.0</v>
      </c>
      <c r="D2161" s="9" t="s">
        <v>3927</v>
      </c>
      <c r="E2161" s="8" t="str">
        <f>IFERROR(__xludf.DUMMYFUNCTION("googletranslate(D2161,""id"",""en"")"),"Problem is the behavior of people who do not want to obey restrictions and stay at home ... the government also does not want to be PPKM, do not want to be Lockdown. But our society is DABLEG.Gak can be banned from going home. Not guarding the distance. D"&amp;"on't use a mask, don't even believe Covid")</f>
        <v>Problem is the behavior of people who do not want to obey restrictions and stay at home ... the government also does not want to be PPKM, do not want to be Lockdown. But our society is DABLEG.Gak can be banned from going home. Not guarding the distance. Don't use a mask, don't even believe Covid</v>
      </c>
    </row>
    <row r="2162" ht="15.75" customHeight="1">
      <c r="A2162" s="2">
        <v>2161.0</v>
      </c>
      <c r="B2162" s="5" t="s">
        <v>3928</v>
      </c>
      <c r="C2162" s="6">
        <v>1.0</v>
      </c>
      <c r="D2162" s="9" t="s">
        <v>3929</v>
      </c>
      <c r="E2162" s="8" t="str">
        <f>IFERROR(__xludf.DUMMYFUNCTION("googletranslate(D2162,""id"",""en"")"),"It's already hanging out when the PPKM is added to the apple, instead of the apple but instead hanging out. The violation of Dobel2.")</f>
        <v>It's already hanging out when the PPKM is added to the apple, instead of the apple but instead hanging out. The violation of Dobel2.</v>
      </c>
    </row>
    <row r="2163" ht="15.75" customHeight="1">
      <c r="A2163" s="2">
        <v>2162.0</v>
      </c>
      <c r="B2163" s="5" t="s">
        <v>3930</v>
      </c>
      <c r="C2163" s="6">
        <v>2.0</v>
      </c>
      <c r="D2163" s="7" t="s">
        <v>3931</v>
      </c>
      <c r="E2163" s="8" t="str">
        <f>IFERROR(__xludf.DUMMYFUNCTION("googletranslate(D2163,""id"",""en"")"),"Again PPKM (sir ... sir how come it's alone) ... continue")</f>
        <v>Again PPKM (sir ... sir how come it's alone) ... continue</v>
      </c>
    </row>
    <row r="2164" ht="15.75" customHeight="1">
      <c r="A2164" s="2">
        <v>2163.0</v>
      </c>
      <c r="B2164" s="5" t="s">
        <v>3932</v>
      </c>
      <c r="C2164" s="6">
        <v>2.0</v>
      </c>
      <c r="D2164" s="7" t="s">
        <v>3933</v>
      </c>
      <c r="E2164" s="8" t="str">
        <f>IFERROR(__xludf.DUMMYFUNCTION("googletranslate(D2164,""id"",""en"")"),"PPKM, when I want to strike")</f>
        <v>PPKM, when I want to strike</v>
      </c>
    </row>
    <row r="2165" ht="15.75" customHeight="1">
      <c r="A2165" s="2">
        <v>2164.0</v>
      </c>
      <c r="B2165" s="5" t="s">
        <v>3934</v>
      </c>
      <c r="C2165" s="6">
        <v>2.0</v>
      </c>
      <c r="D2165" s="7" t="s">
        <v>3934</v>
      </c>
      <c r="E2165" s="8" t="str">
        <f>IFERROR(__xludf.DUMMYFUNCTION("googletranslate(D2165,""id"",""en"")"),"Ppkm slowly you murtad")</f>
        <v>Ppkm slowly you murtad</v>
      </c>
    </row>
    <row r="2166" ht="15.75" customHeight="1">
      <c r="A2166" s="2">
        <v>2165.0</v>
      </c>
      <c r="B2166" s="5" t="s">
        <v>3935</v>
      </c>
      <c r="C2166" s="6">
        <v>2.0</v>
      </c>
      <c r="D2166" s="7" t="s">
        <v>3936</v>
      </c>
      <c r="E2166" s="8" t="str">
        <f>IFERROR(__xludf.DUMMYFUNCTION("googletranslate(D2166,""id"",""en"")"),". Because you want to go home because there is a marriage sodara mo, it's far from buying a train ticket. Then there is an emergency ppkm that requires the trip using a vaccine, it's just thinking, the vaccine is just a vaccine at coincidence of the info "&amp;"can be there")</f>
        <v>. Because you want to go home because there is a marriage sodara mo, it's far from buying a train ticket. Then there is an emergency ppkm that requires the trip using a vaccine, it's just thinking, the vaccine is just a vaccine at coincidence of the info can be there</v>
      </c>
    </row>
    <row r="2167" ht="15.75" customHeight="1">
      <c r="A2167" s="2">
        <v>2166.0</v>
      </c>
      <c r="B2167" s="5" t="s">
        <v>3937</v>
      </c>
      <c r="C2167" s="6">
        <v>1.0</v>
      </c>
      <c r="D2167" s="9" t="s">
        <v>3938</v>
      </c>
      <c r="E2167" s="8" t="str">
        <f>IFERROR(__xludf.DUMMYFUNCTION("googletranslate(D2167,""id"",""en"")"),"One of them himself skipped apples but instead hanging out. Hang out at PPKM clock again")</f>
        <v>One of them himself skipped apples but instead hanging out. Hang out at PPKM clock again</v>
      </c>
    </row>
    <row r="2168" ht="15.75" customHeight="1">
      <c r="A2168" s="2">
        <v>2167.0</v>
      </c>
      <c r="B2168" s="5" t="s">
        <v>3939</v>
      </c>
      <c r="C2168" s="6">
        <v>1.0</v>
      </c>
      <c r="D2168" s="9" t="s">
        <v>3940</v>
      </c>
      <c r="E2168" s="8" t="str">
        <f>IFERROR(__xludf.DUMMYFUNCTION("googletranslate(D2168,""id"",""en"")"),"hbd I also have the glasses I cut where the optical ppkm is a dog ttup")</f>
        <v>hbd I also have the glasses I cut where the optical ppkm is a dog ttup</v>
      </c>
    </row>
    <row r="2169" ht="15.75" customHeight="1">
      <c r="A2169" s="2">
        <v>2168.0</v>
      </c>
      <c r="B2169" s="5" t="s">
        <v>3941</v>
      </c>
      <c r="C2169" s="6">
        <v>2.0</v>
      </c>
      <c r="D2169" s="9" t="s">
        <v>3942</v>
      </c>
      <c r="E2169" s="8" t="str">
        <f>IFERROR(__xludf.DUMMYFUNCTION("googletranslate(D2169,""id"",""en"")"),"Last night I dreamed of SME friends first to come to the house to make a reunion. Actually I'm as-was still PPKM, but it's just a trobos. The program is on a rich home page to watch photos &amp; amp; Video, Trz previously ate at rooftop.")</f>
        <v>Last night I dreamed of SME friends first to come to the house to make a reunion. Actually I'm as-was still PPKM, but it's just a trobos. The program is on a rich home page to watch photos &amp; amp; Video, Trz previously ate at rooftop.</v>
      </c>
    </row>
    <row r="2170" ht="15.75" customHeight="1">
      <c r="A2170" s="2">
        <v>2169.0</v>
      </c>
      <c r="B2170" s="5" t="s">
        <v>3943</v>
      </c>
      <c r="C2170" s="6">
        <v>1.0</v>
      </c>
      <c r="D2170" s="9" t="s">
        <v>3944</v>
      </c>
      <c r="E2170" s="8" t="str">
        <f>IFERROR(__xludf.DUMMYFUNCTION("googletranslate(D2170,""id"",""en"")"),"Kira2 kimak2 will get any article? Article PPKM, Article Attack of Apparatus, Article Moreover, Apparently. Pak Pol, please don't use the legal system, bro, it can be like it, the habit of creature is like if it's left ...")</f>
        <v>Kira2 kimak2 will get any article? Article PPKM, Article Attack of Apparatus, Article Moreover, Apparently. Pak Pol, please don't use the legal system, bro, it can be like it, the habit of creature is like if it's left ...</v>
      </c>
    </row>
    <row r="2171" ht="15.75" customHeight="1">
      <c r="A2171" s="2">
        <v>2170.0</v>
      </c>
      <c r="B2171" s="5" t="s">
        <v>3945</v>
      </c>
      <c r="C2171" s="6">
        <v>2.0</v>
      </c>
      <c r="D2171" s="7" t="s">
        <v>3946</v>
      </c>
      <c r="E2171" s="8" t="str">
        <f>IFERROR(__xludf.DUMMYFUNCTION("googletranslate(D2171,""id"",""en"")"),"STLH PPKM Cusss Borong in Buaran Wkwk")</f>
        <v>STLH PPKM Cusss Borong in Buaran Wkwk</v>
      </c>
    </row>
    <row r="2172" ht="15.75" customHeight="1">
      <c r="A2172" s="2">
        <v>2171.0</v>
      </c>
      <c r="B2172" s="5" t="s">
        <v>3947</v>
      </c>
      <c r="C2172" s="6">
        <v>1.0</v>
      </c>
      <c r="D2172" s="9" t="s">
        <v>3948</v>
      </c>
      <c r="E2172" s="8" t="str">
        <f>IFERROR(__xludf.DUMMYFUNCTION("googletranslate(D2172,""id"",""en"")"),"Because they were hanging out when the PPKM was added to the apple of apple, instead of the apple but instead hanging out. The violation of Dobel2.")</f>
        <v>Because they were hanging out when the PPKM was added to the apple of apple, instead of the apple but instead hanging out. The violation of Dobel2.</v>
      </c>
    </row>
    <row r="2173" ht="15.75" customHeight="1">
      <c r="A2173" s="2">
        <v>2172.0</v>
      </c>
      <c r="B2173" s="5" t="s">
        <v>3949</v>
      </c>
      <c r="C2173" s="6">
        <v>1.0</v>
      </c>
      <c r="D2173" s="7" t="s">
        <v>3950</v>
      </c>
      <c r="E2173" s="8" t="str">
        <f>IFERROR(__xludf.DUMMYFUNCTION("googletranslate(D2173,""id"",""en"")"),"He taulah taulah ... it's still a resident, la ppkm.aja screaming can't be mkn")</f>
        <v>He taulah taulah ... it's still a resident, la ppkm.aja screaming can't be mkn</v>
      </c>
    </row>
    <row r="2174" ht="15.75" customHeight="1">
      <c r="A2174" s="2">
        <v>2173.0</v>
      </c>
      <c r="B2174" s="5" t="s">
        <v>3951</v>
      </c>
      <c r="C2174" s="6">
        <v>3.0</v>
      </c>
      <c r="D2174" s="7" t="s">
        <v>3952</v>
      </c>
      <c r="E2174" s="8" t="str">
        <f>IFERROR(__xludf.DUMMYFUNCTION("googletranslate(D2174,""id"",""en"")"),"Firm action of drug mafia and alkes. Come on the PPKM discipline")</f>
        <v>Firm action of drug mafia and alkes. Come on the PPKM discipline</v>
      </c>
    </row>
    <row r="2175" ht="15.75" customHeight="1">
      <c r="A2175" s="2">
        <v>2174.0</v>
      </c>
      <c r="B2175" s="5" t="s">
        <v>3953</v>
      </c>
      <c r="C2175" s="6">
        <v>2.0</v>
      </c>
      <c r="D2175" s="9" t="s">
        <v>3954</v>
      </c>
      <c r="E2175" s="8" t="str">
        <f>IFERROR(__xludf.DUMMYFUNCTION("googletranslate(D2175,""id"",""en"")"),"Satan be like: This is my very JobDesc at PPKM.")</f>
        <v>Satan be like: This is my very JobDesc at PPKM.</v>
      </c>
    </row>
    <row r="2176" ht="15.75" customHeight="1">
      <c r="A2176" s="2">
        <v>2175.0</v>
      </c>
      <c r="B2176" s="5" t="s">
        <v>3955</v>
      </c>
      <c r="C2176" s="6">
        <v>1.0</v>
      </c>
      <c r="D2176" s="7" t="s">
        <v>3956</v>
      </c>
      <c r="E2176" s="8" t="str">
        <f>IFERROR(__xludf.DUMMYFUNCTION("googletranslate(D2176,""id"",""en"")"),"WooIIII hero ppkm, ngibul artisan not dtangkepin?")</f>
        <v>WooIIII hero ppkm, ngibul artisan not dtangkepin?</v>
      </c>
    </row>
    <row r="2177" ht="15.75" customHeight="1">
      <c r="A2177" s="2">
        <v>2176.0</v>
      </c>
      <c r="B2177" s="5" t="s">
        <v>3957</v>
      </c>
      <c r="C2177" s="6">
        <v>3.0</v>
      </c>
      <c r="D2177" s="7" t="s">
        <v>3958</v>
      </c>
      <c r="E2177" s="8" t="str">
        <f>IFERROR(__xludf.DUMMYFUNCTION("googletranslate(D2177,""id"",""en"")"),"Remember! After the vaccine keeps maintaining a health protocol. Come on the PPKM discipline")</f>
        <v>Remember! After the vaccine keeps maintaining a health protocol. Come on the PPKM discipline</v>
      </c>
    </row>
    <row r="2178" ht="15.75" customHeight="1">
      <c r="A2178" s="2">
        <v>2177.0</v>
      </c>
      <c r="B2178" s="5" t="s">
        <v>3959</v>
      </c>
      <c r="C2178" s="6">
        <v>2.0</v>
      </c>
      <c r="D2178" s="7" t="s">
        <v>3959</v>
      </c>
      <c r="E2178" s="8" t="str">
        <f>IFERROR(__xludf.DUMMYFUNCTION("googletranslate(D2178,""id"",""en"")"),"PPKM = Increase go to the mosque.")</f>
        <v>PPKM = Increase go to the mosque.</v>
      </c>
    </row>
    <row r="2179" ht="15.75" customHeight="1">
      <c r="A2179" s="2">
        <v>2178.0</v>
      </c>
      <c r="B2179" s="5" t="s">
        <v>3960</v>
      </c>
      <c r="C2179" s="6">
        <v>2.0</v>
      </c>
      <c r="D2179" s="7" t="s">
        <v>3960</v>
      </c>
      <c r="E2179" s="8" t="str">
        <f>IFERROR(__xludf.DUMMYFUNCTION("googletranslate(D2179,""id"",""en"")"),"It's the turn to go to the time org just ppkm aduduuu")</f>
        <v>It's the turn to go to the time org just ppkm aduduuu</v>
      </c>
    </row>
    <row r="2180" ht="15.75" customHeight="1">
      <c r="A2180" s="2">
        <v>2179.0</v>
      </c>
      <c r="B2180" s="5" t="s">
        <v>3961</v>
      </c>
      <c r="C2180" s="6">
        <v>1.0</v>
      </c>
      <c r="D2180" s="7" t="s">
        <v>3962</v>
      </c>
      <c r="E2180" s="8" t="str">
        <f>IFERROR(__xludf.DUMMYFUNCTION("googletranslate(D2180,""id"",""en"")"),"They were sentenced because they didn't participate in the apple, but instead hang out. How come it's just hanging out on the clock above the PPKM too because it doesn't take the apple")</f>
        <v>They were sentenced because they didn't participate in the apple, but instead hang out. How come it's just hanging out on the clock above the PPKM too because it doesn't take the apple</v>
      </c>
    </row>
    <row r="2181" ht="15.75" customHeight="1">
      <c r="A2181" s="2">
        <v>2180.0</v>
      </c>
      <c r="B2181" s="5" t="s">
        <v>3963</v>
      </c>
      <c r="C2181" s="6">
        <v>2.0</v>
      </c>
      <c r="D2181" s="7" t="s">
        <v>3964</v>
      </c>
      <c r="E2181" s="8" t="str">
        <f>IFERROR(__xludf.DUMMYFUNCTION("googletranslate(D2181,""id"",""en"")"),"My version of PPKM: Have a boyfriend then disappeared")</f>
        <v>My version of PPKM: Have a boyfriend then disappeared</v>
      </c>
    </row>
    <row r="2182" ht="15.75" customHeight="1">
      <c r="A2182" s="2">
        <v>2181.0</v>
      </c>
      <c r="B2182" s="5" t="s">
        <v>3965</v>
      </c>
      <c r="C2182" s="6">
        <v>3.0</v>
      </c>
      <c r="D2182" s="7" t="s">
        <v>3966</v>
      </c>
      <c r="E2182" s="8" t="str">
        <f>IFERROR(__xludf.DUMMYFUNCTION("googletranslate(D2182,""id"",""en"")"),"Emergency PPKM Help Press Covid-19 Case Increase")</f>
        <v>Emergency PPKM Help Press Covid-19 Case Increase</v>
      </c>
    </row>
    <row r="2183" ht="15.75" customHeight="1">
      <c r="A2183" s="2">
        <v>2182.0</v>
      </c>
      <c r="B2183" s="5" t="s">
        <v>3967</v>
      </c>
      <c r="C2183" s="6">
        <v>1.0</v>
      </c>
      <c r="D2183" s="9" t="s">
        <v>3967</v>
      </c>
      <c r="E2183" s="8" t="str">
        <f>IFERROR(__xludf.DUMMYFUNCTION("googletranslate(D2183,""id"",""en"")"),"crush me, yeah, yeah, I turn off, my friends give me well, I'm good, how come you don't hang out")</f>
        <v>crush me, yeah, yeah, I turn off, my friends give me well, I'm good, how come you don't hang out</v>
      </c>
    </row>
    <row r="2184" ht="15.75" customHeight="1">
      <c r="A2184" s="2">
        <v>2183.0</v>
      </c>
      <c r="B2184" s="5" t="s">
        <v>3968</v>
      </c>
      <c r="C2184" s="6">
        <v>1.0</v>
      </c>
      <c r="D2184" s="7" t="s">
        <v>3969</v>
      </c>
      <c r="E2184" s="8" t="str">
        <f>IFERROR(__xludf.DUMMYFUNCTION("googletranslate(D2184,""id"",""en"")"),"The intention would be a vaccine but because PPKM became lazy")</f>
        <v>The intention would be a vaccine but because PPKM became lazy</v>
      </c>
    </row>
    <row r="2185" ht="15.75" customHeight="1">
      <c r="A2185" s="2">
        <v>2184.0</v>
      </c>
      <c r="B2185" s="5" t="s">
        <v>3970</v>
      </c>
      <c r="C2185" s="6">
        <v>1.0</v>
      </c>
      <c r="D2185" s="9" t="s">
        <v>3971</v>
      </c>
      <c r="E2185" s="8" t="str">
        <f>IFERROR(__xludf.DUMMYFUNCTION("googletranslate(D2185,""id"",""en"")"),"But the government does not want to bear the life of the people while in Lockdown. So use PSBB, PPKM etc.")</f>
        <v>But the government does not want to bear the life of the people while in Lockdown. So use PSBB, PPKM etc.</v>
      </c>
    </row>
    <row r="2186" ht="15.75" customHeight="1">
      <c r="A2186" s="2">
        <v>2185.0</v>
      </c>
      <c r="B2186" s="5" t="s">
        <v>3972</v>
      </c>
      <c r="C2186" s="6">
        <v>3.0</v>
      </c>
      <c r="D2186" s="9" t="s">
        <v>3973</v>
      </c>
      <c r="E2186" s="8" t="str">
        <f>IFERROR(__xludf.DUMMYFUNCTION("googletranslate(D2186,""id"",""en"")"),"Hi difa friend ... when this PPKM, Difa presents a telecasting facility for Difa's best friend who requires consultation just can't come to the clinic to still be able to accommodate complaints whose friend Difa feels ...")</f>
        <v>Hi difa friend ... when this PPKM, Difa presents a telecasting facility for Difa's best friend who requires consultation just can't come to the clinic to still be able to accommodate complaints whose friend Difa feels ...</v>
      </c>
    </row>
    <row r="2187" ht="15.75" customHeight="1">
      <c r="A2187" s="2">
        <v>2186.0</v>
      </c>
      <c r="B2187" s="5" t="s">
        <v>3974</v>
      </c>
      <c r="C2187" s="6">
        <v>2.0</v>
      </c>
      <c r="D2187" s="7" t="s">
        <v>3975</v>
      </c>
      <c r="E2187" s="8" t="str">
        <f>IFERROR(__xludf.DUMMYFUNCTION("googletranslate(D2187,""id"",""en"")"),"Then Abis PPKM is accompanited ...")</f>
        <v>Then Abis PPKM is accompanited ...</v>
      </c>
    </row>
    <row r="2188" ht="15.75" customHeight="1">
      <c r="A2188" s="2">
        <v>2187.0</v>
      </c>
      <c r="B2188" s="5" t="s">
        <v>3976</v>
      </c>
      <c r="C2188" s="6">
        <v>2.0</v>
      </c>
      <c r="D2188" s="7" t="s">
        <v>3976</v>
      </c>
      <c r="E2188" s="8" t="str">
        <f>IFERROR(__xludf.DUMMYFUNCTION("googletranslate(D2188,""id"",""en"")"),"PPKM: never believed then regret")</f>
        <v>PPKM: never believed then regret</v>
      </c>
    </row>
    <row r="2189" ht="15.75" customHeight="1">
      <c r="A2189" s="2">
        <v>2188.0</v>
      </c>
      <c r="B2189" s="5" t="s">
        <v>3977</v>
      </c>
      <c r="C2189" s="6">
        <v>2.0</v>
      </c>
      <c r="D2189" s="9" t="s">
        <v>3978</v>
      </c>
      <c r="E2189" s="8" t="str">
        <f>IFERROR(__xludf.DUMMYFUNCTION("googletranslate(D2189,""id"",""en"")"),"To prevent Covid-19 infection increasingly widespread, the government sets an emergency PPKM in an area outside Java Bali which will apply from July. What should be noticed so that the application takes effect effectively? [Talk] Epidemiology Experts Univ"&amp;". Hasanuddin, Prof. Ridwan Amiruddin")</f>
        <v>To prevent Covid-19 infection increasingly widespread, the government sets an emergency PPKM in an area outside Java Bali which will apply from July. What should be noticed so that the application takes effect effectively? [Talk] Epidemiology Experts Univ. Hasanuddin, Prof. Ridwan Amiruddin</v>
      </c>
    </row>
    <row r="2190" ht="15.75" customHeight="1">
      <c r="A2190" s="2">
        <v>2189.0</v>
      </c>
      <c r="B2190" s="5" t="s">
        <v>3979</v>
      </c>
      <c r="C2190" s="6">
        <v>2.0</v>
      </c>
      <c r="D2190" s="7" t="s">
        <v>3980</v>
      </c>
      <c r="E2190" s="8" t="str">
        <f>IFERROR(__xludf.DUMMYFUNCTION("googletranslate(D2190,""id"",""en"")"),"What have you abbreviated PPKM? 1) multiply going to the mosque")</f>
        <v>What have you abbreviated PPKM? 1) multiply going to the mosque</v>
      </c>
    </row>
    <row r="2191" ht="15.75" customHeight="1">
      <c r="A2191" s="2">
        <v>2190.0</v>
      </c>
      <c r="B2191" s="5" t="s">
        <v>3981</v>
      </c>
      <c r="C2191" s="6">
        <v>2.0</v>
      </c>
      <c r="D2191" s="10" t="s">
        <v>3982</v>
      </c>
      <c r="E2191" s="8" t="str">
        <f>IFERROR(__xludf.DUMMYFUNCTION("googletranslate(D2191,""id"",""en"")"),"PPKM Boss")</f>
        <v>PPKM Boss</v>
      </c>
    </row>
    <row r="2192" ht="15.75" customHeight="1">
      <c r="A2192" s="2">
        <v>2191.0</v>
      </c>
      <c r="B2192" s="5" t="s">
        <v>3983</v>
      </c>
      <c r="C2192" s="6">
        <v>2.0</v>
      </c>
      <c r="D2192" s="7" t="s">
        <v>3984</v>
      </c>
      <c r="E2192" s="8" t="str">
        <f>IFERROR(__xludf.DUMMYFUNCTION("googletranslate(D2192,""id"",""en"")"),"Until see if it's not there? What followed the PPKM so")</f>
        <v>Until see if it's not there? What followed the PPKM so</v>
      </c>
    </row>
    <row r="2193" ht="15.75" customHeight="1">
      <c r="A2193" s="2">
        <v>2192.0</v>
      </c>
      <c r="B2193" s="5" t="s">
        <v>3985</v>
      </c>
      <c r="C2193" s="6">
        <v>1.0</v>
      </c>
      <c r="D2193" s="7" t="s">
        <v>3986</v>
      </c>
      <c r="E2193" s="8" t="str">
        <f>IFERROR(__xludf.DUMMYFUNCTION("googletranslate(D2193,""id"",""en"")"),"""For me, the emergency PPKM is a kind of"" Lip Service "", the government's face that seems to care about the safety of citizens"". : //")</f>
        <v>"For me, the emergency PPKM is a kind of" Lip Service ", the government's face that seems to care about the safety of citizens". : //</v>
      </c>
    </row>
    <row r="2194" ht="15.75" customHeight="1">
      <c r="A2194" s="2">
        <v>2193.0</v>
      </c>
      <c r="B2194" s="5" t="s">
        <v>3987</v>
      </c>
      <c r="C2194" s="6">
        <v>1.0</v>
      </c>
      <c r="D2194" s="7" t="s">
        <v>3988</v>
      </c>
      <c r="E2194" s="8" t="str">
        <f>IFERROR(__xludf.DUMMYFUNCTION("googletranslate(D2194,""id"",""en"")"),"Hopefully the PPKM should not be extended please, Amit2 I'm sad to see my friends laid off")</f>
        <v>Hopefully the PPKM should not be extended please, Amit2 I'm sad to see my friends laid off</v>
      </c>
    </row>
    <row r="2195" ht="15.75" customHeight="1">
      <c r="A2195" s="2">
        <v>2194.0</v>
      </c>
      <c r="B2195" s="5" t="s">
        <v>3989</v>
      </c>
      <c r="C2195" s="6">
        <v>1.0</v>
      </c>
      <c r="D2195" s="7" t="s">
        <v>3990</v>
      </c>
      <c r="E2195" s="8" t="str">
        <f>IFERROR(__xludf.DUMMYFUNCTION("googletranslate(D2195,""id"",""en"")"),"Community &amp; amp; PKK mother ... Stay alert, be careful ... so volunteer covid19")</f>
        <v>Community &amp; amp; PKK mother ... Stay alert, be careful ... so volunteer covid19</v>
      </c>
    </row>
    <row r="2196" ht="15.75" customHeight="1">
      <c r="A2196" s="2">
        <v>2195.0</v>
      </c>
      <c r="B2196" s="5" t="s">
        <v>3991</v>
      </c>
      <c r="C2196" s="6">
        <v>1.0</v>
      </c>
      <c r="D2196" s="7" t="s">
        <v>3992</v>
      </c>
      <c r="E2196" s="8" t="str">
        <f>IFERROR(__xludf.DUMMYFUNCTION("googletranslate(D2196,""id"",""en"")"),"Our slow PPKmpanlan is poor")</f>
        <v>Our slow PPKmpanlan is poor</v>
      </c>
    </row>
    <row r="2197" ht="15.75" customHeight="1">
      <c r="A2197" s="2">
        <v>2196.0</v>
      </c>
      <c r="B2197" s="5" t="s">
        <v>3993</v>
      </c>
      <c r="C2197" s="6">
        <v>2.0</v>
      </c>
      <c r="D2197" s="7" t="s">
        <v>3993</v>
      </c>
      <c r="E2197" s="8" t="str">
        <f>IFERROR(__xludf.DUMMYFUNCTION("googletranslate(D2197,""id"",""en"")"),"Ci33333 PSBB Taun yesterday with the former, PPKM Sekg alone hahaha")</f>
        <v>Ci33333 PSBB Taun yesterday with the former, PPKM Sekg alone hahaha</v>
      </c>
    </row>
    <row r="2198" ht="15.75" customHeight="1">
      <c r="A2198" s="2">
        <v>2197.0</v>
      </c>
      <c r="B2198" s="5" t="s">
        <v>3994</v>
      </c>
      <c r="C2198" s="6">
        <v>2.0</v>
      </c>
      <c r="D2198" s="9" t="s">
        <v>3995</v>
      </c>
      <c r="E2198" s="8" t="str">
        <f>IFERROR(__xludf.DUMMYFUNCTION("googletranslate(D2198,""id"",""en"")"),"If the emergency ppkm in Jogja is rich in this")</f>
        <v>If the emergency ppkm in Jogja is rich in this</v>
      </c>
    </row>
    <row r="2199" ht="15.75" customHeight="1">
      <c r="A2199" s="2">
        <v>2198.0</v>
      </c>
      <c r="B2199" s="5" t="s">
        <v>3996</v>
      </c>
      <c r="C2199" s="6">
        <v>2.0</v>
      </c>
      <c r="D2199" s="7" t="s">
        <v>3996</v>
      </c>
      <c r="E2199" s="8" t="str">
        <f>IFERROR(__xludf.DUMMYFUNCTION("googletranslate(D2199,""id"",""en"")"),"Do you want to ask, Gini Zoo's PPKM is opened?")</f>
        <v>Do you want to ask, Gini Zoo's PPKM is opened?</v>
      </c>
    </row>
    <row r="2200" ht="15.75" customHeight="1">
      <c r="A2200" s="2">
        <v>2199.0</v>
      </c>
      <c r="B2200" s="5" t="s">
        <v>3997</v>
      </c>
      <c r="C2200" s="6">
        <v>1.0</v>
      </c>
      <c r="D2200" s="7" t="s">
        <v>3998</v>
      </c>
      <c r="E2200" s="8" t="str">
        <f>IFERROR(__xludf.DUMMYFUNCTION("googletranslate(D2200,""id"",""en"")"),"really ppkm, I'm upset from semalem")</f>
        <v>really ppkm, I'm upset from semalem</v>
      </c>
    </row>
    <row r="2201" ht="15.75" customHeight="1">
      <c r="A2201" s="2">
        <v>2200.0</v>
      </c>
      <c r="B2201" s="5" t="s">
        <v>3999</v>
      </c>
      <c r="C2201" s="6">
        <v>1.0</v>
      </c>
      <c r="D2201" s="7" t="s">
        <v>4000</v>
      </c>
      <c r="E2201" s="8" t="str">
        <f>IFERROR(__xludf.DUMMYFUNCTION("googletranslate(D2201,""id"",""en"")"),"D8 ppkm has started crazy")</f>
        <v>D8 ppkm has started crazy</v>
      </c>
    </row>
    <row r="2202" ht="15.75" customHeight="1">
      <c r="A2202" s="2">
        <v>2201.0</v>
      </c>
      <c r="B2202" s="5" t="s">
        <v>4001</v>
      </c>
      <c r="C2202" s="6">
        <v>2.0</v>
      </c>
      <c r="D2202" s="7" t="s">
        <v>4002</v>
      </c>
      <c r="E2202" s="8" t="str">
        <f>IFERROR(__xludf.DUMMYFUNCTION("googletranslate(D2202,""id"",""en"")"),"Hahaha. PPKM Cuy.")</f>
        <v>Hahaha. PPKM Cuy.</v>
      </c>
    </row>
    <row r="2203" ht="15.75" customHeight="1">
      <c r="A2203" s="2">
        <v>2202.0</v>
      </c>
      <c r="B2203" s="5" t="s">
        <v>4003</v>
      </c>
      <c r="C2203" s="6">
        <v>2.0</v>
      </c>
      <c r="D2203" s="7" t="s">
        <v>4004</v>
      </c>
      <c r="E2203" s="8" t="str">
        <f>IFERROR(__xludf.DUMMYFUNCTION("googletranslate(D2203,""id"",""en"")"),"Serious grgr ppkm this wkwkw makasihh julieiee")</f>
        <v>Serious grgr ppkm this wkwkw makasihh julieiee</v>
      </c>
    </row>
    <row r="2204" ht="15.75" customHeight="1">
      <c r="A2204" s="2">
        <v>2203.0</v>
      </c>
      <c r="B2204" s="5" t="s">
        <v>4005</v>
      </c>
      <c r="C2204" s="6">
        <v>3.0</v>
      </c>
      <c r="D2204" s="7" t="s">
        <v>4006</v>
      </c>
      <c r="E2204" s="8" t="str">
        <f>IFERROR(__xludf.DUMMYFUNCTION("googletranslate(D2204,""id"",""en"")"),"Let's obey PPKM so that Covid-19 is resolved")</f>
        <v>Let's obey PPKM so that Covid-19 is resolved</v>
      </c>
    </row>
    <row r="2205" ht="15.75" customHeight="1">
      <c r="A2205" s="2">
        <v>2204.0</v>
      </c>
      <c r="B2205" s="5" t="s">
        <v>4007</v>
      </c>
      <c r="C2205" s="6">
        <v>1.0</v>
      </c>
      <c r="D2205" s="7" t="s">
        <v>4008</v>
      </c>
      <c r="E2205" s="8" t="str">
        <f>IFERROR(__xludf.DUMMYFUNCTION("googletranslate(D2205,""id"",""en"")"),"Gramed Opening Cilegon seems to be postponed because of PPKM. Even though it should be launched today")</f>
        <v>Gramed Opening Cilegon seems to be postponed because of PPKM. Even though it should be launched today</v>
      </c>
    </row>
    <row r="2206" ht="15.75" customHeight="1">
      <c r="A2206" s="2">
        <v>2205.0</v>
      </c>
      <c r="B2206" s="5" t="s">
        <v>4009</v>
      </c>
      <c r="C2206" s="6">
        <v>2.0</v>
      </c>
      <c r="D2206" s="7" t="s">
        <v>4010</v>
      </c>
      <c r="E2206" s="8" t="str">
        <f>IFERROR(__xludf.DUMMYFUNCTION("googletranslate(D2206,""id"",""en"")"),"What already. Safe in the streets of Sunda Bandung there are emergency PPKMs or not? Behind Balinese Bekasi Bekasi Happy Happy")</f>
        <v>What already. Safe in the streets of Sunda Bandung there are emergency PPKMs or not? Behind Balinese Bekasi Bekasi Happy Happy</v>
      </c>
    </row>
    <row r="2207" ht="15.75" customHeight="1">
      <c r="A2207" s="2">
        <v>2206.0</v>
      </c>
      <c r="B2207" s="5" t="s">
        <v>4011</v>
      </c>
      <c r="C2207" s="6">
        <v>3.0</v>
      </c>
      <c r="D2207" s="9" t="s">
        <v>4011</v>
      </c>
      <c r="E2207" s="8" t="str">
        <f>IFERROR(__xludf.DUMMYFUNCTION("googletranslate(D2207,""id"",""en"")"),"If based on observations, the traffic situation in the field has reduced vehicle volume compared to before the emergency PPKM, but still needs to be lowered again.")</f>
        <v>If based on observations, the traffic situation in the field has reduced vehicle volume compared to before the emergency PPKM, but still needs to be lowered again.</v>
      </c>
    </row>
    <row r="2208" ht="15.75" customHeight="1">
      <c r="A2208" s="2">
        <v>2207.0</v>
      </c>
      <c r="B2208" s="5" t="s">
        <v>4012</v>
      </c>
      <c r="C2208" s="6">
        <v>1.0</v>
      </c>
      <c r="D2208" s="9" t="s">
        <v>4013</v>
      </c>
      <c r="E2208" s="8" t="str">
        <f>IFERROR(__xludf.DUMMYFUNCTION("googletranslate(D2208,""id"",""en"")"),"The irony has been done, I see a lot of hanging out without the purpose of the emg if it's home at the house?")</f>
        <v>The irony has been done, I see a lot of hanging out without the purpose of the emg if it's home at the house?</v>
      </c>
    </row>
    <row r="2209" ht="15.75" customHeight="1">
      <c r="A2209" s="2">
        <v>2208.0</v>
      </c>
      <c r="B2209" s="5" t="s">
        <v>4014</v>
      </c>
      <c r="C2209" s="6">
        <v>1.0</v>
      </c>
      <c r="D2209" s="7" t="s">
        <v>4015</v>
      </c>
      <c r="E2209" s="8" t="str">
        <f>IFERROR(__xludf.DUMMYFUNCTION("googletranslate(D2209,""id"",""en"")"),"Yun you said the educated person, turned out to be less read too. The PPKM rule is not in the governor but the center authority. Read Yun.")</f>
        <v>Yun you said the educated person, turned out to be less read too. The PPKM rule is not in the governor but the center authority. Read Yun.</v>
      </c>
    </row>
    <row r="2210" ht="15.75" customHeight="1">
      <c r="A2210" s="2">
        <v>2209.0</v>
      </c>
      <c r="B2210" s="5" t="s">
        <v>4016</v>
      </c>
      <c r="C2210" s="6">
        <v>2.0</v>
      </c>
      <c r="D2210" s="7" t="s">
        <v>4017</v>
      </c>
      <c r="E2210" s="8" t="str">
        <f>IFERROR(__xludf.DUMMYFUNCTION("googletranslate(D2210,""id"",""en"")"),"I like ppkm in the morning of your morning")</f>
        <v>I like ppkm in the morning of your morning</v>
      </c>
    </row>
    <row r="2211" ht="15.75" customHeight="1">
      <c r="A2211" s="2">
        <v>2210.0</v>
      </c>
      <c r="B2211" s="5" t="s">
        <v>4018</v>
      </c>
      <c r="C2211" s="6">
        <v>1.0</v>
      </c>
      <c r="D2211" s="7" t="s">
        <v>4019</v>
      </c>
      <c r="E2211" s="8" t="str">
        <f>IFERROR(__xludf.DUMMYFUNCTION("googletranslate(D2211,""id"",""en"")"),"It's a matter of playing so it's really good for the weather, the weather is good, it's not good, so keep the opposite, just two ""it's okay, eh ppkm")</f>
        <v>It's a matter of playing so it's really good for the weather, the weather is good, it's not good, so keep the opposite, just two "it's okay, eh ppkm</v>
      </c>
    </row>
    <row r="2212" ht="15.75" customHeight="1">
      <c r="A2212" s="2">
        <v>2211.0</v>
      </c>
      <c r="B2212" s="5" t="s">
        <v>4020</v>
      </c>
      <c r="C2212" s="6">
        <v>3.0</v>
      </c>
      <c r="D2212" s="9" t="s">
        <v>4021</v>
      </c>
      <c r="E2212" s="8" t="str">
        <f>IFERROR(__xludf.DUMMYFUNCTION("googletranslate(D2212,""id"",""en"")"),"During the emergency PPKM, as much as possible we remain at home, if urging to leave the house, we must obey the applicable protocol. Our self-obeyed the government is patient and concerned also called the effort, sure this has passed.")</f>
        <v>During the emergency PPKM, as much as possible we remain at home, if urging to leave the house, we must obey the applicable protocol. Our self-obeyed the government is patient and concerned also called the effort, sure this has passed.</v>
      </c>
    </row>
    <row r="2213" ht="15.75" customHeight="1">
      <c r="A2213" s="2">
        <v>2212.0</v>
      </c>
      <c r="B2213" s="5" t="s">
        <v>4022</v>
      </c>
      <c r="C2213" s="6">
        <v>2.0</v>
      </c>
      <c r="D2213" s="7" t="s">
        <v>4023</v>
      </c>
      <c r="E2213" s="8" t="str">
        <f>IFERROR(__xludf.DUMMYFUNCTION("googletranslate(D2213,""id"",""en"")"),"finally there is a reading book ... yh even though the old novel I read again want to go to gramedddd but lg ppkm ... ok gpp for the sake of security together ya ga")</f>
        <v>finally there is a reading book ... yh even though the old novel I read again want to go to gramedddd but lg ppkm ... ok gpp for the sake of security together ya ga</v>
      </c>
    </row>
    <row r="2214" ht="15.75" customHeight="1">
      <c r="A2214" s="2">
        <v>2213.0</v>
      </c>
      <c r="B2214" s="5" t="s">
        <v>4024</v>
      </c>
      <c r="C2214" s="6">
        <v>2.0</v>
      </c>
      <c r="D2214" s="7" t="s">
        <v>4025</v>
      </c>
      <c r="E2214" s="8" t="str">
        <f>IFERROR(__xludf.DUMMYFUNCTION("googletranslate(D2214,""id"",""en"")"),"maaci you also smangatpkm ga ppkm ga ngefek the problem in the industrial jd industrial ttp entry full ga yang wfh samsek wkwk")</f>
        <v>maaci you also smangatpkm ga ppkm ga ngefek the problem in the industrial jd industrial ttp entry full ga yang wfh samsek wkwk</v>
      </c>
    </row>
    <row r="2215" ht="15.75" customHeight="1">
      <c r="A2215" s="2">
        <v>2214.0</v>
      </c>
      <c r="B2215" s="5" t="s">
        <v>4026</v>
      </c>
      <c r="C2215" s="6">
        <v>2.0</v>
      </c>
      <c r="D2215" s="7" t="s">
        <v>4027</v>
      </c>
      <c r="E2215" s="8" t="str">
        <f>IFERROR(__xludf.DUMMYFUNCTION("googletranslate(D2215,""id"",""en"")"),"It doesn't feel the day again PPKM is complete")</f>
        <v>It doesn't feel the day again PPKM is complete</v>
      </c>
    </row>
    <row r="2216" ht="15.75" customHeight="1">
      <c r="A2216" s="2">
        <v>2215.0</v>
      </c>
      <c r="B2216" s="5" t="s">
        <v>4028</v>
      </c>
      <c r="C2216" s="6">
        <v>2.0</v>
      </c>
      <c r="D2216" s="7" t="s">
        <v>4029</v>
      </c>
      <c r="E2216" s="8" t="str">
        <f>IFERROR(__xludf.DUMMYFUNCTION("googletranslate(D2216,""id"",""en"")"),"ppkm defender until you age")</f>
        <v>ppkm defender until you age</v>
      </c>
    </row>
    <row r="2217" ht="15.75" customHeight="1">
      <c r="A2217" s="2">
        <v>2216.0</v>
      </c>
      <c r="B2217" s="5" t="s">
        <v>4030</v>
      </c>
      <c r="C2217" s="6">
        <v>3.0</v>
      </c>
      <c r="D2217" s="7" t="s">
        <v>4031</v>
      </c>
      <c r="E2217" s="8" t="str">
        <f>IFERROR(__xludf.DUMMYFUNCTION("googletranslate(D2217,""id"",""en"")"),"..Yi gaes: social assistance will be given the government when emergency ppkm is: direct cash assistance, sembako bansos, PKH to BLT village funds and exercise cards.")</f>
        <v>..Yi gaes: social assistance will be given the government when emergency ppkm is: direct cash assistance, sembako bansos, PKH to BLT village funds and exercise cards.</v>
      </c>
    </row>
    <row r="2218" ht="15.75" customHeight="1">
      <c r="A2218" s="2">
        <v>2217.0</v>
      </c>
      <c r="B2218" s="5" t="s">
        <v>4032</v>
      </c>
      <c r="C2218" s="6">
        <v>3.0</v>
      </c>
      <c r="D2218" s="9" t="s">
        <v>4033</v>
      </c>
      <c r="E2218" s="8" t="str">
        <f>IFERROR(__xludf.DUMMYFUNCTION("googletranslate(D2218,""id"",""en"")"),"TLH decided to apply Emergency PPKM for $ Number $ July as an effort to reduce the surge in the positive case of Kovid-19 that occurred lately. Let's unite, care about each other n help each other. By cooperating, we can end this pandemic")</f>
        <v>TLH decided to apply Emergency PPKM for $ Number $ July as an effort to reduce the surge in the positive case of Kovid-19 that occurred lately. Let's unite, care about each other n help each other. By cooperating, we can end this pandemic</v>
      </c>
    </row>
    <row r="2219" ht="15.75" customHeight="1">
      <c r="A2219" s="2">
        <v>2218.0</v>
      </c>
      <c r="B2219" s="5" t="s">
        <v>4034</v>
      </c>
      <c r="C2219" s="6">
        <v>3.0</v>
      </c>
      <c r="D2219" s="9" t="s">
        <v>4035</v>
      </c>
      <c r="E2219" s="8" t="str">
        <f>IFERROR(__xludf.DUMMYFUNCTION("googletranslate(D2219,""id"",""en"")"),": // Most depressed with the implementation of this emergency PPKM is a poor group. Therefore, the government focuses on providing various assistance to the group.")</f>
        <v>: // Most depressed with the implementation of this emergency PPKM is a poor group. Therefore, the government focuses on providing various assistance to the group.</v>
      </c>
    </row>
    <row r="2220" ht="15.75" customHeight="1">
      <c r="A2220" s="2">
        <v>2219.0</v>
      </c>
      <c r="B2220" s="5" t="s">
        <v>4036</v>
      </c>
      <c r="C2220" s="6">
        <v>3.0</v>
      </c>
      <c r="D2220" s="9" t="s">
        <v>4037</v>
      </c>
      <c r="E2220" s="8" t="str">
        <f>IFERROR(__xludf.DUMMYFUNCTION("googletranslate(D2220,""id"",""en"")"),"YOK supports emergency PPKM policies by staying at home, obey the prokes to protect ourselves and your beloved family ...")</f>
        <v>YOK supports emergency PPKM policies by staying at home, obey the prokes to protect ourselves and your beloved family ...</v>
      </c>
    </row>
    <row r="2221" ht="15.75" customHeight="1">
      <c r="A2221" s="2">
        <v>2220.0</v>
      </c>
      <c r="B2221" s="5" t="s">
        <v>4038</v>
      </c>
      <c r="C2221" s="6">
        <v>3.0</v>
      </c>
      <c r="D2221" s="9" t="s">
        <v>4039</v>
      </c>
      <c r="E2221" s="8" t="str">
        <f>IFERROR(__xludf.DUMMYFUNCTION("googletranslate(D2221,""id"",""en"")"),"The results of the government dialogue and BBRPA UNIV, one of them was Airlangga Univ SBY agreed with the Emergency PPKM, the employer also judged this was right. For the prevention of the malignancy of the world, remember the world not only Indonesia has"&amp;" slumped")</f>
        <v>The results of the government dialogue and BBRPA UNIV, one of them was Airlangga Univ SBY agreed with the Emergency PPKM, the employer also judged this was right. For the prevention of the malignancy of the world, remember the world not only Indonesia has slumped</v>
      </c>
    </row>
    <row r="2222" ht="15.75" customHeight="1">
      <c r="A2222" s="2">
        <v>2221.0</v>
      </c>
      <c r="B2222" s="5" t="s">
        <v>4040</v>
      </c>
      <c r="C2222" s="6">
        <v>3.0</v>
      </c>
      <c r="D2222" s="7" t="s">
        <v>4041</v>
      </c>
      <c r="E2222" s="8" t="str">
        <f>IFERROR(__xludf.DUMMYFUNCTION("googletranslate(D2222,""id"",""en"")"),"If you have to choose between property &amp; amp; Life, such as a scene in film or real in life, that's what the current choice can be a PPKM for economics sacrificed, but save lives a lot of people, keep the main choice!")</f>
        <v>If you have to choose between property &amp; amp; Life, such as a scene in film or real in life, that's what the current choice can be a PPKM for economics sacrificed, but save lives a lot of people, keep the main choice!</v>
      </c>
    </row>
    <row r="2223" ht="15.75" customHeight="1">
      <c r="A2223" s="2">
        <v>2222.0</v>
      </c>
      <c r="B2223" s="5" t="s">
        <v>4042</v>
      </c>
      <c r="C2223" s="6">
        <v>3.0</v>
      </c>
      <c r="D2223" s="7" t="s">
        <v>4043</v>
      </c>
      <c r="E2223" s="8" t="str">
        <f>IFERROR(__xludf.DUMMYFUNCTION("googletranslate(D2223,""id"",""en"")"),"The social assistance that will be given the government when this emergency PPKM is direct cash assistance, sembako bansos, PKH to BLT village funds and exercise cards. ~ So it doesn't worry because the government's PPKM does not help.")</f>
        <v>The social assistance that will be given the government when this emergency PPKM is direct cash assistance, sembako bansos, PKH to BLT village funds and exercise cards. ~ So it doesn't worry because the government's PPKM does not help.</v>
      </c>
    </row>
    <row r="2224" ht="15.75" customHeight="1">
      <c r="A2224" s="2">
        <v>2223.0</v>
      </c>
      <c r="B2224" s="5" t="s">
        <v>4044</v>
      </c>
      <c r="C2224" s="6">
        <v>3.0</v>
      </c>
      <c r="D2224" s="7" t="s">
        <v>4045</v>
      </c>
      <c r="E2224" s="8" t="str">
        <f>IFERROR(__xludf.DUMMYFUNCTION("googletranslate(D2224,""id"",""en"")"),"Must take a strict health protocol during the implementation of Emergency PPKM, so that the circumstances can immediately improve. From us to fight this outbreak, we are only asked to obey this rule.")</f>
        <v>Must take a strict health protocol during the implementation of Emergency PPKM, so that the circumstances can immediately improve. From us to fight this outbreak, we are only asked to obey this rule.</v>
      </c>
    </row>
    <row r="2225" ht="15.75" customHeight="1">
      <c r="A2225" s="2">
        <v>2224.0</v>
      </c>
      <c r="B2225" s="5" t="s">
        <v>4046</v>
      </c>
      <c r="C2225" s="6">
        <v>3.0</v>
      </c>
      <c r="D2225" s="9" t="s">
        <v>4047</v>
      </c>
      <c r="E2225" s="8" t="str">
        <f>IFERROR(__xludf.DUMMYFUNCTION("googletranslate(D2225,""id"",""en"")"),"Epidemiologists: Emergency PPKM policies save the lives of many people in the emergency PPKM that take place during the weeks applied well as true society activities are limited, then the positive Covid-19 case will decrease. : //")</f>
        <v>Epidemiologists: Emergency PPKM policies save the lives of many people in the emergency PPKM that take place during the weeks applied well as true society activities are limited, then the positive Covid-19 case will decrease. : //</v>
      </c>
    </row>
    <row r="2226" ht="15.75" customHeight="1">
      <c r="A2226" s="2">
        <v>2225.0</v>
      </c>
      <c r="B2226" s="5" t="s">
        <v>4048</v>
      </c>
      <c r="C2226" s="6">
        <v>3.0</v>
      </c>
      <c r="D2226" s="7" t="s">
        <v>4049</v>
      </c>
      <c r="E2226" s="8" t="str">
        <f>IFERROR(__xludf.DUMMYFUNCTION("googletranslate(D2226,""id"",""en"")"),"Come on the PPKM discipline")</f>
        <v>Come on the PPKM discipline</v>
      </c>
    </row>
    <row r="2227" ht="15.75" customHeight="1">
      <c r="A2227" s="2">
        <v>2226.0</v>
      </c>
      <c r="B2227" s="5" t="s">
        <v>4050</v>
      </c>
      <c r="C2227" s="6">
        <v>2.0</v>
      </c>
      <c r="D2227" s="7" t="s">
        <v>1438</v>
      </c>
      <c r="E2227" s="8" t="str">
        <f>IFERROR(__xludf.DUMMYFUNCTION("googletranslate(D2227,""id"",""en"")"),"PPKM, once a concern then disappeared")</f>
        <v>PPKM, once a concern then disappeared</v>
      </c>
    </row>
    <row r="2228" ht="15.75" customHeight="1">
      <c r="A2228" s="2">
        <v>2227.0</v>
      </c>
      <c r="B2228" s="5" t="s">
        <v>4051</v>
      </c>
      <c r="C2228" s="6">
        <v>2.0</v>
      </c>
      <c r="D2228" s="10" t="s">
        <v>4052</v>
      </c>
      <c r="E2228" s="8" t="str">
        <f>IFERROR(__xludf.DUMMYFUNCTION("googletranslate(D2228,""id"",""en"")"),"Virtual PPKM")</f>
        <v>Virtual PPKM</v>
      </c>
    </row>
    <row r="2229" ht="15.75" customHeight="1">
      <c r="A2229" s="2">
        <v>2228.0</v>
      </c>
      <c r="B2229" s="5" t="s">
        <v>4053</v>
      </c>
      <c r="C2229" s="6">
        <v>2.0</v>
      </c>
      <c r="D2229" s="7" t="s">
        <v>4054</v>
      </c>
      <c r="E2229" s="8" t="str">
        <f>IFERROR(__xludf.DUMMYFUNCTION("googletranslate(D2229,""id"",""en"")"),"It seems like Inmendagri No. This is the purpose of ""rebuking"" (Governor &amp; Amp; Mayor / Regent) which still allows places of worship open during the PPKM to carry out the third dictum of G and K Inmendagri no meaning, the head of the regional head to fo"&amp;"rce the trvat of worship temporarily as long as PPKM")</f>
        <v>It seems like Inmendagri No. This is the purpose of "rebuking" (Governor &amp; Amp; Mayor / Regent) which still allows places of worship open during the PPKM to carry out the third dictum of G and K Inmendagri no meaning, the head of the regional head to force the trvat of worship temporarily as long as PPKM</v>
      </c>
    </row>
    <row r="2230" ht="15.75" customHeight="1">
      <c r="A2230" s="2">
        <v>2229.0</v>
      </c>
      <c r="B2230" s="5" t="s">
        <v>4055</v>
      </c>
      <c r="C2230" s="6">
        <v>2.0</v>
      </c>
      <c r="D2230" s="7" t="s">
        <v>4056</v>
      </c>
      <c r="E2230" s="8" t="str">
        <f>IFERROR(__xludf.DUMMYFUNCTION("googletranslate(D2230,""id"",""en"")"),"Every day wake up hours or set, you can not sleep anymore")</f>
        <v>Every day wake up hours or set, you can not sleep anymore</v>
      </c>
    </row>
    <row r="2231" ht="15.75" customHeight="1">
      <c r="A2231" s="2">
        <v>2230.0</v>
      </c>
      <c r="B2231" s="5" t="s">
        <v>4057</v>
      </c>
      <c r="C2231" s="6">
        <v>3.0</v>
      </c>
      <c r="D2231" s="9" t="s">
        <v>4058</v>
      </c>
      <c r="E2231" s="8" t="str">
        <f>IFERROR(__xludf.DUMMYFUNCTION("googletranslate(D2231,""id"",""en"")"),"Thank you, Mr. Luhut! Come on the PPKM discipline")</f>
        <v>Thank you, Mr. Luhut! Come on the PPKM discipline</v>
      </c>
    </row>
    <row r="2232" ht="15.75" customHeight="1">
      <c r="A2232" s="2">
        <v>2231.0</v>
      </c>
      <c r="B2232" s="5" t="s">
        <v>4059</v>
      </c>
      <c r="C2232" s="6">
        <v>2.0</v>
      </c>
      <c r="D2232" s="7" t="s">
        <v>4060</v>
      </c>
      <c r="E2232" s="8" t="str">
        <f>IFERROR(__xludf.DUMMYFUNCTION("googletranslate(D2232,""id"",""en"")"),"PPKM once a concern then disappeared Ciahhhhh Ahayyyyy")</f>
        <v>PPKM once a concern then disappeared Ciahhhhh Ahayyyyy</v>
      </c>
    </row>
    <row r="2233" ht="15.75" customHeight="1">
      <c r="A2233" s="2">
        <v>2232.0</v>
      </c>
      <c r="B2233" s="5" t="s">
        <v>4061</v>
      </c>
      <c r="C2233" s="6">
        <v>3.0</v>
      </c>
      <c r="D2233" s="7" t="s">
        <v>4049</v>
      </c>
      <c r="E2233" s="8" t="str">
        <f>IFERROR(__xludf.DUMMYFUNCTION("googletranslate(D2233,""id"",""en"")"),"Come on the PPKM discipline")</f>
        <v>Come on the PPKM discipline</v>
      </c>
    </row>
    <row r="2234" ht="15.75" customHeight="1">
      <c r="A2234" s="2">
        <v>2233.0</v>
      </c>
      <c r="B2234" s="5" t="s">
        <v>4062</v>
      </c>
      <c r="C2234" s="6">
        <v>3.0</v>
      </c>
      <c r="D2234" s="9" t="s">
        <v>4063</v>
      </c>
      <c r="E2234" s="8" t="str">
        <f>IFERROR(__xludf.DUMMYFUNCTION("googletranslate(D2234,""id"",""en"")"),"Cook, Nanem SM Tiktokan Gais. Finished ppkm jd glowing gais hahaha")</f>
        <v>Cook, Nanem SM Tiktokan Gais. Finished ppkm jd glowing gais hahaha</v>
      </c>
    </row>
    <row r="2235" ht="15.75" customHeight="1">
      <c r="A2235" s="2">
        <v>2234.0</v>
      </c>
      <c r="B2235" s="5" t="s">
        <v>4064</v>
      </c>
      <c r="C2235" s="6">
        <v>2.0</v>
      </c>
      <c r="D2235" s="7" t="s">
        <v>4065</v>
      </c>
      <c r="E2235" s="8" t="str">
        <f>IFERROR(__xludf.DUMMYFUNCTION("googletranslate(D2235,""id"",""en"")"),"The sarap is PPKM WKWKWK.")</f>
        <v>The sarap is PPKM WKWKWK.</v>
      </c>
    </row>
    <row r="2236" ht="15.75" customHeight="1">
      <c r="A2236" s="2">
        <v>2235.0</v>
      </c>
      <c r="B2236" s="5" t="s">
        <v>4066</v>
      </c>
      <c r="C2236" s="6">
        <v>2.0</v>
      </c>
      <c r="D2236" s="7" t="s">
        <v>4066</v>
      </c>
      <c r="E2236" s="8" t="str">
        <f>IFERROR(__xludf.DUMMYFUNCTION("googletranslate(D2236,""id"",""en"")"),"Euy gasibu ppkm this is selling no")</f>
        <v>Euy gasibu ppkm this is selling no</v>
      </c>
    </row>
    <row r="2237" ht="15.75" customHeight="1">
      <c r="A2237" s="2">
        <v>2236.0</v>
      </c>
      <c r="B2237" s="5" t="s">
        <v>4067</v>
      </c>
      <c r="C2237" s="6">
        <v>1.0</v>
      </c>
      <c r="D2237" s="7" t="s">
        <v>4068</v>
      </c>
      <c r="E2237" s="8" t="str">
        <f>IFERROR(__xludf.DUMMYFUNCTION("googletranslate(D2237,""id"",""en"")"),"ppkm jd ga weekend")</f>
        <v>ppkm jd ga weekend</v>
      </c>
    </row>
    <row r="2238" ht="15.75" customHeight="1">
      <c r="A2238" s="2">
        <v>2237.0</v>
      </c>
      <c r="B2238" s="5" t="s">
        <v>4069</v>
      </c>
      <c r="C2238" s="6">
        <v>1.0</v>
      </c>
      <c r="D2238" s="7" t="s">
        <v>4070</v>
      </c>
      <c r="E2238" s="8" t="str">
        <f>IFERROR(__xludf.DUMMYFUNCTION("googletranslate(D2238,""id"",""en"")"),"Bang's danger, on the reunion and acquaintance instead they ... especially the brand is different ... It's hard to go even ... wkwkwk hit the ppkm when he is reunion.")</f>
        <v>Bang's danger, on the reunion and acquaintance instead they ... especially the brand is different ... It's hard to go even ... wkwkwk hit the ppkm when he is reunion.</v>
      </c>
    </row>
    <row r="2239" ht="15.75" customHeight="1">
      <c r="A2239" s="2">
        <v>2238.0</v>
      </c>
      <c r="B2239" s="5" t="s">
        <v>4071</v>
      </c>
      <c r="C2239" s="6">
        <v>1.0</v>
      </c>
      <c r="D2239" s="9" t="s">
        <v>4072</v>
      </c>
      <c r="E2239" s="8" t="str">
        <f>IFERROR(__xludf.DUMMYFUNCTION("googletranslate(D2239,""id"",""en"")"),"It's delicious after a stylish difference like that, only the situation is said to be an emergency ppkm, it's not a difference in the office where the office is just klenger, after the cape wants to lie down any style of breaks like you like")</f>
        <v>It's delicious after a stylish difference like that, only the situation is said to be an emergency ppkm, it's not a difference in the office where the office is just klenger, after the cape wants to lie down any style of breaks like you like</v>
      </c>
    </row>
    <row r="2240" ht="15.75" customHeight="1">
      <c r="A2240" s="2">
        <v>2239.0</v>
      </c>
      <c r="B2240" s="5" t="s">
        <v>4073</v>
      </c>
      <c r="C2240" s="6">
        <v>2.0</v>
      </c>
      <c r="D2240" s="9" t="s">
        <v>4073</v>
      </c>
      <c r="E2240" s="8" t="str">
        <f>IFERROR(__xludf.DUMMYFUNCTION("googletranslate(D2240,""id"",""en"")"),"In the end the outside countries did PPKM against the Indonesian citizens.")</f>
        <v>In the end the outside countries did PPKM against the Indonesian citizens.</v>
      </c>
    </row>
    <row r="2241" ht="15.75" customHeight="1">
      <c r="A2241" s="2">
        <v>2240.0</v>
      </c>
      <c r="B2241" s="5" t="s">
        <v>4074</v>
      </c>
      <c r="C2241" s="6">
        <v>1.0</v>
      </c>
      <c r="D2241" s="7" t="s">
        <v>4075</v>
      </c>
      <c r="E2241" s="8" t="str">
        <f>IFERROR(__xludf.DUMMYFUNCTION("googletranslate(D2241,""id"",""en"")"),"Violating the Emergency PPKM Tuhkiata Uphastah Don't DLBAUBLABUL")</f>
        <v>Violating the Emergency PPKM Tuhkiata Uphastah Don't DLBAUBLABUL</v>
      </c>
    </row>
    <row r="2242" ht="15.75" customHeight="1">
      <c r="A2242" s="2">
        <v>2241.0</v>
      </c>
      <c r="B2242" s="5" t="s">
        <v>4076</v>
      </c>
      <c r="C2242" s="6">
        <v>2.0</v>
      </c>
      <c r="D2242" s="9" t="s">
        <v>4077</v>
      </c>
      <c r="E2242" s="8" t="str">
        <f>IFERROR(__xludf.DUMMYFUNCTION("googletranslate(D2242,""id"",""en"")"),"Again PPKM Kahyangan Line Followed to Close Bugger")</f>
        <v>Again PPKM Kahyangan Line Followed to Close Bugger</v>
      </c>
    </row>
    <row r="2243" ht="15.75" customHeight="1">
      <c r="A2243" s="2">
        <v>2242.0</v>
      </c>
      <c r="B2243" s="5" t="s">
        <v>4078</v>
      </c>
      <c r="C2243" s="6">
        <v>1.0</v>
      </c>
      <c r="D2243" s="7" t="s">
        <v>4079</v>
      </c>
      <c r="E2243" s="8" t="str">
        <f>IFERROR(__xludf.DUMMYFUNCTION("googletranslate(D2243,""id"",""en"")"),"JKW SSDH Announces Emergency PPKM Jawa-Bali Instead to Kendari")</f>
        <v>JKW SSDH Announces Emergency PPKM Jawa-Bali Instead to Kendari</v>
      </c>
    </row>
    <row r="2244" ht="15.75" customHeight="1">
      <c r="A2244" s="2">
        <v>2243.0</v>
      </c>
      <c r="B2244" s="5" t="s">
        <v>4080</v>
      </c>
      <c r="C2244" s="6">
        <v>3.0</v>
      </c>
      <c r="D2244" s="7" t="s">
        <v>4081</v>
      </c>
      <c r="E2244" s="8" t="str">
        <f>IFERROR(__xludf.DUMMYFUNCTION("googletranslate(D2244,""id"",""en"")"),"Emergency PPKM Immediately Apply in Medan, Culinary Enterprises Offers Promos for Purchases Through Ojek Online - Tribun Medan")</f>
        <v>Emergency PPKM Immediately Apply in Medan, Culinary Enterprises Offers Promos for Purchases Through Ojek Online - Tribun Medan</v>
      </c>
    </row>
    <row r="2245" ht="15.75" customHeight="1">
      <c r="A2245" s="2">
        <v>2244.0</v>
      </c>
      <c r="B2245" s="5" t="s">
        <v>4082</v>
      </c>
      <c r="C2245" s="6">
        <v>2.0</v>
      </c>
      <c r="D2245" s="7" t="s">
        <v>4083</v>
      </c>
      <c r="E2245" s="8" t="str">
        <f>IFERROR(__xludf.DUMMYFUNCTION("googletranslate(D2245,""id"",""en"")"),"right again, ppkm, after finishing the PPKM immediately meet it ~")</f>
        <v>right again, ppkm, after finishing the PPKM immediately meet it ~</v>
      </c>
    </row>
    <row r="2246" ht="15.75" customHeight="1">
      <c r="A2246" s="2">
        <v>2245.0</v>
      </c>
      <c r="B2246" s="5" t="s">
        <v>4084</v>
      </c>
      <c r="C2246" s="6">
        <v>2.0</v>
      </c>
      <c r="D2246" s="7" t="s">
        <v>4085</v>
      </c>
      <c r="E2246" s="8" t="str">
        <f>IFERROR(__xludf.DUMMYFUNCTION("googletranslate(D2246,""id"",""en"")"),"finished ppkm must be ktmuan")</f>
        <v>finished ppkm must be ktmuan</v>
      </c>
    </row>
    <row r="2247" ht="15.75" customHeight="1">
      <c r="A2247" s="2">
        <v>2246.0</v>
      </c>
      <c r="B2247" s="5" t="s">
        <v>4086</v>
      </c>
      <c r="C2247" s="6">
        <v>1.0</v>
      </c>
      <c r="D2247" s="9" t="s">
        <v>4086</v>
      </c>
      <c r="E2247" s="8" t="str">
        <f>IFERROR(__xludf.DUMMYFUNCTION("googletranslate(D2247,""id"",""en"")"),"But seriously, this time the PPKM is really rich in lockdown, but a help of aid from the rich government isn't there anything?")</f>
        <v>But seriously, this time the PPKM is really rich in lockdown, but a help of aid from the rich government isn't there anything?</v>
      </c>
    </row>
    <row r="2248" ht="15.75" customHeight="1">
      <c r="A2248" s="2">
        <v>2247.0</v>
      </c>
      <c r="B2248" s="5" t="s">
        <v>4087</v>
      </c>
      <c r="C2248" s="6">
        <v>1.0</v>
      </c>
      <c r="D2248" s="9" t="s">
        <v>4087</v>
      </c>
      <c r="E2248" s="8" t="str">
        <f>IFERROR(__xludf.DUMMYFUNCTION("googletranslate(D2248,""id"",""en"")"),"want to play out but hold resistant because of PPKM, how come people can be selfish life without rules so still playing and hanging out gMI thinking about the safety of others")</f>
        <v>want to play out but hold resistant because of PPKM, how come people can be selfish life without rules so still playing and hanging out gMI thinking about the safety of others</v>
      </c>
    </row>
    <row r="2249" ht="15.75" customHeight="1">
      <c r="A2249" s="2">
        <v>2248.0</v>
      </c>
      <c r="B2249" s="5" t="s">
        <v>4088</v>
      </c>
      <c r="C2249" s="6">
        <v>1.0</v>
      </c>
      <c r="D2249" s="7" t="s">
        <v>4089</v>
      </c>
      <c r="E2249" s="8" t="str">
        <f>IFERROR(__xludf.DUMMYFUNCTION("googletranslate(D2249,""id"",""en"")"),"The theory of concern is more reasonable than the PPKM appeal")</f>
        <v>The theory of concern is more reasonable than the PPKM appeal</v>
      </c>
    </row>
    <row r="2250" ht="15.75" customHeight="1">
      <c r="A2250" s="2">
        <v>2249.0</v>
      </c>
      <c r="B2250" s="5" t="s">
        <v>4090</v>
      </c>
      <c r="C2250" s="6">
        <v>1.0</v>
      </c>
      <c r="D2250" s="9" t="s">
        <v>4091</v>
      </c>
      <c r="E2250" s="8" t="str">
        <f>IFERROR(__xludf.DUMMYFUNCTION("googletranslate(D2250,""id"",""en"")"),"The purpose of the emergency PPKM is quite good, the problem is not followed by his actions, the people are simple to help for the basic needs that are needed, if necessary Lockdown all fulfill its basic needs, it is certain that the people will obey.")</f>
        <v>The purpose of the emergency PPKM is quite good, the problem is not followed by his actions, the people are simple to help for the basic needs that are needed, if necessary Lockdown all fulfill its basic needs, it is certain that the people will obey.</v>
      </c>
    </row>
    <row r="2251" ht="15.75" customHeight="1">
      <c r="A2251" s="2">
        <v>2250.0</v>
      </c>
      <c r="B2251" s="5" t="s">
        <v>4092</v>
      </c>
      <c r="C2251" s="6">
        <v>1.0</v>
      </c>
      <c r="D2251" s="9" t="s">
        <v>4093</v>
      </c>
      <c r="E2251" s="8" t="str">
        <f>IFERROR(__xludf.DUMMYFUNCTION("googletranslate(D2251,""id"",""en"")"),"After all, what PPKM is right? There is my friend work in one of the ministries. Every day's work is just typing, making PPT, join online meetings, etc. Why is it still obliged to the office x a week?")</f>
        <v>After all, what PPKM is right? There is my friend work in one of the ministries. Every day's work is just typing, making PPT, join online meetings, etc. Why is it still obliged to the office x a week?</v>
      </c>
    </row>
    <row r="2252" ht="15.75" customHeight="1">
      <c r="A2252" s="2">
        <v>2251.0</v>
      </c>
      <c r="B2252" s="5" t="s">
        <v>4094</v>
      </c>
      <c r="C2252" s="6">
        <v>1.0</v>
      </c>
      <c r="D2252" s="9" t="s">
        <v>4095</v>
      </c>
      <c r="E2252" s="8" t="str">
        <f>IFERROR(__xludf.DUMMYFUNCTION("googletranslate(D2252,""id"",""en"")"),"PPKM in my office is not strange.")</f>
        <v>PPKM in my office is not strange.</v>
      </c>
    </row>
    <row r="2253" ht="15.75" customHeight="1">
      <c r="A2253" s="2">
        <v>2252.0</v>
      </c>
      <c r="B2253" s="5" t="s">
        <v>4096</v>
      </c>
      <c r="C2253" s="6">
        <v>1.0</v>
      </c>
      <c r="D2253" s="7" t="s">
        <v>4096</v>
      </c>
      <c r="E2253" s="8" t="str">
        <f>IFERROR(__xludf.DUMMYFUNCTION("googletranslate(D2253,""id"",""en"")"),"It hurts a lot to see this PPKM control.")</f>
        <v>It hurts a lot to see this PPKM control.</v>
      </c>
    </row>
    <row r="2254" ht="15.75" customHeight="1">
      <c r="A2254" s="2">
        <v>2253.0</v>
      </c>
      <c r="B2254" s="5" t="s">
        <v>4097</v>
      </c>
      <c r="C2254" s="6">
        <v>1.0</v>
      </c>
      <c r="D2254" s="7" t="s">
        <v>4098</v>
      </c>
      <c r="E2254" s="8" t="str">
        <f>IFERROR(__xludf.DUMMYFUNCTION("googletranslate(D2254,""id"",""en"")"),"It began to be serious, many of which questioned the article of the Chapter Constitutional Law with the enactment of this emergency PPKM actually made me confused. The emergency PPKM itself is published based on the instructions of the Minister of Home Af"&amp;"fairs, which even in the ""konsiderans"" Nda is tapping on the Law at all")</f>
        <v>It began to be serious, many of which questioned the article of the Chapter Constitutional Law with the enactment of this emergency PPKM actually made me confused. The emergency PPKM itself is published based on the instructions of the Minister of Home Affairs, which even in the "konsiderans" Nda is tapping on the Law at all</v>
      </c>
    </row>
    <row r="2255" ht="15.75" customHeight="1">
      <c r="A2255" s="2">
        <v>2254.0</v>
      </c>
      <c r="B2255" s="5" t="s">
        <v>4099</v>
      </c>
      <c r="C2255" s="6">
        <v>1.0</v>
      </c>
      <c r="D2255" s="9" t="s">
        <v>4100</v>
      </c>
      <c r="E2255" s="8" t="str">
        <f>IFERROR(__xludf.DUMMYFUNCTION("googletranslate(D2255,""id"",""en"")"),"How come it's yes, ah this. How come the PPKM case is increasingly soaring? Hayo")</f>
        <v>How come it's yes, ah this. How come the PPKM case is increasingly soaring? Hayo</v>
      </c>
    </row>
    <row r="2256" ht="15.75" customHeight="1">
      <c r="A2256" s="2">
        <v>2255.0</v>
      </c>
      <c r="B2256" s="5" t="s">
        <v>4101</v>
      </c>
      <c r="C2256" s="6">
        <v>1.0</v>
      </c>
      <c r="D2256" s="7" t="s">
        <v>4102</v>
      </c>
      <c r="E2256" s="8" t="str">
        <f>IFERROR(__xludf.DUMMYFUNCTION("googletranslate(D2256,""id"",""en"")"),"Unfortunately a thousand unfortunately the final marwah was lost because of his commentator. Even though in this emergency PPKM internet entertainment is very much needed so it feels at home")</f>
        <v>Unfortunately a thousand unfortunately the final marwah was lost because of his commentator. Even though in this emergency PPKM internet entertainment is very much needed so it feels at home</v>
      </c>
    </row>
    <row r="2257" ht="15.75" customHeight="1">
      <c r="A2257" s="2">
        <v>2256.0</v>
      </c>
      <c r="B2257" s="5" t="s">
        <v>4103</v>
      </c>
      <c r="C2257" s="6">
        <v>3.0</v>
      </c>
      <c r="D2257" s="7" t="s">
        <v>4104</v>
      </c>
      <c r="E2257" s="8" t="str">
        <f>IFERROR(__xludf.DUMMYFUNCTION("googletranslate(D2257,""id"",""en"")"),"do not be careless! Need everyone's collaboration to break the chain of the spread of Covid-19, PPKM was carried out and still obeyed the M protocol")</f>
        <v>do not be careless! Need everyone's collaboration to break the chain of the spread of Covid-19, PPKM was carried out and still obeyed the M protocol</v>
      </c>
    </row>
    <row r="2258" ht="15.75" customHeight="1">
      <c r="A2258" s="2">
        <v>2257.0</v>
      </c>
      <c r="B2258" s="5" t="s">
        <v>4105</v>
      </c>
      <c r="C2258" s="6">
        <v>1.0</v>
      </c>
      <c r="D2258" s="7" t="s">
        <v>4105</v>
      </c>
      <c r="E2258" s="8" t="str">
        <f>IFERROR(__xludf.DUMMYFUNCTION("googletranslate(D2258,""id"",""en"")"),"PPKM; morning morning getting mentally")</f>
        <v>PPKM; morning morning getting mentally</v>
      </c>
    </row>
    <row r="2259" ht="15.75" customHeight="1">
      <c r="A2259" s="2">
        <v>2258.0</v>
      </c>
      <c r="B2259" s="5" t="s">
        <v>4106</v>
      </c>
      <c r="C2259" s="6">
        <v>3.0</v>
      </c>
      <c r="D2259" s="9" t="s">
        <v>4107</v>
      </c>
      <c r="E2259" s="8" t="str">
        <f>IFERROR(__xludf.DUMMYFUNCTION("googletranslate(D2259,""id"",""en"")"),"Ppkm so it's not in vain if this is this")</f>
        <v>Ppkm so it's not in vain if this is this</v>
      </c>
    </row>
    <row r="2260" ht="15.75" customHeight="1">
      <c r="A2260" s="2">
        <v>2259.0</v>
      </c>
      <c r="B2260" s="5" t="s">
        <v>4108</v>
      </c>
      <c r="C2260" s="6">
        <v>1.0</v>
      </c>
      <c r="D2260" s="9" t="s">
        <v>4108</v>
      </c>
      <c r="E2260" s="8" t="str">
        <f>IFERROR(__xludf.DUMMYFUNCTION("googletranslate(D2260,""id"",""en"")"),"Finally after the PPKM rule officially came out I was LGSUNG CP the hotel if we fix MOVE DATE DIGGL XXX. Well, the hotel starts to swipe meinin meinin me which he said yesterday can help lgsung to the date of course but it becomes complicated with various"&amp;" reasons")</f>
        <v>Finally after the PPKM rule officially came out I was LGSUNG CP the hotel if we fix MOVE DATE DIGGL XXX. Well, the hotel starts to swipe meinin meinin me which he said yesterday can help lgsung to the date of course but it becomes complicated with various reasons</v>
      </c>
    </row>
    <row r="2261" ht="15.75" customHeight="1">
      <c r="A2261" s="2">
        <v>2260.0</v>
      </c>
      <c r="B2261" s="5" t="s">
        <v>4109</v>
      </c>
      <c r="C2261" s="6">
        <v>1.0</v>
      </c>
      <c r="D2261" s="7" t="s">
        <v>4109</v>
      </c>
      <c r="E2261" s="8" t="str">
        <f>IFERROR(__xludf.DUMMYFUNCTION("googletranslate(D2261,""id"",""en"")"),"Severely, .... Emergency PPKM, Listen to the Announcement of Kampung Toa, Have a Work of Bakti ...")</f>
        <v>Severely, .... Emergency PPKM, Listen to the Announcement of Kampung Toa, Have a Work of Bakti ...</v>
      </c>
    </row>
    <row r="2262" ht="15.75" customHeight="1">
      <c r="A2262" s="2">
        <v>2261.0</v>
      </c>
      <c r="B2262" s="5" t="s">
        <v>4110</v>
      </c>
      <c r="C2262" s="6">
        <v>1.0</v>
      </c>
      <c r="D2262" s="7" t="s">
        <v>4111</v>
      </c>
      <c r="E2262" s="8" t="str">
        <f>IFERROR(__xludf.DUMMYFUNCTION("googletranslate(D2262,""id"",""en"")"),"There are those who cape a week working hard, there are those who just think it's hard because PPKMsama is the same as cape but different conditions")</f>
        <v>There are those who cape a week working hard, there are those who just think it's hard because PPKMsama is the same as cape but different conditions</v>
      </c>
    </row>
    <row r="2263" ht="15.75" customHeight="1">
      <c r="A2263" s="2">
        <v>2262.0</v>
      </c>
      <c r="B2263" s="5" t="s">
        <v>4112</v>
      </c>
      <c r="C2263" s="6">
        <v>2.0</v>
      </c>
      <c r="D2263" s="7" t="s">
        <v>4113</v>
      </c>
      <c r="E2263" s="8" t="str">
        <f>IFERROR(__xludf.DUMMYFUNCTION("googletranslate(D2263,""id"",""en"")"),"Medium PPKM uncle.")</f>
        <v>Medium PPKM uncle.</v>
      </c>
    </row>
    <row r="2264" ht="15.75" customHeight="1">
      <c r="A2264" s="2">
        <v>2263.0</v>
      </c>
      <c r="B2264" s="5" t="s">
        <v>4114</v>
      </c>
      <c r="C2264" s="6">
        <v>2.0</v>
      </c>
      <c r="D2264" s="9" t="s">
        <v>4115</v>
      </c>
      <c r="E2264" s="8" t="str">
        <f>IFERROR(__xludf.DUMMYFUNCTION("googletranslate(D2264,""id"",""en"")"),"Ppkm uda entered one week and I just came out the cluster x to buy vegetables but the keknya ga ppkm would be like that")</f>
        <v>Ppkm uda entered one week and I just came out the cluster x to buy vegetables but the keknya ga ppkm would be like that</v>
      </c>
    </row>
    <row r="2265" ht="15.75" customHeight="1">
      <c r="A2265" s="2">
        <v>2264.0</v>
      </c>
      <c r="B2265" s="5" t="s">
        <v>4116</v>
      </c>
      <c r="C2265" s="6">
        <v>1.0</v>
      </c>
      <c r="D2265" s="9" t="s">
        <v>4117</v>
      </c>
      <c r="E2265" s="8" t="str">
        <f>IFERROR(__xludf.DUMMYFUNCTION("googletranslate(D2265,""id"",""en"")"),"How come you know the requirements of graduation, online okeee is there, but the reality that is shared too, don't you shop? Still on Lgsg to the field. Don't really, but what is it at this time? The condition is high, full hospital, the government has ju"&amp;"st been closed the road")</f>
        <v>How come you know the requirements of graduation, online okeee is there, but the reality that is shared too, don't you shop? Still on Lgsg to the field. Don't really, but what is it at this time? The condition is high, full hospital, the government has just been closed the road</v>
      </c>
    </row>
    <row r="2266" ht="15.75" customHeight="1">
      <c r="A2266" s="2">
        <v>2265.0</v>
      </c>
      <c r="B2266" s="5" t="s">
        <v>4118</v>
      </c>
      <c r="C2266" s="6">
        <v>3.0</v>
      </c>
      <c r="D2266" s="7" t="s">
        <v>4119</v>
      </c>
      <c r="E2266" s="8" t="str">
        <f>IFERROR(__xludf.DUMMYFUNCTION("googletranslate(D2266,""id"",""en"")"),"All levels and regional heads, especially the community must help the government in implementing emergency PPKM for our goodness to avoid Covid-19")</f>
        <v>All levels and regional heads, especially the community must help the government in implementing emergency PPKM for our goodness to avoid Covid-19</v>
      </c>
    </row>
    <row r="2267" ht="15.75" customHeight="1">
      <c r="A2267" s="2">
        <v>2266.0</v>
      </c>
      <c r="B2267" s="5" t="s">
        <v>4120</v>
      </c>
      <c r="C2267" s="6">
        <v>3.0</v>
      </c>
      <c r="D2267" s="7" t="s">
        <v>4120</v>
      </c>
      <c r="E2267" s="8" t="str">
        <f>IFERROR(__xludf.DUMMYFUNCTION("googletranslate(D2267,""id"",""en"")"),"I wanted to today, Qodarullah PPKM. Stay Safe, residents of the city of neighbors (:")</f>
        <v>I wanted to today, Qodarullah PPKM. Stay Safe, residents of the city of neighbors (:</v>
      </c>
    </row>
    <row r="2268" ht="15.75" customHeight="1">
      <c r="A2268" s="2">
        <v>2267.0</v>
      </c>
      <c r="B2268" s="5" t="s">
        <v>4121</v>
      </c>
      <c r="C2268" s="6">
        <v>1.0</v>
      </c>
      <c r="D2268" s="9" t="s">
        <v>4122</v>
      </c>
      <c r="E2268" s="8" t="str">
        <f>IFERROR(__xludf.DUMMYFUNCTION("googletranslate(D2268,""id"",""en"")"),"He ngbrin ditli juli, because the original is also gue anymore while looking for info twinya opened what is not fitting ppkm, because if it's closed it's useless, it's so kesono, he said, the hotel said that the hotel still operates, I was told to fly GT "&amp;"so that Lgsung Middle School Hotel")</f>
        <v>He ngbrin ditli juli, because the original is also gue anymore while looking for info twinya opened what is not fitting ppkm, because if it's closed it's useless, it's so kesono, he said, the hotel said that the hotel still operates, I was told to fly GT so that Lgsung Middle School Hotel</v>
      </c>
    </row>
    <row r="2269" ht="15.75" customHeight="1">
      <c r="A2269" s="2">
        <v>2268.0</v>
      </c>
      <c r="B2269" s="5" t="s">
        <v>4123</v>
      </c>
      <c r="C2269" s="6">
        <v>1.0</v>
      </c>
      <c r="D2269" s="7" t="s">
        <v>4124</v>
      </c>
      <c r="E2269" s="8" t="str">
        <f>IFERROR(__xludf.DUMMYFUNCTION("googletranslate(D2269,""id"",""en"")"),"The absence of all of them ends the existence of PSBB, PPKM and the like that can kill millions of people because of the income")</f>
        <v>The absence of all of them ends the existence of PSBB, PPKM and the like that can kill millions of people because of the income</v>
      </c>
    </row>
    <row r="2270" ht="15.75" customHeight="1">
      <c r="A2270" s="2">
        <v>2269.0</v>
      </c>
      <c r="B2270" s="5" t="s">
        <v>4125</v>
      </c>
      <c r="C2270" s="6">
        <v>2.0</v>
      </c>
      <c r="D2270" s="7" t="s">
        <v>4126</v>
      </c>
      <c r="E2270" s="8" t="str">
        <f>IFERROR(__xludf.DUMMYFUNCTION("googletranslate(D2270,""id"",""en"")"),"What's wrong? PSBB until changed JD PPKM we don't walk wkwkwkw")</f>
        <v>What's wrong? PSBB until changed JD PPKM we don't walk wkwkwkw</v>
      </c>
    </row>
    <row r="2271" ht="15.75" customHeight="1">
      <c r="A2271" s="2">
        <v>2270.0</v>
      </c>
      <c r="B2271" s="5" t="s">
        <v>4127</v>
      </c>
      <c r="C2271" s="6">
        <v>2.0</v>
      </c>
      <c r="D2271" s="7" t="s">
        <v>4128</v>
      </c>
      <c r="E2271" s="8" t="str">
        <f>IFERROR(__xludf.DUMMYFUNCTION("googletranslate(D2271,""id"",""en"")"),"Srimulat ...... wkwkwkkkk ... it's pretty good for CR eating ppkm ...")</f>
        <v>Srimulat ...... wkwkwkkkk ... it's pretty good for CR eating ppkm ...</v>
      </c>
    </row>
    <row r="2272" ht="15.75" customHeight="1">
      <c r="A2272" s="2">
        <v>2271.0</v>
      </c>
      <c r="B2272" s="5" t="s">
        <v>4129</v>
      </c>
      <c r="C2272" s="6">
        <v>1.0</v>
      </c>
      <c r="D2272" s="7" t="s">
        <v>4130</v>
      </c>
      <c r="E2272" s="8" t="str">
        <f>IFERROR(__xludf.DUMMYFUNCTION("googletranslate(D2272,""id"",""en"")"),"PPKM this time really makes mental emotions")</f>
        <v>PPKM this time really makes mental emotions</v>
      </c>
    </row>
    <row r="2273" ht="15.75" customHeight="1">
      <c r="A2273" s="2">
        <v>2272.0</v>
      </c>
      <c r="B2273" s="5" t="s">
        <v>4131</v>
      </c>
      <c r="C2273" s="6">
        <v>1.0</v>
      </c>
      <c r="D2273" s="7" t="s">
        <v>4132</v>
      </c>
      <c r="E2273" s="8" t="str">
        <f>IFERROR(__xludf.DUMMYFUNCTION("googletranslate(D2273,""id"",""en"")"),"Aamiin .. This emergency ppkm rejects the government's success in overcoming Pademi, if you are a high school, there are still many victims ... it's worth the government raising a white flag, by the sake of the lives of Indonesian people's life")</f>
        <v>Aamiin .. This emergency ppkm rejects the government's success in overcoming Pademi, if you are a high school, there are still many victims ... it's worth the government raising a white flag, by the sake of the lives of Indonesian people's life</v>
      </c>
    </row>
    <row r="2274" ht="15.75" customHeight="1">
      <c r="A2274" s="2">
        <v>2273.0</v>
      </c>
      <c r="B2274" s="5" t="s">
        <v>4133</v>
      </c>
      <c r="C2274" s="6">
        <v>2.0</v>
      </c>
      <c r="D2274" s="7" t="s">
        <v>4134</v>
      </c>
      <c r="E2274" s="8" t="str">
        <f>IFERROR(__xludf.DUMMYFUNCTION("googletranslate(D2274,""id"",""en"")"),"PPKM: Never PDKT then disappeared wkwkwkw Kasian")</f>
        <v>PPKM: Never PDKT then disappeared wkwkwkw Kasian</v>
      </c>
    </row>
    <row r="2275" ht="15.75" customHeight="1">
      <c r="A2275" s="2">
        <v>2274.0</v>
      </c>
      <c r="B2275" s="5" t="s">
        <v>4135</v>
      </c>
      <c r="C2275" s="6">
        <v>1.0</v>
      </c>
      <c r="D2275" s="9" t="s">
        <v>4136</v>
      </c>
      <c r="E2275" s="8" t="str">
        <f>IFERROR(__xludf.DUMMYFUNCTION("googletranslate(D2275,""id"",""en"")"),"Demo according to PPKM prokes: slowly the group turns off ...")</f>
        <v>Demo according to PPKM prokes: slowly the group turns off ...</v>
      </c>
    </row>
    <row r="2276" ht="15.75" customHeight="1">
      <c r="A2276" s="2">
        <v>2275.0</v>
      </c>
      <c r="B2276" s="5" t="s">
        <v>4137</v>
      </c>
      <c r="C2276" s="6">
        <v>3.0</v>
      </c>
      <c r="D2276" s="9" t="s">
        <v>4137</v>
      </c>
      <c r="E2276" s="8" t="str">
        <f>IFERROR(__xludf.DUMMYFUNCTION("googletranslate(D2276,""id"",""en"")"),"See employees who work directly and according to him Tanobel Food has followed the rules contained in the Emergency PPKM!")</f>
        <v>See employees who work directly and according to him Tanobel Food has followed the rules contained in the Emergency PPKM!</v>
      </c>
    </row>
    <row r="2277" ht="15.75" customHeight="1">
      <c r="A2277" s="2">
        <v>2276.0</v>
      </c>
      <c r="B2277" s="5" t="s">
        <v>4138</v>
      </c>
      <c r="C2277" s="6">
        <v>1.0</v>
      </c>
      <c r="D2277" s="7" t="s">
        <v>4139</v>
      </c>
      <c r="E2277" s="8" t="str">
        <f>IFERROR(__xludf.DUMMYFUNCTION("googletranslate(D2277,""id"",""en"")"),"And PPKM regulations were also revised specifically for the mosque.")</f>
        <v>And PPKM regulations were also revised specifically for the mosque.</v>
      </c>
    </row>
    <row r="2278" ht="15.75" customHeight="1">
      <c r="A2278" s="2">
        <v>2277.0</v>
      </c>
      <c r="B2278" s="5" t="s">
        <v>4140</v>
      </c>
      <c r="C2278" s="6">
        <v>1.0</v>
      </c>
      <c r="D2278" s="7" t="s">
        <v>4141</v>
      </c>
      <c r="E2278" s="8" t="str">
        <f>IFERROR(__xludf.DUMMYFUNCTION("googletranslate(D2278,""id"",""en"")"),"PPKM: Pak Pepo When is Moooooo ...... Dyaaaaaarrrr")</f>
        <v>PPKM: Pak Pepo When is Moooooo ...... Dyaaaaaarrrr</v>
      </c>
    </row>
    <row r="2279" ht="15.75" customHeight="1">
      <c r="A2279" s="2">
        <v>2278.0</v>
      </c>
      <c r="B2279" s="5" t="s">
        <v>4142</v>
      </c>
      <c r="C2279" s="6">
        <v>2.0</v>
      </c>
      <c r="D2279" s="7" t="s">
        <v>4143</v>
      </c>
      <c r="E2279" s="8" t="str">
        <f>IFERROR(__xludf.DUMMYFUNCTION("googletranslate(D2279,""id"",""en"")"),"Don't let the world drop you up, even though fate is sometimes not self-siding. Ppkm_day")</f>
        <v>Don't let the world drop you up, even though fate is sometimes not self-siding. Ppkm_day</v>
      </c>
    </row>
    <row r="2280" ht="15.75" customHeight="1">
      <c r="A2280" s="2">
        <v>2279.0</v>
      </c>
      <c r="B2280" s="5" t="s">
        <v>4144</v>
      </c>
      <c r="C2280" s="6">
        <v>2.0</v>
      </c>
      <c r="D2280" s="7" t="s">
        <v>4145</v>
      </c>
      <c r="E2280" s="8" t="str">
        <f>IFERROR(__xludf.DUMMYFUNCTION("googletranslate(D2280,""id"",""en"")"),"PPKM ... building + decor ... catering ... can be delete ... change via virtual ...")</f>
        <v>PPKM ... building + decor ... catering ... can be delete ... change via virtual ...</v>
      </c>
    </row>
    <row r="2281" ht="15.75" customHeight="1">
      <c r="A2281" s="2">
        <v>2280.0</v>
      </c>
      <c r="B2281" s="5" t="s">
        <v>4146</v>
      </c>
      <c r="C2281" s="6">
        <v>1.0</v>
      </c>
      <c r="D2281" s="7" t="s">
        <v>4147</v>
      </c>
      <c r="E2281" s="8" t="str">
        <f>IFERROR(__xludf.DUMMYFUNCTION("googletranslate(D2281,""id"",""en"")"),"Wajah wise too, try brother say this in front of the person who depends on his life at night, an example of a fried rice trader all know the purpose of PPKM Bang, try to be replied. Don't know what is returned")</f>
        <v>Wajah wise too, try brother say this in front of the person who depends on his life at night, an example of a fried rice trader all know the purpose of PPKM Bang, try to be replied. Don't know what is returned</v>
      </c>
    </row>
    <row r="2282" ht="15.75" customHeight="1">
      <c r="A2282" s="2">
        <v>2281.0</v>
      </c>
      <c r="B2282" s="5" t="s">
        <v>4148</v>
      </c>
      <c r="C2282" s="6">
        <v>2.0</v>
      </c>
      <c r="D2282" s="9" t="s">
        <v>4149</v>
      </c>
      <c r="E2282" s="8" t="str">
        <f>IFERROR(__xludf.DUMMYFUNCTION("googletranslate(D2282,""id"",""en"")"),"Innalillahi wa inna ilaihi rajiun. Allahummagfirlahu Warhamhu Wa'afihi Wa'fuanhu. Remember in the last jumatan before the tight PPKM he still filled out prayers at the AS-Syafi'iyah Al-Barkah Mosque")</f>
        <v>Innalillahi wa inna ilaihi rajiun. Allahummagfirlahu Warhamhu Wa'afihi Wa'fuanhu. Remember in the last jumatan before the tight PPKM he still filled out prayers at the AS-Syafi'iyah Al-Barkah Mosque</v>
      </c>
    </row>
    <row r="2283" ht="15.75" customHeight="1">
      <c r="A2283" s="2">
        <v>2282.0</v>
      </c>
      <c r="B2283" s="5" t="s">
        <v>4150</v>
      </c>
      <c r="C2283" s="6">
        <v>1.0</v>
      </c>
      <c r="D2283" s="7" t="s">
        <v>4150</v>
      </c>
      <c r="E2283" s="8" t="str">
        <f>IFERROR(__xludf.DUMMYFUNCTION("googletranslate(D2283,""id"",""en"")"),"Barber with a vape shop is threatened not to open ne during PPKM.")</f>
        <v>Barber with a vape shop is threatened not to open ne during PPKM.</v>
      </c>
    </row>
    <row r="2284" ht="15.75" customHeight="1">
      <c r="A2284" s="2">
        <v>2283.0</v>
      </c>
      <c r="B2284" s="5" t="s">
        <v>4151</v>
      </c>
      <c r="C2284" s="6">
        <v>2.0</v>
      </c>
      <c r="D2284" s="7" t="s">
        <v>4152</v>
      </c>
      <c r="E2284" s="8" t="str">
        <f>IFERROR(__xludf.DUMMYFUNCTION("googletranslate(D2284,""id"",""en"")"),"Again the mood run in the hotel room ... I want to take your run away but ppkm ... wkwwkwk")</f>
        <v>Again the mood run in the hotel room ... I want to take your run away but ppkm ... wkwwkwk</v>
      </c>
    </row>
    <row r="2285" ht="15.75" customHeight="1">
      <c r="A2285" s="2">
        <v>2284.0</v>
      </c>
      <c r="B2285" s="5" t="s">
        <v>4153</v>
      </c>
      <c r="C2285" s="6">
        <v>2.0</v>
      </c>
      <c r="D2285" s="9" t="s">
        <v>4153</v>
      </c>
      <c r="E2285" s="8" t="str">
        <f>IFERROR(__xludf.DUMMYFUNCTION("googletranslate(D2285,""id"",""en"")"),"Good morning PPKM still not passed ...")</f>
        <v>Good morning PPKM still not passed ...</v>
      </c>
    </row>
    <row r="2286" ht="15.75" customHeight="1">
      <c r="A2286" s="2">
        <v>2285.0</v>
      </c>
      <c r="B2286" s="5" t="s">
        <v>4154</v>
      </c>
      <c r="C2286" s="6">
        <v>1.0</v>
      </c>
      <c r="D2286" s="7" t="s">
        <v>4155</v>
      </c>
      <c r="E2286" s="8" t="str">
        <f>IFERROR(__xludf.DUMMYFUNCTION("googletranslate(D2286,""id"",""en"")"),"In West Sumatra PPKM JG Sis, in Indonesia, it was hit by him. The people can't go anywhere but tell them themselves to keep eating themselves")</f>
        <v>In West Sumatra PPKM JG Sis, in Indonesia, it was hit by him. The people can't go anywhere but tell them themselves to keep eating themselves</v>
      </c>
    </row>
    <row r="2287" ht="15.75" customHeight="1">
      <c r="A2287" s="2">
        <v>2286.0</v>
      </c>
      <c r="B2287" s="5" t="s">
        <v>4156</v>
      </c>
      <c r="C2287" s="6">
        <v>1.0</v>
      </c>
      <c r="D2287" s="7" t="s">
        <v>4157</v>
      </c>
      <c r="E2287" s="8" t="str">
        <f>IFERROR(__xludf.DUMMYFUNCTION("googletranslate(D2287,""id"",""en"")"),"pity the father, because PPKM he only can serve online tires")</f>
        <v>pity the father, because PPKM he only can serve online tires</v>
      </c>
    </row>
    <row r="2288" ht="15.75" customHeight="1">
      <c r="A2288" s="2">
        <v>2287.0</v>
      </c>
      <c r="B2288" s="5" t="s">
        <v>4158</v>
      </c>
      <c r="C2288" s="6">
        <v>2.0</v>
      </c>
      <c r="D2288" s="7" t="s">
        <v>4158</v>
      </c>
      <c r="E2288" s="8" t="str">
        <f>IFERROR(__xludf.DUMMYFUNCTION("googletranslate(D2288,""id"",""en"")"),"Ooh yes ppkm. Jd church online")</f>
        <v>Ooh yes ppkm. Jd church online</v>
      </c>
    </row>
    <row r="2289" ht="15.75" customHeight="1">
      <c r="A2289" s="2">
        <v>2288.0</v>
      </c>
      <c r="B2289" s="5" t="s">
        <v>4159</v>
      </c>
      <c r="C2289" s="6">
        <v>1.0</v>
      </c>
      <c r="D2289" s="7" t="s">
        <v>4160</v>
      </c>
      <c r="E2289" s="8" t="str">
        <f>IFERROR(__xludf.DUMMYFUNCTION("googletranslate(D2289,""id"",""en"")"),"Yes maybe yes, kasian also especially the upper dukuh area there so far it becomes quiet because PPKM is tight")</f>
        <v>Yes maybe yes, kasian also especially the upper dukuh area there so far it becomes quiet because PPKM is tight</v>
      </c>
    </row>
    <row r="2290" ht="15.75" customHeight="1">
      <c r="A2290" s="2">
        <v>2289.0</v>
      </c>
      <c r="B2290" s="5" t="s">
        <v>4161</v>
      </c>
      <c r="C2290" s="6">
        <v>1.0</v>
      </c>
      <c r="D2290" s="9" t="s">
        <v>4162</v>
      </c>
      <c r="E2290" s="8" t="str">
        <f>IFERROR(__xludf.DUMMYFUNCTION("googletranslate(D2290,""id"",""en"")"),"PEKOK ... FOR PPKM ... PLONGA PLONGO When did you back down ...?")</f>
        <v>PEKOK ... FOR PPKM ... PLONGA PLONGO When did you back down ...?</v>
      </c>
    </row>
    <row r="2291" ht="15.75" customHeight="1">
      <c r="A2291" s="2">
        <v>2290.0</v>
      </c>
      <c r="B2291" s="5" t="s">
        <v>4163</v>
      </c>
      <c r="C2291" s="6">
        <v>3.0</v>
      </c>
      <c r="D2291" s="7" t="s">
        <v>4164</v>
      </c>
      <c r="E2291" s="8" t="str">
        <f>IFERROR(__xludf.DUMMYFUNCTION("googletranslate(D2291,""id"",""en"")"),"Let's support Emergency PPKM for all our safety!")</f>
        <v>Let's support Emergency PPKM for all our safety!</v>
      </c>
    </row>
    <row r="2292" ht="15.75" customHeight="1">
      <c r="A2292" s="2">
        <v>2291.0</v>
      </c>
      <c r="B2292" s="5" t="s">
        <v>4165</v>
      </c>
      <c r="C2292" s="6">
        <v>3.0</v>
      </c>
      <c r="D2292" s="7" t="s">
        <v>4166</v>
      </c>
      <c r="E2292" s="8" t="str">
        <f>IFERROR(__xludf.DUMMYFUNCTION("googletranslate(D2292,""id"",""en"")"),"We support emergency ppkm")</f>
        <v>We support emergency ppkm</v>
      </c>
    </row>
    <row r="2293" ht="15.75" customHeight="1">
      <c r="A2293" s="2">
        <v>2292.0</v>
      </c>
      <c r="B2293" s="5" t="s">
        <v>4167</v>
      </c>
      <c r="C2293" s="6">
        <v>1.0</v>
      </c>
      <c r="D2293" s="7" t="s">
        <v>4168</v>
      </c>
      <c r="E2293" s="8" t="str">
        <f>IFERROR(__xludf.DUMMYFUNCTION("googletranslate(D2293,""id"",""en"")"),"I am as an online taxi driver for almost two weeks, there is a nohil life again, starting to owe the right left to meet the needs of my household, the car deposit has started to arrest ... Hopefully this PPKM will end ...")</f>
        <v>I am as an online taxi driver for almost two weeks, there is a nohil life again, starting to owe the right left to meet the needs of my household, the car deposit has started to arrest ... Hopefully this PPKM will end ...</v>
      </c>
    </row>
    <row r="2294" ht="15.75" customHeight="1">
      <c r="A2294" s="2">
        <v>2293.0</v>
      </c>
      <c r="B2294" s="5" t="s">
        <v>4169</v>
      </c>
      <c r="C2294" s="6">
        <v>1.0</v>
      </c>
      <c r="D2294" s="7" t="s">
        <v>4170</v>
      </c>
      <c r="E2294" s="8" t="str">
        <f>IFERROR(__xludf.DUMMYFUNCTION("googletranslate(D2294,""id"",""en"")"),"Examples that are detrimental to the PPKM people")</f>
        <v>Examples that are detrimental to the PPKM people</v>
      </c>
    </row>
    <row r="2295" ht="15.75" customHeight="1">
      <c r="A2295" s="2">
        <v>2294.0</v>
      </c>
      <c r="B2295" s="5" t="s">
        <v>4171</v>
      </c>
      <c r="C2295" s="6">
        <v>1.0</v>
      </c>
      <c r="D2295" s="9" t="s">
        <v>4172</v>
      </c>
      <c r="E2295" s="8" t="str">
        <f>IFERROR(__xludf.DUMMYFUNCTION("googletranslate(D2295,""id"",""en"")"),"By the way ... the company whispered by SJA admitted to doing an emergency PPKM, Lahhh Lu who wasn't clear about what he really was actually")</f>
        <v>By the way ... the company whispered by SJA admitted to doing an emergency PPKM, Lahhh Lu who wasn't clear about what he really was actually</v>
      </c>
    </row>
    <row r="2296" ht="15.75" customHeight="1">
      <c r="A2296" s="2">
        <v>2295.0</v>
      </c>
      <c r="B2296" s="5" t="s">
        <v>4173</v>
      </c>
      <c r="C2296" s="6">
        <v>3.0</v>
      </c>
      <c r="D2296" s="9" t="s">
        <v>4174</v>
      </c>
      <c r="E2296" s="8" t="str">
        <f>IFERROR(__xludf.DUMMYFUNCTION("googletranslate(D2296,""id"",""en"")"),"Steady, hopefully the PPKM step is right and can be a solution ...")</f>
        <v>Steady, hopefully the PPKM step is right and can be a solution ...</v>
      </c>
    </row>
    <row r="2297" ht="15.75" customHeight="1">
      <c r="A2297" s="2">
        <v>2296.0</v>
      </c>
      <c r="B2297" s="5" t="s">
        <v>4175</v>
      </c>
      <c r="C2297" s="6">
        <v>2.0</v>
      </c>
      <c r="D2297" s="7" t="s">
        <v>4176</v>
      </c>
      <c r="E2297" s="8" t="str">
        <f>IFERROR(__xludf.DUMMYFUNCTION("googletranslate(D2297,""id"",""en"")"),"PPKPagi morning keep martabak")</f>
        <v>PPKPagi morning keep martabak</v>
      </c>
    </row>
    <row r="2298" ht="15.75" customHeight="1">
      <c r="A2298" s="2">
        <v>2297.0</v>
      </c>
      <c r="B2298" s="5" t="s">
        <v>4177</v>
      </c>
      <c r="C2298" s="6">
        <v>1.0</v>
      </c>
      <c r="D2298" s="9" t="s">
        <v>4178</v>
      </c>
      <c r="E2298" s="8" t="str">
        <f>IFERROR(__xludf.DUMMYFUNCTION("googletranslate(D2298,""id"",""en"")"),"- Sembako received by PPN% - Process violators (specifically for common people) fine jt- ppkm just unloading small stalls, night clubs and road massage nursing homes. - The vaccine must be purchased, if you want to free the quality, the quality is greeted"&amp;" with a festive reason According to Prokes")</f>
        <v>- Sembako received by PPN% - Process violators (specifically for common people) fine jt- ppkm just unloading small stalls, night clubs and road massage nursing homes. - The vaccine must be purchased, if you want to free the quality, the quality is greeted with a festive reason According to Prokes</v>
      </c>
    </row>
    <row r="2299" ht="15.75" customHeight="1">
      <c r="A2299" s="2">
        <v>2298.0</v>
      </c>
      <c r="B2299" s="5" t="s">
        <v>4179</v>
      </c>
      <c r="C2299" s="6">
        <v>2.0</v>
      </c>
      <c r="D2299" s="7" t="s">
        <v>4180</v>
      </c>
      <c r="E2299" s="8" t="str">
        <f>IFERROR(__xludf.DUMMYFUNCTION("googletranslate(D2299,""id"",""en"")"),"Looking for Calapang while jogging there ... gada ppkm right in the field?")</f>
        <v>Looking for Calapang while jogging there ... gada ppkm right in the field?</v>
      </c>
    </row>
    <row r="2300" ht="15.75" customHeight="1">
      <c r="A2300" s="2">
        <v>2299.0</v>
      </c>
      <c r="B2300" s="5" t="s">
        <v>4181</v>
      </c>
      <c r="C2300" s="6">
        <v>3.0</v>
      </c>
      <c r="D2300" s="9" t="s">
        <v>4182</v>
      </c>
      <c r="E2300" s="8" t="str">
        <f>IFERROR(__xludf.DUMMYFUNCTION("googletranslate(D2300,""id"",""en"")"),"PPKM is right, according to me.")</f>
        <v>PPKM is right, according to me.</v>
      </c>
    </row>
    <row r="2301" ht="15.75" customHeight="1">
      <c r="A2301" s="2">
        <v>2300.0</v>
      </c>
      <c r="B2301" s="5" t="s">
        <v>4183</v>
      </c>
      <c r="C2301" s="6">
        <v>2.0</v>
      </c>
      <c r="D2301" s="7" t="s">
        <v>4184</v>
      </c>
      <c r="E2301" s="8" t="str">
        <f>IFERROR(__xludf.DUMMYFUNCTION("googletranslate(D2301,""id"",""en"")"),"PPKM Want to Girlfriend Km")</f>
        <v>PPKM Want to Girlfriend Km</v>
      </c>
    </row>
    <row r="2302" ht="15.75" customHeight="1">
      <c r="A2302" s="2">
        <v>2301.0</v>
      </c>
      <c r="B2302" s="5" t="s">
        <v>4185</v>
      </c>
      <c r="C2302" s="6">
        <v>2.0</v>
      </c>
      <c r="D2302" s="7" t="s">
        <v>4186</v>
      </c>
      <c r="E2302" s="8" t="str">
        <f>IFERROR(__xludf.DUMMYFUNCTION("googletranslate(D2302,""id"",""en"")"),"Want chicken porridge but again ppkm")</f>
        <v>Want chicken porridge but again ppkm</v>
      </c>
    </row>
    <row r="2303" ht="15.75" customHeight="1">
      <c r="A2303" s="2">
        <v>2302.0</v>
      </c>
      <c r="B2303" s="5" t="s">
        <v>4187</v>
      </c>
      <c r="C2303" s="6">
        <v>2.0</v>
      </c>
      <c r="D2303" s="7" t="s">
        <v>4188</v>
      </c>
      <c r="E2303" s="8" t="str">
        <f>IFERROR(__xludf.DUMMYFUNCTION("googletranslate(D2303,""id"",""en"")"),"Iyalah, PPKM is July")</f>
        <v>Iyalah, PPKM is July</v>
      </c>
    </row>
    <row r="2304" ht="15.75" customHeight="1">
      <c r="A2304" s="2">
        <v>2303.0</v>
      </c>
      <c r="B2304" s="5" t="s">
        <v>4189</v>
      </c>
      <c r="C2304" s="6">
        <v>1.0</v>
      </c>
      <c r="D2304" s="9" t="s">
        <v>4190</v>
      </c>
      <c r="E2304" s="8" t="str">
        <f>IFERROR(__xludf.DUMMYFUNCTION("googletranslate(D2304,""id"",""en"")"),"Morning has released unek because it was made with traveloka, so the story would want to staycation in one of the hotels in the hotel already booked from before PPKM, it turned out that when we chose it was the time for the PPKM, finally because we wanted"&amp;" to obey the government's rules decided to reschedule")</f>
        <v>Morning has released unek because it was made with traveloka, so the story would want to staycation in one of the hotels in the hotel already booked from before PPKM, it turned out that when we chose it was the time for the PPKM, finally because we wanted to obey the government's rules decided to reschedule</v>
      </c>
    </row>
    <row r="2305" ht="15.75" customHeight="1">
      <c r="A2305" s="2">
        <v>2304.0</v>
      </c>
      <c r="B2305" s="5" t="s">
        <v>4191</v>
      </c>
      <c r="C2305" s="6">
        <v>2.0</v>
      </c>
      <c r="D2305" s="9" t="s">
        <v>4192</v>
      </c>
      <c r="E2305" s="8" t="str">
        <f>IFERROR(__xludf.DUMMYFUNCTION("googletranslate(D2305,""id"",""en"")"),"If the real incident, finish his lips on the dower because of the car tire niupin")</f>
        <v>If the real incident, finish his lips on the dower because of the car tire niupin</v>
      </c>
    </row>
    <row r="2306" ht="15.75" customHeight="1">
      <c r="A2306" s="2">
        <v>2305.0</v>
      </c>
      <c r="B2306" s="5" t="s">
        <v>4193</v>
      </c>
      <c r="C2306" s="6">
        <v>1.0</v>
      </c>
      <c r="D2306" s="9" t="s">
        <v>4194</v>
      </c>
      <c r="E2306" s="8" t="str">
        <f>IFERROR(__xludf.DUMMYFUNCTION("googletranslate(D2306,""id"",""en"")"),"Ppkm deck ... some kind of lockdown but don't want to eat")</f>
        <v>Ppkm deck ... some kind of lockdown but don't want to eat</v>
      </c>
    </row>
    <row r="2307" ht="15.75" customHeight="1">
      <c r="A2307" s="2">
        <v>2306.0</v>
      </c>
      <c r="B2307" s="5" t="s">
        <v>4195</v>
      </c>
      <c r="C2307" s="6">
        <v>2.0</v>
      </c>
      <c r="D2307" s="7" t="s">
        <v>4196</v>
      </c>
      <c r="E2307" s="8" t="str">
        <f>IFERROR(__xludf.DUMMYFUNCTION("googletranslate(D2307,""id"",""en"")"),"this is the nder I krumah he brought martabak trs he invited selfiee, abistu lsg go home because of the ppkm also kannn")</f>
        <v>this is the nder I krumah he brought martabak trs he invited selfiee, abistu lsg go home because of the ppkm also kannn</v>
      </c>
    </row>
    <row r="2308" ht="15.75" customHeight="1">
      <c r="A2308" s="2">
        <v>2307.0</v>
      </c>
      <c r="B2308" s="5" t="s">
        <v>4197</v>
      </c>
      <c r="C2308" s="6">
        <v>2.0</v>
      </c>
      <c r="D2308" s="9" t="s">
        <v>4198</v>
      </c>
      <c r="E2308" s="8" t="str">
        <f>IFERROR(__xludf.DUMMYFUNCTION("googletranslate(D2308,""id"",""en"")"),"The path that is closed during PPKM-Kota Batu - Malang City - Malang Regency - Malang City - for me")</f>
        <v>The path that is closed during PPKM-Kota Batu - Malang City - Malang Regency - Malang City - for me</v>
      </c>
    </row>
    <row r="2309" ht="15.75" customHeight="1">
      <c r="A2309" s="2">
        <v>2308.0</v>
      </c>
      <c r="B2309" s="5" t="s">
        <v>4199</v>
      </c>
      <c r="C2309" s="6">
        <v>1.0</v>
      </c>
      <c r="D2309" s="9" t="s">
        <v>4200</v>
      </c>
      <c r="E2309" s="8" t="str">
        <f>IFERROR(__xludf.DUMMYFUNCTION("googletranslate(D2309,""id"",""en"")"),"Is it just a feat that thinks if Dr. Lois just divert the issue when Covid's number is increasingly high and there are individuals who are confronted with PPKM, right?")</f>
        <v>Is it just a feat that thinks if Dr. Lois just divert the issue when Covid's number is increasingly high and there are individuals who are confronted with PPKM, right?</v>
      </c>
    </row>
    <row r="2310" ht="15.75" customHeight="1">
      <c r="A2310" s="2">
        <v>2309.0</v>
      </c>
      <c r="B2310" s="5" t="s">
        <v>4201</v>
      </c>
      <c r="C2310" s="6">
        <v>1.0</v>
      </c>
      <c r="D2310" s="7" t="s">
        <v>4202</v>
      </c>
      <c r="E2310" s="8" t="str">
        <f>IFERROR(__xludf.DUMMYFUNCTION("googletranslate(D2310,""id"",""en"")"),"ppkm rarely have a kasi eat mba times")</f>
        <v>ppkm rarely have a kasi eat mba times</v>
      </c>
    </row>
    <row r="2311" ht="15.75" customHeight="1">
      <c r="A2311" s="2">
        <v>2310.0</v>
      </c>
      <c r="B2311" s="5" t="s">
        <v>4203</v>
      </c>
      <c r="C2311" s="6">
        <v>1.0</v>
      </c>
      <c r="D2311" s="7" t="s">
        <v>4204</v>
      </c>
      <c r="E2311" s="8" t="str">
        <f>IFERROR(__xludf.DUMMYFUNCTION("googletranslate(D2311,""id"",""en"")"),"Slow down we modar = ppkm")</f>
        <v>Slow down we modar = ppkm</v>
      </c>
    </row>
    <row r="2312" ht="15.75" customHeight="1">
      <c r="A2312" s="2">
        <v>2311.0</v>
      </c>
      <c r="B2312" s="5" t="s">
        <v>4205</v>
      </c>
      <c r="C2312" s="6">
        <v>2.0</v>
      </c>
      <c r="D2312" s="7" t="s">
        <v>4205</v>
      </c>
      <c r="E2312" s="8" t="str">
        <f>IFERROR(__xludf.DUMMYFUNCTION("googletranslate(D2312,""id"",""en"")"),"Btw field again emergency ppkm. This is the same ppkm like this area of ​​Java, it's not")</f>
        <v>Btw field again emergency ppkm. This is the same ppkm like this area of ​​Java, it's not</v>
      </c>
    </row>
    <row r="2313" ht="15.75" customHeight="1">
      <c r="A2313" s="2">
        <v>2312.0</v>
      </c>
      <c r="B2313" s="5" t="s">
        <v>4206</v>
      </c>
      <c r="C2313" s="6">
        <v>1.0</v>
      </c>
      <c r="D2313" s="9" t="s">
        <v>4207</v>
      </c>
      <c r="E2313" s="8" t="str">
        <f>IFERROR(__xludf.DUMMYFUNCTION("googletranslate(D2313,""id"",""en"")"),"PKL has a lot of impact ... but what can I make it, I still sell trade even though the condition is still ppkm and I sell it too, it's just even at night, if there is a help from the government without just ""or not pakek frills ""tits bilak ya grateful ."&amp;"..")</f>
        <v>PKL has a lot of impact ... but what can I make it, I still sell trade even though the condition is still ppkm and I sell it too, it's just even at night, if there is a help from the government without just "or not pakek frills "tits bilak ya grateful ...</v>
      </c>
    </row>
    <row r="2314" ht="15.75" customHeight="1">
      <c r="A2314" s="2">
        <v>2313.0</v>
      </c>
      <c r="B2314" s="5" t="s">
        <v>4208</v>
      </c>
      <c r="C2314" s="6">
        <v>2.0</v>
      </c>
      <c r="D2314" s="7" t="s">
        <v>4209</v>
      </c>
      <c r="E2314" s="8" t="str">
        <f>IFERROR(__xludf.DUMMYFUNCTION("googletranslate(D2314,""id"",""en"")"),"So it adds to it ..... it relieves the latest PPKM because")</f>
        <v>So it adds to it ..... it relieves the latest PPKM because</v>
      </c>
    </row>
    <row r="2315" ht="15.75" customHeight="1">
      <c r="A2315" s="2">
        <v>2314.0</v>
      </c>
      <c r="B2315" s="5" t="s">
        <v>4210</v>
      </c>
      <c r="C2315" s="6">
        <v>2.0</v>
      </c>
      <c r="D2315" s="9" t="s">
        <v>4211</v>
      </c>
      <c r="E2315" s="8" t="str">
        <f>IFERROR(__xludf.DUMMYFUNCTION("googletranslate(D2315,""id"",""en"")"),"PPKM: Once PDKT then disappeared wkwkwkw ahahaaa .... yes, I always become a victim")</f>
        <v>PPKM: Once PDKT then disappeared wkwkwkw ahahaaa .... yes, I always become a victim</v>
      </c>
    </row>
    <row r="2316" ht="15.75" customHeight="1">
      <c r="A2316" s="2">
        <v>2315.0</v>
      </c>
      <c r="B2316" s="5" t="s">
        <v>4212</v>
      </c>
      <c r="C2316" s="6">
        <v>1.0</v>
      </c>
      <c r="D2316" s="9" t="s">
        <v>4213</v>
      </c>
      <c r="E2316" s="8" t="str">
        <f>IFERROR(__xludf.DUMMYFUNCTION("googletranslate(D2316,""id"",""en"")"),"Hi MBA, I always support Emergency PPKM enforcement, as long as it is done correctly and does not select, not for the sake of sensation. Lha Wong just walked out of the area how come after Lebaran. This is if Mr. Anies angry is also great")</f>
        <v>Hi MBA, I always support Emergency PPKM enforcement, as long as it is done correctly and does not select, not for the sake of sensation. Lha Wong just walked out of the area how come after Lebaran. This is if Mr. Anies angry is also great</v>
      </c>
    </row>
    <row r="2317" ht="15.75" customHeight="1">
      <c r="A2317" s="2">
        <v>2316.0</v>
      </c>
      <c r="B2317" s="5" t="s">
        <v>4214</v>
      </c>
      <c r="C2317" s="6">
        <v>3.0</v>
      </c>
      <c r="D2317" s="7" t="s">
        <v>4215</v>
      </c>
      <c r="E2317" s="8" t="str">
        <f>IFERROR(__xludf.DUMMYFUNCTION("googletranslate(D2317,""id"",""en"")"),"Take care of Indonesia. Obey prokes All can be done drmh.btw kaosku cool ya nkri forward without TPPU-PT")</f>
        <v>Take care of Indonesia. Obey prokes All can be done drmh.btw kaosku cool ya nkri forward without TPPU-PT</v>
      </c>
    </row>
    <row r="2318" ht="15.75" customHeight="1">
      <c r="A2318" s="2">
        <v>2317.0</v>
      </c>
      <c r="B2318" s="5" t="s">
        <v>4216</v>
      </c>
      <c r="C2318" s="6">
        <v>1.0</v>
      </c>
      <c r="D2318" s="7" t="s">
        <v>4217</v>
      </c>
      <c r="E2318" s="8" t="str">
        <f>IFERROR(__xludf.DUMMYFUNCTION("googletranslate(D2318,""id"",""en"")"),"Benerr, the brother of the BDSM is PPKM")</f>
        <v>Benerr, the brother of the BDSM is PPKM</v>
      </c>
    </row>
    <row r="2319" ht="15.75" customHeight="1">
      <c r="A2319" s="2">
        <v>2318.0</v>
      </c>
      <c r="B2319" s="5" t="s">
        <v>4218</v>
      </c>
      <c r="C2319" s="6">
        <v>2.0</v>
      </c>
      <c r="D2319" s="9" t="s">
        <v>4219</v>
      </c>
      <c r="E2319" s="8" t="str">
        <f>IFERROR(__xludf.DUMMYFUNCTION("googletranslate(D2319,""id"",""en"")"),"Emergency PPKM insulation in Lamongan is expanded. If previously it was only applied around the square, it was now expanded to several roads.")</f>
        <v>Emergency PPKM insulation in Lamongan is expanded. If previously it was only applied around the square, it was now expanded to several roads.</v>
      </c>
    </row>
    <row r="2320" ht="15.75" customHeight="1">
      <c r="A2320" s="2">
        <v>2319.0</v>
      </c>
      <c r="B2320" s="5" t="s">
        <v>4220</v>
      </c>
      <c r="C2320" s="6">
        <v>1.0</v>
      </c>
      <c r="D2320" s="9" t="s">
        <v>4221</v>
      </c>
      <c r="E2320" s="8" t="str">
        <f>IFERROR(__xludf.DUMMYFUNCTION("googletranslate(D2320,""id"",""en"")"),"If you want the Emergency Emergency PPKM, it is really not out of the house, it should be initiated by broadcasting this ball in Bukak on TV and free to see the paid tan on the TV channel. Agree..? Patuhi Prokes5m")</f>
        <v>If you want the Emergency Emergency PPKM, it is really not out of the house, it should be initiated by broadcasting this ball in Bukak on TV and free to see the paid tan on the TV channel. Agree..? Patuhi Prokes5m</v>
      </c>
    </row>
    <row r="2321" ht="15.75" customHeight="1">
      <c r="A2321" s="2">
        <v>2320.0</v>
      </c>
      <c r="B2321" s="5" t="s">
        <v>4222</v>
      </c>
      <c r="C2321" s="6">
        <v>2.0</v>
      </c>
      <c r="D2321" s="7" t="s">
        <v>4223</v>
      </c>
      <c r="E2321" s="8" t="str">
        <f>IFERROR(__xludf.DUMMYFUNCTION("googletranslate(D2321,""id"",""en"")"),"Ppkm ... never believed then regretted")</f>
        <v>Ppkm ... never believed then regretted</v>
      </c>
    </row>
    <row r="2322" ht="15.75" customHeight="1">
      <c r="A2322" s="2">
        <v>2321.0</v>
      </c>
      <c r="B2322" s="5" t="s">
        <v>4224</v>
      </c>
      <c r="C2322" s="6">
        <v>2.0</v>
      </c>
      <c r="D2322" s="7" t="s">
        <v>4225</v>
      </c>
      <c r="E2322" s="8" t="str">
        <f>IFERROR(__xludf.DUMMYFUNCTION("googletranslate(D2322,""id"",""en"")"),"so that it is traveling when PPKM")</f>
        <v>so that it is traveling when PPKM</v>
      </c>
    </row>
    <row r="2323" ht="15.75" customHeight="1">
      <c r="A2323" s="2">
        <v>2322.0</v>
      </c>
      <c r="B2323" s="5" t="s">
        <v>4226</v>
      </c>
      <c r="C2323" s="6">
        <v>2.0</v>
      </c>
      <c r="D2323" s="9" t="s">
        <v>4227</v>
      </c>
      <c r="E2323" s="8" t="str">
        <f>IFERROR(__xludf.DUMMYFUNCTION("googletranslate(D2323,""id"",""en"")"),"wait for PPKM to finish Daa heheh")</f>
        <v>wait for PPKM to finish Daa heheh</v>
      </c>
    </row>
    <row r="2324" ht="15.75" customHeight="1">
      <c r="A2324" s="2">
        <v>2323.0</v>
      </c>
      <c r="B2324" s="5" t="s">
        <v>4228</v>
      </c>
      <c r="C2324" s="6">
        <v>3.0</v>
      </c>
      <c r="D2324" s="9" t="s">
        <v>4229</v>
      </c>
      <c r="E2324" s="8" t="str">
        <f>IFERROR(__xludf.DUMMYFUNCTION("googletranslate(D2324,""id"",""en"")"),"he said to be bored at home, bro, bro, bro, it's not looking for duitcoba if the emergency ppkm before applies, you can't obey the progress, I think the emergency ppkm will not be ad. Dah skrg, follow the rules. Everything is done for our good goodness. D"&amp;"on't forget vaccine")</f>
        <v>he said to be bored at home, bro, bro, bro, it's not looking for duitcoba if the emergency ppkm before applies, you can't obey the progress, I think the emergency ppkm will not be ad. Dah skrg, follow the rules. Everything is done for our good goodness. Don't forget vaccine</v>
      </c>
    </row>
    <row r="2325" ht="15.75" customHeight="1">
      <c r="A2325" s="2">
        <v>2324.0</v>
      </c>
      <c r="B2325" s="5" t="s">
        <v>4230</v>
      </c>
      <c r="C2325" s="6">
        <v>2.0</v>
      </c>
      <c r="D2325" s="10" t="s">
        <v>4231</v>
      </c>
      <c r="E2325" s="8" t="str">
        <f>IFERROR(__xludf.DUMMYFUNCTION("googletranslate(D2325,""id"",""en"")"),"Ah again PPKM.")</f>
        <v>Ah again PPKM.</v>
      </c>
    </row>
    <row r="2326" ht="15.75" customHeight="1">
      <c r="A2326" s="2">
        <v>2325.0</v>
      </c>
      <c r="B2326" s="5" t="s">
        <v>4232</v>
      </c>
      <c r="C2326" s="6">
        <v>3.0</v>
      </c>
      <c r="D2326" s="7" t="s">
        <v>4233</v>
      </c>
      <c r="E2326" s="8" t="str">
        <f>IFERROR(__xludf.DUMMYFUNCTION("googletranslate(D2326,""id"",""en"")"),"Ask the regional heads and staff to seriously carry out the implementation of the restrictions on emergency community activities (PPKM). Regional Heads must ignore political interests and focus on handling people's safety")</f>
        <v>Ask the regional heads and staff to seriously carry out the implementation of the restrictions on emergency community activities (PPKM). Regional Heads must ignore political interests and focus on handling people's safety</v>
      </c>
    </row>
    <row r="2327" ht="15.75" customHeight="1">
      <c r="A2327" s="2">
        <v>2326.0</v>
      </c>
      <c r="B2327" s="5" t="s">
        <v>4234</v>
      </c>
      <c r="C2327" s="6">
        <v>3.0</v>
      </c>
      <c r="D2327" s="9" t="s">
        <v>4235</v>
      </c>
      <c r="E2327" s="8" t="str">
        <f>IFERROR(__xludf.DUMMYFUNCTION("googletranslate(D2327,""id"",""en"")"),"Covid-19 must be quickly taken by the precautions. The emergencyPKM emergency becomes very important to carry out")</f>
        <v>Covid-19 must be quickly taken by the precautions. The emergencyPKM emergency becomes very important to carry out</v>
      </c>
    </row>
    <row r="2328" ht="15.75" customHeight="1">
      <c r="A2328" s="2">
        <v>2327.0</v>
      </c>
      <c r="B2328" s="5" t="s">
        <v>4236</v>
      </c>
      <c r="C2328" s="6">
        <v>1.0</v>
      </c>
      <c r="D2328" s="7" t="s">
        <v>4237</v>
      </c>
      <c r="E2328" s="8" t="str">
        <f>IFERROR(__xludf.DUMMYFUNCTION("googletranslate(D2328,""id"",""en"")"),"PPKM raises violence and forgiveness that is displayed")</f>
        <v>PPKM raises violence and forgiveness that is displayed</v>
      </c>
    </row>
    <row r="2329" ht="15.75" customHeight="1">
      <c r="A2329" s="2">
        <v>2328.0</v>
      </c>
      <c r="B2329" s="5" t="s">
        <v>4238</v>
      </c>
      <c r="C2329" s="6">
        <v>2.0</v>
      </c>
      <c r="D2329" s="7" t="s">
        <v>4239</v>
      </c>
      <c r="E2329" s="8" t="str">
        <f>IFERROR(__xludf.DUMMYFUNCTION("googletranslate(D2329,""id"",""en"")"),"bsk we emergency ppkm kira2 who jalan2 ap yh")</f>
        <v>bsk we emergency ppkm kira2 who jalan2 ap yh</v>
      </c>
    </row>
    <row r="2330" ht="15.75" customHeight="1">
      <c r="A2330" s="2">
        <v>2329.0</v>
      </c>
      <c r="B2330" s="5" t="s">
        <v>4240</v>
      </c>
      <c r="C2330" s="6">
        <v>3.0</v>
      </c>
      <c r="D2330" s="7" t="s">
        <v>4241</v>
      </c>
      <c r="E2330" s="8" t="str">
        <f>IFERROR(__xludf.DUMMYFUNCTION("googletranslate(D2330,""id"",""en"")"),"Already prepared sanctions for regional heads, Come on, the head of the Emergency Emergency PPKM Regional Head is executed, the love of your citizens and businesses that violate this emergency PPKM provision ... the best region.")</f>
        <v>Already prepared sanctions for regional heads, Come on, the head of the Emergency Emergency PPKM Regional Head is executed, the love of your citizens and businesses that violate this emergency PPKM provision ... the best region.</v>
      </c>
    </row>
    <row r="2331" ht="15.75" customHeight="1">
      <c r="A2331" s="2">
        <v>2330.0</v>
      </c>
      <c r="B2331" s="5" t="s">
        <v>4242</v>
      </c>
      <c r="C2331" s="6">
        <v>2.0</v>
      </c>
      <c r="D2331" s="10" t="s">
        <v>4243</v>
      </c>
      <c r="E2331" s="8" t="str">
        <f>IFERROR(__xludf.DUMMYFUNCTION("googletranslate(D2331,""id"",""en"")"),"Again PPKM Sis")</f>
        <v>Again PPKM Sis</v>
      </c>
    </row>
    <row r="2332" ht="15.75" customHeight="1">
      <c r="A2332" s="2">
        <v>2331.0</v>
      </c>
      <c r="B2332" s="5" t="s">
        <v>4244</v>
      </c>
      <c r="C2332" s="6">
        <v>1.0</v>
      </c>
      <c r="D2332" s="9" t="s">
        <v>4245</v>
      </c>
      <c r="E2332" s="8" t="str">
        <f>IFERROR(__xludf.DUMMYFUNCTION("googletranslate(D2332,""id"",""en"")"),"Never mind it is not borne by eating, look for eating at PPKM, ehhh vaccine is being to buy, if it's not a vaccine inhibited can't go anywhere and can't take care of everything, how much else does it miserable the people?")</f>
        <v>Never mind it is not borne by eating, look for eating at PPKM, ehhh vaccine is being to buy, if it's not a vaccine inhibited can't go anywhere and can't take care of everything, how much else does it miserable the people?</v>
      </c>
    </row>
    <row r="2333" ht="15.75" customHeight="1">
      <c r="A2333" s="2">
        <v>2332.0</v>
      </c>
      <c r="B2333" s="5" t="s">
        <v>4246</v>
      </c>
      <c r="C2333" s="6">
        <v>2.0</v>
      </c>
      <c r="D2333" s="7" t="s">
        <v>4247</v>
      </c>
      <c r="E2333" s="8" t="str">
        <f>IFERROR(__xludf.DUMMYFUNCTION("googletranslate(D2333,""id"",""en"")"),"Where is the emergency ppkm?")</f>
        <v>Where is the emergency ppkm?</v>
      </c>
    </row>
    <row r="2334" ht="15.75" customHeight="1">
      <c r="A2334" s="2">
        <v>2333.0</v>
      </c>
      <c r="B2334" s="5" t="s">
        <v>4248</v>
      </c>
      <c r="C2334" s="6">
        <v>3.0</v>
      </c>
      <c r="D2334" s="9" t="s">
        <v>4249</v>
      </c>
      <c r="E2334" s="8" t="str">
        <f>IFERROR(__xludf.DUMMYFUNCTION("googletranslate(D2334,""id"",""en"")"),"Lonely, how come the ppkm ky, it's normal, the crowds, but it's a peaceful thing. So you know, oh this is if it's nyepi kyk in Bali")</f>
        <v>Lonely, how come the ppkm ky, it's normal, the crowds, but it's a peaceful thing. So you know, oh this is if it's nyepi kyk in Bali</v>
      </c>
    </row>
    <row r="2335" ht="15.75" customHeight="1">
      <c r="A2335" s="2">
        <v>2334.0</v>
      </c>
      <c r="B2335" s="5" t="s">
        <v>4250</v>
      </c>
      <c r="C2335" s="6">
        <v>2.0</v>
      </c>
      <c r="D2335" s="7" t="s">
        <v>4251</v>
      </c>
      <c r="E2335" s="8" t="str">
        <f>IFERROR(__xludf.DUMMYFUNCTION("googletranslate(D2335,""id"",""en"")"),": Psbb2021: ppkm2022 :?")</f>
        <v>: Psbb2021: ppkm2022 :?</v>
      </c>
    </row>
    <row r="2336" ht="15.75" customHeight="1">
      <c r="A2336" s="2">
        <v>2335.0</v>
      </c>
      <c r="B2336" s="5" t="s">
        <v>4252</v>
      </c>
      <c r="C2336" s="6">
        <v>2.0</v>
      </c>
      <c r="D2336" s="9" t="s">
        <v>4253</v>
      </c>
      <c r="E2336" s="8" t="str">
        <f>IFERROR(__xludf.DUMMYFUNCTION("googletranslate(D2336,""id"",""en"")"),"Dah Pesen Ticket Dr Before PPKM")</f>
        <v>Dah Pesen Ticket Dr Before PPKM</v>
      </c>
    </row>
    <row r="2337" ht="15.75" customHeight="1">
      <c r="A2337" s="2">
        <v>2336.0</v>
      </c>
      <c r="B2337" s="5" t="s">
        <v>4254</v>
      </c>
      <c r="C2337" s="6">
        <v>3.0</v>
      </c>
      <c r="D2337" s="7" t="s">
        <v>4255</v>
      </c>
      <c r="E2337" s="8" t="str">
        <f>IFERROR(__xludf.DUMMYFUNCTION("googletranslate(D2337,""id"",""en"")"),"Mari PPKM Cause is more important to fight for.")</f>
        <v>Mari PPKM Cause is more important to fight for.</v>
      </c>
    </row>
    <row r="2338" ht="15.75" customHeight="1">
      <c r="A2338" s="2">
        <v>2337.0</v>
      </c>
      <c r="B2338" s="5" t="s">
        <v>4256</v>
      </c>
      <c r="C2338" s="6">
        <v>1.0</v>
      </c>
      <c r="D2338" s="9" t="s">
        <v>4257</v>
      </c>
      <c r="E2338" s="8" t="str">
        <f>IFERROR(__xludf.DUMMYFUNCTION("googletranslate(D2338,""id"",""en"")"),"The fruit falls not far from the tree. The leader is stupid, yes his men are stupid. Mosjid is still a lot open. Sweeping is just a mosque on the highway. Even then, I can still be a jumatan where the DKM steal the steal and accounting sense ... always th"&amp;"e mosque is in the camp. Guy. The PPKM is just a marked MRK")</f>
        <v>The fruit falls not far from the tree. The leader is stupid, yes his men are stupid. Mosjid is still a lot open. Sweeping is just a mosque on the highway. Even then, I can still be a jumatan where the DKM steal the steal and accounting sense ... always the mosque is in the camp. Guy. The PPKM is just a marked MRK</v>
      </c>
    </row>
    <row r="2339" ht="15.75" customHeight="1">
      <c r="A2339" s="2">
        <v>2338.0</v>
      </c>
      <c r="B2339" s="5" t="s">
        <v>4258</v>
      </c>
      <c r="C2339" s="6">
        <v>1.0</v>
      </c>
      <c r="D2339" s="7" t="s">
        <v>4258</v>
      </c>
      <c r="E2339" s="8" t="str">
        <f>IFERROR(__xludf.DUMMYFUNCTION("googletranslate(D2339,""id"",""en"")"),"Saturday isn't everywhere? But PPKM also has been confused")</f>
        <v>Saturday isn't everywhere? But PPKM also has been confused</v>
      </c>
    </row>
    <row r="2340" ht="15.75" customHeight="1">
      <c r="A2340" s="2">
        <v>2339.0</v>
      </c>
      <c r="B2340" s="5" t="s">
        <v>4259</v>
      </c>
      <c r="C2340" s="6">
        <v>3.0</v>
      </c>
      <c r="D2340" s="7" t="s">
        <v>4260</v>
      </c>
      <c r="E2340" s="8" t="str">
        <f>IFERROR(__xludf.DUMMYFUNCTION("googletranslate(D2340,""id"",""en"")"),"Firmly an emergency PPKM offender")</f>
        <v>Firmly an emergency PPKM offender</v>
      </c>
    </row>
    <row r="2341" ht="15.75" customHeight="1">
      <c r="A2341" s="2">
        <v>2340.0</v>
      </c>
      <c r="B2341" s="5" t="s">
        <v>4261</v>
      </c>
      <c r="C2341" s="6">
        <v>2.0</v>
      </c>
      <c r="D2341" s="7" t="s">
        <v>4262</v>
      </c>
      <c r="E2341" s="8" t="str">
        <f>IFERROR(__xludf.DUMMYFUNCTION("googletranslate(D2341,""id"",""en"")"),"There is a buzzer who tangent about the anger of Mr. Anies K company insurance that is not obedient to Emergency PPKM. Who is the buzzer?")</f>
        <v>There is a buzzer who tangent about the anger of Mr. Anies K company insurance that is not obedient to Emergency PPKM. Who is the buzzer?</v>
      </c>
    </row>
    <row r="2342" ht="15.75" customHeight="1">
      <c r="A2342" s="2">
        <v>2341.0</v>
      </c>
      <c r="B2342" s="5" t="s">
        <v>4263</v>
      </c>
      <c r="C2342" s="6">
        <v>2.0</v>
      </c>
      <c r="D2342" s="9" t="s">
        <v>4264</v>
      </c>
      <c r="E2342" s="8" t="str">
        <f>IFERROR(__xludf.DUMMYFUNCTION("googletranslate(D2342,""id"",""en"")"),"Min, during this PPKM the procedure for the normal donor is rich or hrs registration dlu? TRM KSH")</f>
        <v>Min, during this PPKM the procedure for the normal donor is rich or hrs registration dlu? TRM KSH</v>
      </c>
    </row>
    <row r="2343" ht="15.75" customHeight="1">
      <c r="A2343" s="2">
        <v>2342.0</v>
      </c>
      <c r="B2343" s="5" t="s">
        <v>4265</v>
      </c>
      <c r="C2343" s="6">
        <v>1.0</v>
      </c>
      <c r="D2343" s="7" t="s">
        <v>4266</v>
      </c>
      <c r="E2343" s="8" t="str">
        <f>IFERROR(__xludf.DUMMYFUNCTION("googletranslate(D2343,""id"",""en"")"),"Lah yes old too, maybe a lot of ppkm times that the Nua expedition")</f>
        <v>Lah yes old too, maybe a lot of ppkm times that the Nua expedition</v>
      </c>
    </row>
    <row r="2344" ht="15.75" customHeight="1">
      <c r="A2344" s="2">
        <v>2343.0</v>
      </c>
      <c r="B2344" s="5" t="s">
        <v>4267</v>
      </c>
      <c r="C2344" s="6">
        <v>1.0</v>
      </c>
      <c r="D2344" s="9" t="s">
        <v>4268</v>
      </c>
      <c r="E2344" s="8" t="str">
        <f>IFERROR(__xludf.DUMMYFUNCTION("googletranslate(D2344,""id"",""en"")"),"It doesn't take a ppkm, but it's a little bit. Kmrn Botram also again naek2 eh lockdown. And it affects the death of my business that I've stepped on the beginning of Dr. Muter2, using bemoskrg, it's also just making a booth in front and starting to crowd"&amp;"ed, I hope you can survive.")</f>
        <v>It doesn't take a ppkm, but it's a little bit. Kmrn Botram also again naek2 eh lockdown. And it affects the death of my business that I've stepped on the beginning of Dr. Muter2, using bemoskrg, it's also just making a booth in front and starting to crowded, I hope you can survive.</v>
      </c>
    </row>
    <row r="2345" ht="15.75" customHeight="1">
      <c r="A2345" s="2">
        <v>2344.0</v>
      </c>
      <c r="B2345" s="5" t="s">
        <v>4269</v>
      </c>
      <c r="C2345" s="6">
        <v>1.0</v>
      </c>
      <c r="D2345" s="7" t="s">
        <v>4270</v>
      </c>
      <c r="E2345" s="8" t="str">
        <f>IFERROR(__xludf.DUMMYFUNCTION("googletranslate(D2345,""id"",""en"")"),"Astaghfirullaah is very unfortunate. Again PPKM gini instead gathered, there were times a total motorbike, ruame poll. There is no distance, noisy. it's so angry I want to broke up")</f>
        <v>Astaghfirullaah is very unfortunate. Again PPKM gini instead gathered, there were times a total motorbike, ruame poll. There is no distance, noisy. it's so angry I want to broke up</v>
      </c>
    </row>
    <row r="2346" ht="15.75" customHeight="1">
      <c r="A2346" s="2">
        <v>2345.0</v>
      </c>
      <c r="B2346" s="5" t="s">
        <v>4271</v>
      </c>
      <c r="C2346" s="6">
        <v>2.0</v>
      </c>
      <c r="D2346" s="9" t="s">
        <v>4272</v>
      </c>
      <c r="E2346" s="8" t="str">
        <f>IFERROR(__xludf.DUMMYFUNCTION("googletranslate(D2346,""id"",""en"")"),"Nusa Penida is not hit by PPKM but crossing through Kusamba Klungkung Beach")</f>
        <v>Nusa Penida is not hit by PPKM but crossing through Kusamba Klungkung Beach</v>
      </c>
    </row>
    <row r="2347" ht="15.75" customHeight="1">
      <c r="A2347" s="2">
        <v>2346.0</v>
      </c>
      <c r="B2347" s="5" t="s">
        <v>4273</v>
      </c>
      <c r="C2347" s="6">
        <v>1.0</v>
      </c>
      <c r="D2347" s="9" t="s">
        <v>4274</v>
      </c>
      <c r="E2347" s="8" t="str">
        <f>IFERROR(__xludf.DUMMYFUNCTION("googletranslate(D2347,""id"",""en"")"),"Pakde Gataau's PPKM If or I give Taupakde Pakde when the back of Xixixi")</f>
        <v>Pakde Gataau's PPKM If or I give Taupakde Pakde when the back of Xixixi</v>
      </c>
    </row>
    <row r="2348" ht="15.75" customHeight="1">
      <c r="A2348" s="2">
        <v>2347.0</v>
      </c>
      <c r="B2348" s="5" t="s">
        <v>4275</v>
      </c>
      <c r="C2348" s="6">
        <v>2.0</v>
      </c>
      <c r="D2348" s="7" t="s">
        <v>4276</v>
      </c>
      <c r="E2348" s="8" t="str">
        <f>IFERROR(__xludf.DUMMYFUNCTION("googletranslate(D2348,""id"",""en"")"),"Mantaan is still another day, ppkm")</f>
        <v>Mantaan is still another day, ppkm</v>
      </c>
    </row>
    <row r="2349" ht="15.75" customHeight="1">
      <c r="A2349" s="2">
        <v>2348.0</v>
      </c>
      <c r="B2349" s="5" t="s">
        <v>4277</v>
      </c>
      <c r="C2349" s="6">
        <v>3.0</v>
      </c>
      <c r="D2349" s="7" t="s">
        <v>4278</v>
      </c>
      <c r="E2349" s="8" t="str">
        <f>IFERROR(__xludf.DUMMYFUNCTION("googletranslate(D2349,""id"",""en"")"),"It looks like when it was taken over the face of the only father immediately sumringah. It feels like joining a friend's friend who travels a train, a good period of PPKM or after, try using Porter huh. rb of us means really for them")</f>
        <v>It looks like when it was taken over the face of the only father immediately sumringah. It feels like joining a friend's friend who travels a train, a good period of PPKM or after, try using Porter huh. rb of us means really for them</v>
      </c>
    </row>
    <row r="2350" ht="15.75" customHeight="1">
      <c r="A2350" s="2">
        <v>2349.0</v>
      </c>
      <c r="B2350" s="5" t="s">
        <v>4279</v>
      </c>
      <c r="C2350" s="6">
        <v>1.0</v>
      </c>
      <c r="D2350" s="9" t="s">
        <v>4280</v>
      </c>
      <c r="E2350" s="8" t="str">
        <f>IFERROR(__xludf.DUMMYFUNCTION("googletranslate(D2350,""id"",""en"")"),"I want to try to work again. But emergency ppkm everywhere. Job rivals everywhere. Dalem people are also where you leave the house, other people can only say ""don't try to find another job?"" Ndasmuuuuuu")</f>
        <v>I want to try to work again. But emergency ppkm everywhere. Job rivals everywhere. Dalem people are also where you leave the house, other people can only say "don't try to find another job?" Ndasmuuuuuu</v>
      </c>
    </row>
    <row r="2351" ht="15.75" customHeight="1">
      <c r="A2351" s="2">
        <v>2350.0</v>
      </c>
      <c r="B2351" s="5" t="s">
        <v>4281</v>
      </c>
      <c r="C2351" s="6">
        <v>3.0</v>
      </c>
      <c r="D2351" s="9" t="s">
        <v>4282</v>
      </c>
      <c r="E2351" s="8" t="str">
        <f>IFERROR(__xludf.DUMMYFUNCTION("googletranslate(D2351,""id"",""en"")"),"Morning Sadayanaa ~~ Happy Day Party Day of Saint Benedictus, let it be blessed to bless Happy Sunday and congratulations on the online Mass TTP Prokes DL in this emergency PPKM period, the spy can all be healthy. Healthy N BNYK Rejeki Slalu")</f>
        <v>Morning Sadayanaa ~~ Happy Day Party Day of Saint Benedictus, let it be blessed to bless Happy Sunday and congratulations on the online Mass TTP Prokes DL in this emergency PPKM period, the spy can all be healthy. Healthy N BNYK Rejeki Slalu</v>
      </c>
    </row>
    <row r="2352" ht="15.75" customHeight="1">
      <c r="A2352" s="2">
        <v>2351.0</v>
      </c>
      <c r="B2352" s="5" t="s">
        <v>4283</v>
      </c>
      <c r="C2352" s="6">
        <v>2.0</v>
      </c>
      <c r="D2352" s="7" t="s">
        <v>4283</v>
      </c>
      <c r="E2352" s="8" t="str">
        <f>IFERROR(__xludf.DUMMYFUNCTION("googletranslate(D2352,""id"",""en"")"),"I don't like PPKM, I just like your PPK")</f>
        <v>I don't like PPKM, I just like your PPK</v>
      </c>
    </row>
    <row r="2353" ht="15.75" customHeight="1">
      <c r="A2353" s="2">
        <v>2352.0</v>
      </c>
      <c r="B2353" s="5" t="s">
        <v>4284</v>
      </c>
      <c r="C2353" s="6">
        <v>3.0</v>
      </c>
      <c r="D2353" s="9" t="s">
        <v>4285</v>
      </c>
      <c r="E2353" s="8" t="str">
        <f>IFERROR(__xludf.DUMMYFUNCTION("googletranslate(D2353,""id"",""en"")"),"This PPKM made me awaken, his marriage was picked up, just simple, inviting org of the core core friends near. The money he plans to be intimate wedding for home furniture")</f>
        <v>This PPKM made me awaken, his marriage was picked up, just simple, inviting org of the core core friends near. The money he plans to be intimate wedding for home furniture</v>
      </c>
    </row>
    <row r="2354" ht="15.75" customHeight="1">
      <c r="A2354" s="2">
        <v>2353.0</v>
      </c>
      <c r="B2354" s="5" t="s">
        <v>4286</v>
      </c>
      <c r="C2354" s="6">
        <v>1.0</v>
      </c>
      <c r="D2354" s="9" t="s">
        <v>4287</v>
      </c>
      <c r="E2354" s="8" t="str">
        <f>IFERROR(__xludf.DUMMYFUNCTION("googletranslate(D2354,""id"",""en"")"),"It could be that this PPKM is the impact because of lack of discipline in New Normal, for example the sudden buying pot of the impact of the crowd, there is a positive one but it doesn't work. Because of the habit. Normalizing and romantic situation until"&amp;" forgetting that today is the impact yesterday.")</f>
        <v>It could be that this PPKM is the impact because of lack of discipline in New Normal, for example the sudden buying pot of the impact of the crowd, there is a positive one but it doesn't work. Because of the habit. Normalizing and romantic situation until forgetting that today is the impact yesterday.</v>
      </c>
    </row>
    <row r="2355" ht="15.75" customHeight="1">
      <c r="A2355" s="2">
        <v>2354.0</v>
      </c>
      <c r="B2355" s="5" t="s">
        <v>4288</v>
      </c>
      <c r="C2355" s="6">
        <v>1.0</v>
      </c>
      <c r="D2355" s="9" t="s">
        <v>4289</v>
      </c>
      <c r="E2355" s="8" t="str">
        <f>IFERROR(__xludf.DUMMYFUNCTION("googletranslate(D2355,""id"",""en"")"),"again ppkm lazy out")</f>
        <v>again ppkm lazy out</v>
      </c>
    </row>
    <row r="2356" ht="15.75" customHeight="1">
      <c r="A2356" s="2">
        <v>2355.0</v>
      </c>
      <c r="B2356" s="5" t="s">
        <v>4290</v>
      </c>
      <c r="C2356" s="6">
        <v>3.0</v>
      </c>
      <c r="D2356" s="9" t="s">
        <v>4291</v>
      </c>
      <c r="E2356" s="8" t="str">
        <f>IFERROR(__xludf.DUMMYFUNCTION("googletranslate(D2356,""id"",""en"")"),"BISMILLAH TAKE INDONESIA. Obey the procession only requires our rights to be limited when PPKM to forget the right of others who will endanger them when we are not disciplined running prokes. Lari always reminded each other in terms of goodness")</f>
        <v>BISMILLAH TAKE INDONESIA. Obey the procession only requires our rights to be limited when PPKM to forget the right of others who will endanger them when we are not disciplined running prokes. Lari always reminded each other in terms of goodness</v>
      </c>
    </row>
    <row r="2357" ht="15.75" customHeight="1">
      <c r="A2357" s="2">
        <v>2356.0</v>
      </c>
      <c r="B2357" s="5" t="s">
        <v>4292</v>
      </c>
      <c r="C2357" s="6">
        <v>1.0</v>
      </c>
      <c r="D2357" s="9" t="s">
        <v>4293</v>
      </c>
      <c r="E2357" s="8" t="str">
        <f>IFERROR(__xludf.DUMMYFUNCTION("googletranslate(D2357,""id"",""en"")"),"This is getting back to the PPKM revised and more rich in Lockdown already")</f>
        <v>This is getting back to the PPKM revised and more rich in Lockdown already</v>
      </c>
    </row>
    <row r="2358" ht="15.75" customHeight="1">
      <c r="A2358" s="2">
        <v>2357.0</v>
      </c>
      <c r="B2358" s="5" t="s">
        <v>4294</v>
      </c>
      <c r="C2358" s="6">
        <v>1.0</v>
      </c>
      <c r="D2358" s="9" t="s">
        <v>4295</v>
      </c>
      <c r="E2358" s="8" t="str">
        <f>IFERROR(__xludf.DUMMYFUNCTION("googletranslate(D2358,""id"",""en"")"),"There are always exceptions, I want PPKM, you want to do it, again waiting for the news of a lightweight foundier when PPKM")</f>
        <v>There are always exceptions, I want PPKM, you want to do it, again waiting for the news of a lightweight foundier when PPKM</v>
      </c>
    </row>
    <row r="2359" ht="15.75" customHeight="1">
      <c r="A2359" s="2">
        <v>2358.0</v>
      </c>
      <c r="B2359" s="5" t="s">
        <v>4296</v>
      </c>
      <c r="C2359" s="6">
        <v>1.0</v>
      </c>
      <c r="D2359" s="7" t="s">
        <v>4297</v>
      </c>
      <c r="E2359" s="8" t="str">
        <f>IFERROR(__xludf.DUMMYFUNCTION("googletranslate(D2359,""id"",""en"")"),"pls want to watch black widow hueheue but postponed because of ppkm")</f>
        <v>pls want to watch black widow hueheue but postponed because of ppkm</v>
      </c>
    </row>
    <row r="2360" ht="15.75" customHeight="1">
      <c r="A2360" s="2">
        <v>2359.0</v>
      </c>
      <c r="B2360" s="5" t="s">
        <v>4298</v>
      </c>
      <c r="C2360" s="6">
        <v>2.0</v>
      </c>
      <c r="D2360" s="7" t="s">
        <v>4299</v>
      </c>
      <c r="E2360" s="8" t="str">
        <f>IFERROR(__xludf.DUMMYFUNCTION("googletranslate(D2360,""id"",""en"")"),"Yes later after PPKM")</f>
        <v>Yes later after PPKM</v>
      </c>
    </row>
    <row r="2361" ht="15.75" customHeight="1">
      <c r="A2361" s="2">
        <v>2360.0</v>
      </c>
      <c r="B2361" s="5" t="s">
        <v>4300</v>
      </c>
      <c r="C2361" s="6">
        <v>3.0</v>
      </c>
      <c r="D2361" s="7" t="s">
        <v>4301</v>
      </c>
      <c r="E2361" s="8" t="str">
        <f>IFERROR(__xludf.DUMMYFUNCTION("googletranslate(D2361,""id"",""en"")"),"Obey emergency PPKM rules")</f>
        <v>Obey emergency PPKM rules</v>
      </c>
    </row>
    <row r="2362" ht="15.75" customHeight="1">
      <c r="A2362" s="2">
        <v>2361.0</v>
      </c>
      <c r="B2362" s="5" t="s">
        <v>4302</v>
      </c>
      <c r="C2362" s="6">
        <v>2.0</v>
      </c>
      <c r="D2362" s="9" t="s">
        <v>4302</v>
      </c>
      <c r="E2362" s="8" t="str">
        <f>IFERROR(__xludf.DUMMYFUNCTION("googletranslate(D2362,""id"",""en"")"),"Monday: ceremony, ppkm, Indonesian, mathematics, biology")</f>
        <v>Monday: ceremony, ppkm, Indonesian, mathematics, biology</v>
      </c>
    </row>
    <row r="2363" ht="15.75" customHeight="1">
      <c r="A2363" s="2">
        <v>2362.0</v>
      </c>
      <c r="B2363" s="5" t="s">
        <v>4303</v>
      </c>
      <c r="C2363" s="6">
        <v>1.0</v>
      </c>
      <c r="D2363" s="7" t="s">
        <v>4304</v>
      </c>
      <c r="E2363" s="8" t="str">
        <f>IFERROR(__xludf.DUMMYFUNCTION("googletranslate(D2363,""id"",""en"")"),"It's strange until there's no rule at all the security of the Basic Need rich in basic necessities, oxygen, medicine etc. I don't think this emergency ppkm next to the emergency")</f>
        <v>It's strange until there's no rule at all the security of the Basic Need rich in basic necessities, oxygen, medicine etc. I don't think this emergency ppkm next to the emergency</v>
      </c>
    </row>
    <row r="2364" ht="15.75" customHeight="1">
      <c r="A2364" s="2">
        <v>2363.0</v>
      </c>
      <c r="B2364" s="5" t="s">
        <v>4305</v>
      </c>
      <c r="C2364" s="6">
        <v>3.0</v>
      </c>
      <c r="D2364" s="7" t="s">
        <v>4306</v>
      </c>
      <c r="E2364" s="8" t="str">
        <f>IFERROR(__xludf.DUMMYFUNCTION("googletranslate(D2364,""id"",""en"")"),"Yuukk support emergency ppkm")</f>
        <v>Yuukk support emergency ppkm</v>
      </c>
    </row>
    <row r="2365" ht="15.75" customHeight="1">
      <c r="A2365" s="2">
        <v>2364.0</v>
      </c>
      <c r="B2365" s="5" t="s">
        <v>4307</v>
      </c>
      <c r="C2365" s="6">
        <v>1.0</v>
      </c>
      <c r="D2365" s="9" t="s">
        <v>4308</v>
      </c>
      <c r="E2365" s="8" t="str">
        <f>IFERROR(__xludf.DUMMYFUNCTION("googletranslate(D2365,""id"",""en"")"),"Current conditions should have been entered into the extraordinary category. But the ruler is disoriented. He said the focus of the pandemic but the structure of more economic officers. So PPKM is only for Indonesian citizens and not foreigners. Pandemic "&amp;"is only a loan camouflage but the funds use infrastructure. Pity...")</f>
        <v>Current conditions should have been entered into the extraordinary category. But the ruler is disoriented. He said the focus of the pandemic but the structure of more economic officers. So PPKM is only for Indonesian citizens and not foreigners. Pandemic is only a loan camouflage but the funds use infrastructure. Pity...</v>
      </c>
    </row>
    <row r="2366" ht="15.75" customHeight="1">
      <c r="A2366" s="2">
        <v>2365.0</v>
      </c>
      <c r="B2366" s="5" t="s">
        <v>4309</v>
      </c>
      <c r="C2366" s="6">
        <v>1.0</v>
      </c>
      <c r="D2366" s="9" t="s">
        <v>4309</v>
      </c>
      <c r="E2366" s="8" t="str">
        <f>IFERROR(__xludf.DUMMYFUNCTION("googletranslate(D2366,""id"",""en"")"),"Dikon PPKM but the mbludak vaccine queue?")</f>
        <v>Dikon PPKM but the mbludak vaccine queue?</v>
      </c>
    </row>
    <row r="2367" ht="15.75" customHeight="1">
      <c r="A2367" s="2">
        <v>2366.0</v>
      </c>
      <c r="B2367" s="5" t="s">
        <v>4310</v>
      </c>
      <c r="C2367" s="6">
        <v>1.0</v>
      </c>
      <c r="D2367" s="7" t="s">
        <v>4311</v>
      </c>
      <c r="E2367" s="8" t="str">
        <f>IFERROR(__xludf.DUMMYFUNCTION("googletranslate(D2367,""id"",""en"")"),"Kasian can see the news of the affirmation that the guise of the PPKM but I can't find a living on the road")</f>
        <v>Kasian can see the news of the affirmation that the guise of the PPKM but I can't find a living on the road</v>
      </c>
    </row>
    <row r="2368" ht="15.75" customHeight="1">
      <c r="A2368" s="2">
        <v>2367.0</v>
      </c>
      <c r="B2368" s="5" t="s">
        <v>4312</v>
      </c>
      <c r="C2368" s="6">
        <v>2.0</v>
      </c>
      <c r="D2368" s="7" t="s">
        <v>4313</v>
      </c>
      <c r="E2368" s="8" t="str">
        <f>IFERROR(__xludf.DUMMYFUNCTION("googletranslate(D2368,""id"",""en"")"),"Ldr + ppkm so one yaudah strong ajadah yes")</f>
        <v>Ldr + ppkm so one yaudah strong ajadah yes</v>
      </c>
    </row>
    <row r="2369" ht="15.75" customHeight="1">
      <c r="A2369" s="2">
        <v>2368.0</v>
      </c>
      <c r="B2369" s="5" t="s">
        <v>4314</v>
      </c>
      <c r="C2369" s="6">
        <v>2.0</v>
      </c>
      <c r="D2369" s="9" t="s">
        <v>4315</v>
      </c>
      <c r="E2369" s="8" t="str">
        <f>IFERROR(__xludf.DUMMYFUNCTION("googletranslate(D2369,""id"",""en"")"),"guis klo ppkm gini warkop open no yh pgn bgt eat burketem")</f>
        <v>guis klo ppkm gini warkop open no yh pgn bgt eat burketem</v>
      </c>
    </row>
    <row r="2370" ht="15.75" customHeight="1">
      <c r="A2370" s="2">
        <v>2369.0</v>
      </c>
      <c r="B2370" s="5" t="s">
        <v>4316</v>
      </c>
      <c r="C2370" s="6">
        <v>2.0</v>
      </c>
      <c r="D2370" s="7" t="s">
        <v>4317</v>
      </c>
      <c r="E2370" s="8" t="str">
        <f>IFERROR(__xludf.DUMMYFUNCTION("googletranslate(D2370,""id"",""en"")"),"Wifi kenceng namdwa. but I don't know during the PPKM can be dine in or not ehehe")</f>
        <v>Wifi kenceng namdwa. but I don't know during the PPKM can be dine in or not ehehe</v>
      </c>
    </row>
    <row r="2371" ht="15.75" customHeight="1">
      <c r="A2371" s="2">
        <v>2370.0</v>
      </c>
      <c r="B2371" s="5" t="s">
        <v>4318</v>
      </c>
      <c r="C2371" s="6">
        <v>2.0</v>
      </c>
      <c r="D2371" s="7" t="s">
        <v>4319</v>
      </c>
      <c r="E2371" s="8" t="str">
        <f>IFERROR(__xludf.DUMMYFUNCTION("googletranslate(D2371,""id"",""en"")"),"Just at home, again PPKM")</f>
        <v>Just at home, again PPKM</v>
      </c>
    </row>
    <row r="2372" ht="15.75" customHeight="1">
      <c r="A2372" s="2">
        <v>2371.0</v>
      </c>
      <c r="B2372" s="5" t="s">
        <v>4320</v>
      </c>
      <c r="C2372" s="6">
        <v>2.0</v>
      </c>
      <c r="D2372" s="9" t="s">
        <v>4321</v>
      </c>
      <c r="E2372" s="8" t="str">
        <f>IFERROR(__xludf.DUMMYFUNCTION("googletranslate(D2372,""id"",""en"")"),"lg ppkm this can be hugged just religion")</f>
        <v>lg ppkm this can be hugged just religion</v>
      </c>
    </row>
    <row r="2373" ht="15.75" customHeight="1">
      <c r="A2373" s="2">
        <v>2372.0</v>
      </c>
      <c r="B2373" s="5" t="s">
        <v>4322</v>
      </c>
      <c r="C2373" s="6">
        <v>3.0</v>
      </c>
      <c r="D2373" s="7" t="s">
        <v>4323</v>
      </c>
      <c r="E2373" s="8" t="str">
        <f>IFERROR(__xludf.DUMMYFUNCTION("googletranslate(D2373,""id"",""en"")"),"Yuk Turit and successful PPKM emergency")</f>
        <v>Yuk Turit and successful PPKM emergency</v>
      </c>
    </row>
    <row r="2374" ht="15.75" customHeight="1">
      <c r="A2374" s="2">
        <v>2373.0</v>
      </c>
      <c r="B2374" s="5" t="s">
        <v>4324</v>
      </c>
      <c r="C2374" s="6">
        <v>2.0</v>
      </c>
      <c r="D2374" s="7" t="s">
        <v>4325</v>
      </c>
      <c r="E2374" s="8" t="str">
        <f>IFERROR(__xludf.DUMMYFUNCTION("googletranslate(D2374,""id"",""en"")"),"Yes what I confirmed whether during the PPKM still operating? The info I received was that during the PPKM route UI-Manggarai did not operate what was true?")</f>
        <v>Yes what I confirmed whether during the PPKM still operating? The info I received was that during the PPKM route UI-Manggarai did not operate what was true?</v>
      </c>
    </row>
    <row r="2375" ht="15.75" customHeight="1">
      <c r="A2375" s="2">
        <v>2374.0</v>
      </c>
      <c r="B2375" s="5" t="s">
        <v>4326</v>
      </c>
      <c r="C2375" s="6">
        <v>3.0</v>
      </c>
      <c r="D2375" s="7" t="s">
        <v>4327</v>
      </c>
      <c r="E2375" s="8" t="str">
        <f>IFERROR(__xludf.DUMMYFUNCTION("googletranslate(D2375,""id"",""en"")"),"All have to run Emergency PPKM")</f>
        <v>All have to run Emergency PPKM</v>
      </c>
    </row>
    <row r="2376" ht="15.75" customHeight="1">
      <c r="A2376" s="2">
        <v>2375.0</v>
      </c>
      <c r="B2376" s="5" t="s">
        <v>4328</v>
      </c>
      <c r="C2376" s="6">
        <v>1.0</v>
      </c>
      <c r="D2376" s="9" t="s">
        <v>4329</v>
      </c>
      <c r="E2376" s="8" t="str">
        <f>IFERROR(__xludf.DUMMYFUNCTION("googletranslate(D2376,""id"",""en"")"),"Retirement while first, the PPKM is complete")</f>
        <v>Retirement while first, the PPKM is complete</v>
      </c>
    </row>
    <row r="2377" ht="15.75" customHeight="1">
      <c r="A2377" s="2">
        <v>2376.0</v>
      </c>
      <c r="B2377" s="5" t="s">
        <v>4330</v>
      </c>
      <c r="C2377" s="6">
        <v>1.0</v>
      </c>
      <c r="D2377" s="9" t="s">
        <v>4330</v>
      </c>
      <c r="E2377" s="8" t="str">
        <f>IFERROR(__xludf.DUMMYFUNCTION("googletranslate(D2377,""id"",""en"")"),"right ... kan..kan..gara2 emergency ppkm, forgotten brapa eddy binur and juliardi bansos ... ??")</f>
        <v>right ... kan..kan..gara2 emergency ppkm, forgotten brapa eddy binur and juliardi bansos ... ??</v>
      </c>
    </row>
    <row r="2378" ht="15.75" customHeight="1">
      <c r="A2378" s="2">
        <v>2377.0</v>
      </c>
      <c r="B2378" s="5" t="s">
        <v>4331</v>
      </c>
      <c r="C2378" s="6">
        <v>1.0</v>
      </c>
      <c r="D2378" s="7" t="s">
        <v>4332</v>
      </c>
      <c r="E2378" s="8" t="str">
        <f>IFERROR(__xludf.DUMMYFUNCTION("googletranslate(D2378,""id"",""en"")"),"PPKM - Worker Workers Kar Dead")</f>
        <v>PPKM - Worker Workers Kar Dead</v>
      </c>
    </row>
    <row r="2379" ht="15.75" customHeight="1">
      <c r="A2379" s="2">
        <v>2378.0</v>
      </c>
      <c r="B2379" s="5" t="s">
        <v>4333</v>
      </c>
      <c r="C2379" s="6">
        <v>1.0</v>
      </c>
      <c r="D2379" s="7" t="s">
        <v>4333</v>
      </c>
      <c r="E2379" s="8" t="str">
        <f>IFERROR(__xludf.DUMMYFUNCTION("googletranslate(D2379,""id"",""en"")"),"Sad because it can't do anything to see people so hard to work because of PPKM, but it's more sad because there are still many stubborn people who can still work but told to follow the prokes but don't want.")</f>
        <v>Sad because it can't do anything to see people so hard to work because of PPKM, but it's more sad because there are still many stubborn people who can still work but told to follow the prokes but don't want.</v>
      </c>
    </row>
    <row r="2380" ht="15.75" customHeight="1">
      <c r="A2380" s="2">
        <v>2379.0</v>
      </c>
      <c r="B2380" s="5" t="s">
        <v>4334</v>
      </c>
      <c r="C2380" s="6">
        <v>1.0</v>
      </c>
      <c r="D2380" s="7" t="s">
        <v>4334</v>
      </c>
      <c r="E2380" s="8" t="str">
        <f>IFERROR(__xludf.DUMMYFUNCTION("googletranslate(D2380,""id"",""en"")"),"The vaccine was told to buy DOONG, already knew what PPKM was looking for a difficult money, this vaccine was told to buy hahaha!")</f>
        <v>The vaccine was told to buy DOONG, already knew what PPKM was looking for a difficult money, this vaccine was told to buy hahaha!</v>
      </c>
    </row>
    <row r="2381" ht="15.75" customHeight="1">
      <c r="A2381" s="2">
        <v>2380.0</v>
      </c>
      <c r="B2381" s="5" t="s">
        <v>4335</v>
      </c>
      <c r="C2381" s="6">
        <v>3.0</v>
      </c>
      <c r="D2381" s="7" t="s">
        <v>4335</v>
      </c>
      <c r="E2381" s="8" t="str">
        <f>IFERROR(__xludf.DUMMYFUNCTION("googletranslate(D2381,""id"",""en"")"),"Covid and PPKM actually taught us not to be wasteful on yesterday! So that there can be deposits when we don't work and again in the phase it's hard to make money. it's just that people don't realize it")</f>
        <v>Covid and PPKM actually taught us not to be wasteful on yesterday! So that there can be deposits when we don't work and again in the phase it's hard to make money. it's just that people don't realize it</v>
      </c>
    </row>
    <row r="2382" ht="15.75" customHeight="1">
      <c r="A2382" s="2">
        <v>2381.0</v>
      </c>
      <c r="B2382" s="5" t="s">
        <v>4336</v>
      </c>
      <c r="C2382" s="6">
        <v>2.0</v>
      </c>
      <c r="D2382" s="9" t="s">
        <v>4337</v>
      </c>
      <c r="E2382" s="8" t="str">
        <f>IFERROR(__xludf.DUMMYFUNCTION("googletranslate(D2382,""id"",""en"")"),"Last year PSBB fluctuated to the Rudis TRS, this PPKM crushed. Because my friend plays the missile, it's not")</f>
        <v>Last year PSBB fluctuated to the Rudis TRS, this PPKM crushed. Because my friend plays the missile, it's not</v>
      </c>
    </row>
    <row r="2383" ht="15.75" customHeight="1">
      <c r="A2383" s="2">
        <v>2382.0</v>
      </c>
      <c r="B2383" s="5" t="s">
        <v>4338</v>
      </c>
      <c r="C2383" s="6">
        <v>2.0</v>
      </c>
      <c r="D2383" s="9" t="s">
        <v>4339</v>
      </c>
      <c r="E2383" s="8" t="str">
        <f>IFERROR(__xludf.DUMMYFUNCTION("googletranslate(D2383,""id"",""en"")"),"If endut it's easy to rise, it's hard to go down, it's already ngarep, I don't know the ppkm, leaving the morning, I'm not back")</f>
        <v>If endut it's easy to rise, it's hard to go down, it's already ngarep, I don't know the ppkm, leaving the morning, I'm not back</v>
      </c>
    </row>
    <row r="2384" ht="15.75" customHeight="1">
      <c r="A2384" s="2">
        <v>2383.0</v>
      </c>
      <c r="B2384" s="5" t="s">
        <v>4340</v>
      </c>
      <c r="C2384" s="6">
        <v>1.0</v>
      </c>
      <c r="D2384" s="9" t="s">
        <v>4341</v>
      </c>
      <c r="E2384" s="8" t="str">
        <f>IFERROR(__xludf.DUMMYFUNCTION("googletranslate(D2384,""id"",""en"")"),"Wow severe, it's even more difficult for this placah or pandemic control ... sir, please intervene, sir ... helped the PPKM enforcement in the area ..")</f>
        <v>Wow severe, it's even more difficult for this placah or pandemic control ... sir, please intervene, sir ... helped the PPKM enforcement in the area ..</v>
      </c>
    </row>
    <row r="2385" ht="15.75" customHeight="1">
      <c r="A2385" s="2">
        <v>2384.0</v>
      </c>
      <c r="B2385" s="5" t="s">
        <v>4342</v>
      </c>
      <c r="C2385" s="6">
        <v>1.0</v>
      </c>
      <c r="D2385" s="9" t="s">
        <v>4343</v>
      </c>
      <c r="E2385" s="8" t="str">
        <f>IFERROR(__xludf.DUMMYFUNCTION("googletranslate(D2385,""id"",""en"")"),"Criticism: Effective Emergency PPKM: Immediately close the airport.")</f>
        <v>Criticism: Effective Emergency PPKM: Immediately close the airport.</v>
      </c>
    </row>
    <row r="2386" ht="15.75" customHeight="1">
      <c r="A2386" s="2">
        <v>2385.0</v>
      </c>
      <c r="B2386" s="5" t="s">
        <v>4344</v>
      </c>
      <c r="C2386" s="6">
        <v>2.0</v>
      </c>
      <c r="D2386" s="7" t="s">
        <v>4345</v>
      </c>
      <c r="E2386" s="8" t="str">
        <f>IFERROR(__xludf.DUMMYFUNCTION("googletranslate(D2386,""id"",""en"")"),"Oiyaa ppkm owwaaa I want to be in gopudin makasihhh mbun")</f>
        <v>Oiyaa ppkm owwaaa I want to be in gopudin makasihhh mbun</v>
      </c>
    </row>
    <row r="2387" ht="15.75" customHeight="1">
      <c r="A2387" s="2">
        <v>2386.0</v>
      </c>
      <c r="B2387" s="5" t="s">
        <v>4346</v>
      </c>
      <c r="C2387" s="6">
        <v>1.0</v>
      </c>
      <c r="D2387" s="7" t="s">
        <v>4347</v>
      </c>
      <c r="E2387" s="8" t="str">
        <f>IFERROR(__xludf.DUMMYFUNCTION("googletranslate(D2387,""id"",""en"")"),"Like the emergency PPKM is not useful. Stay just a Covid case up. JNG for people's stress ... the people have understood a mask.")</f>
        <v>Like the emergency PPKM is not useful. Stay just a Covid case up. JNG for people's stress ... the people have understood a mask.</v>
      </c>
    </row>
    <row r="2388" ht="15.75" customHeight="1">
      <c r="A2388" s="2">
        <v>2387.0</v>
      </c>
      <c r="B2388" s="5" t="s">
        <v>4348</v>
      </c>
      <c r="C2388" s="6">
        <v>1.0</v>
      </c>
      <c r="D2388" s="7" t="s">
        <v>4349</v>
      </c>
      <c r="E2388" s="8" t="str">
        <f>IFERROR(__xludf.DUMMYFUNCTION("googletranslate(D2388,""id"",""en"")"),"The word is the PPKM to make the community more productive and safe. Madara is not, but it is in style")</f>
        <v>The word is the PPKM to make the community more productive and safe. Madara is not, but it is in style</v>
      </c>
    </row>
    <row r="2389" ht="15.75" customHeight="1">
      <c r="A2389" s="2">
        <v>2388.0</v>
      </c>
      <c r="B2389" s="5" t="s">
        <v>4350</v>
      </c>
      <c r="C2389" s="6">
        <v>2.0</v>
      </c>
      <c r="D2389" s="7" t="s">
        <v>4351</v>
      </c>
      <c r="E2389" s="8" t="str">
        <f>IFERROR(__xludf.DUMMYFUNCTION("googletranslate(D2389,""id"",""en"")"),"After PPKM Lembang awaits Travs")</f>
        <v>After PPKM Lembang awaits Travs</v>
      </c>
    </row>
    <row r="2390" ht="15.75" customHeight="1">
      <c r="A2390" s="2">
        <v>2389.0</v>
      </c>
      <c r="B2390" s="5" t="s">
        <v>4352</v>
      </c>
      <c r="C2390" s="6">
        <v>3.0</v>
      </c>
      <c r="D2390" s="9" t="s">
        <v>4353</v>
      </c>
      <c r="E2390" s="8" t="str">
        <f>IFERROR(__xludf.DUMMYFUNCTION("googletranslate(D2390,""id"",""en"")"),"If again the ppkm is better at home")</f>
        <v>If again the ppkm is better at home</v>
      </c>
    </row>
    <row r="2391" ht="15.75" customHeight="1">
      <c r="A2391" s="2">
        <v>2390.0</v>
      </c>
      <c r="B2391" s="5" t="s">
        <v>4354</v>
      </c>
      <c r="C2391" s="6">
        <v>1.0</v>
      </c>
      <c r="D2391" s="10" t="s">
        <v>4355</v>
      </c>
      <c r="E2391" s="8" t="str">
        <f>IFERROR(__xludf.DUMMYFUNCTION("googletranslate(D2391,""id"",""en"")"),"close sis ppkm.")</f>
        <v>close sis ppkm.</v>
      </c>
    </row>
    <row r="2392" ht="15.75" customHeight="1">
      <c r="A2392" s="2">
        <v>2391.0</v>
      </c>
      <c r="B2392" s="5" t="s">
        <v>4356</v>
      </c>
      <c r="C2392" s="6">
        <v>2.0</v>
      </c>
      <c r="D2392" s="9" t="s">
        <v>4357</v>
      </c>
      <c r="E2392" s="8" t="str">
        <f>IFERROR(__xludf.DUMMYFUNCTION("googletranslate(D2392,""id"",""en"")"),"Wo at home nder, again PPKM")</f>
        <v>Wo at home nder, again PPKM</v>
      </c>
    </row>
    <row r="2393" ht="15.75" customHeight="1">
      <c r="A2393" s="2">
        <v>2392.0</v>
      </c>
      <c r="B2393" s="5" t="s">
        <v>4358</v>
      </c>
      <c r="C2393" s="6">
        <v>2.0</v>
      </c>
      <c r="D2393" s="7" t="s">
        <v>4359</v>
      </c>
      <c r="E2393" s="8" t="str">
        <f>IFERROR(__xludf.DUMMYFUNCTION("googletranslate(D2393,""id"",""en"")"),"The UI Manggarai route during PPKM is it still operating?")</f>
        <v>The UI Manggarai route during PPKM is it still operating?</v>
      </c>
    </row>
    <row r="2394" ht="15.75" customHeight="1">
      <c r="A2394" s="2">
        <v>2393.0</v>
      </c>
      <c r="B2394" s="5" t="s">
        <v>4360</v>
      </c>
      <c r="C2394" s="6">
        <v>1.0</v>
      </c>
      <c r="D2394" s="7" t="s">
        <v>4361</v>
      </c>
      <c r="E2394" s="8" t="str">
        <f>IFERROR(__xludf.DUMMYFUNCTION("googletranslate(D2394,""id"",""en"")"),"This work of drawing that I made at night last week after Jam -an, tried to color the ppkm atmosphere that was getting sickered and drab Title: ""sick"", China ink on the paper measuring CM X cm in July.")</f>
        <v>This work of drawing that I made at night last week after Jam -an, tried to color the ppkm atmosphere that was getting sickered and drab Title: "sick", China ink on the paper measuring CM X cm in July.</v>
      </c>
    </row>
    <row r="2395" ht="15.75" customHeight="1">
      <c r="A2395" s="2">
        <v>2394.0</v>
      </c>
      <c r="B2395" s="5" t="s">
        <v>4362</v>
      </c>
      <c r="C2395" s="6">
        <v>3.0</v>
      </c>
      <c r="D2395" s="7" t="s">
        <v>4363</v>
      </c>
      <c r="E2395" s="8" t="str">
        <f>IFERROR(__xludf.DUMMYFUNCTION("googletranslate(D2395,""id"",""en"")"),"The first jogging of PPKM, around the boarding house. Early in the morning as quiet. Pretty thin. Happy Weekend Guys.")</f>
        <v>The first jogging of PPKM, around the boarding house. Early in the morning as quiet. Pretty thin. Happy Weekend Guys.</v>
      </c>
    </row>
    <row r="2396" ht="15.75" customHeight="1">
      <c r="A2396" s="2">
        <v>2395.0</v>
      </c>
      <c r="B2396" s="5" t="s">
        <v>4364</v>
      </c>
      <c r="C2396" s="6">
        <v>1.0</v>
      </c>
      <c r="D2396" s="9" t="s">
        <v>4364</v>
      </c>
      <c r="E2396" s="8" t="str">
        <f>IFERROR(__xludf.DUMMYFUNCTION("googletranslate(D2396,""id"",""en"")"),"Honestly my life after PPKM becomes much more good, maybe it's limited to activities, the stress that kills the person itself?")</f>
        <v>Honestly my life after PPKM becomes much more good, maybe it's limited to activities, the stress that kills the person itself?</v>
      </c>
    </row>
    <row r="2397" ht="15.75" customHeight="1">
      <c r="A2397" s="2">
        <v>2396.0</v>
      </c>
      <c r="B2397" s="5" t="s">
        <v>4365</v>
      </c>
      <c r="C2397" s="6">
        <v>1.0</v>
      </c>
      <c r="D2397" s="9" t="s">
        <v>4366</v>
      </c>
      <c r="E2397" s="8" t="str">
        <f>IFERROR(__xludf.DUMMYFUNCTION("googletranslate(D2397,""id"",""en"")"),"Just wrap my package from Shopi GA Jln2, forgot if there is a PPKM")</f>
        <v>Just wrap my package from Shopi GA Jln2, forgot if there is a PPKM</v>
      </c>
    </row>
    <row r="2398" ht="15.75" customHeight="1">
      <c r="A2398" s="2">
        <v>2397.0</v>
      </c>
      <c r="B2398" s="5" t="s">
        <v>4367</v>
      </c>
      <c r="C2398" s="6">
        <v>2.0</v>
      </c>
      <c r="D2398" s="7" t="s">
        <v>4368</v>
      </c>
      <c r="E2398" s="8" t="str">
        <f>IFERROR(__xludf.DUMMYFUNCTION("googletranslate(D2398,""id"",""en"")"),"The same ppkm effect may be nder")</f>
        <v>The same ppkm effect may be nder</v>
      </c>
    </row>
    <row r="2399" ht="15.75" customHeight="1">
      <c r="A2399" s="2">
        <v>2398.0</v>
      </c>
      <c r="B2399" s="5" t="s">
        <v>4369</v>
      </c>
      <c r="C2399" s="6">
        <v>2.0</v>
      </c>
      <c r="D2399" s="7" t="s">
        <v>4370</v>
      </c>
      <c r="E2399" s="8" t="str">
        <f>IFERROR(__xludf.DUMMYFUNCTION("googletranslate(D2399,""id"",""en"")"),"Wait, still otw ... the shortcut is guarded by Pak Pol ... still PPKM ...")</f>
        <v>Wait, still otw ... the shortcut is guarded by Pak Pol ... still PPKM ...</v>
      </c>
    </row>
    <row r="2400" ht="15.75" customHeight="1">
      <c r="A2400" s="2">
        <v>2399.0</v>
      </c>
      <c r="B2400" s="5" t="s">
        <v>4371</v>
      </c>
      <c r="C2400" s="6">
        <v>1.0</v>
      </c>
      <c r="D2400" s="7" t="s">
        <v>4372</v>
      </c>
      <c r="E2400" s="8" t="str">
        <f>IFERROR(__xludf.DUMMYFUNCTION("googletranslate(D2400,""id"",""en"")"),"I didn't want to meet the arms of PPKM; '((")</f>
        <v>I didn't want to meet the arms of PPKM; '((</v>
      </c>
    </row>
    <row r="2401" ht="15.75" customHeight="1">
      <c r="A2401" s="2">
        <v>2400.0</v>
      </c>
      <c r="B2401" s="5" t="s">
        <v>4373</v>
      </c>
      <c r="C2401" s="6">
        <v>1.0</v>
      </c>
      <c r="D2401" s="7" t="s">
        <v>4373</v>
      </c>
      <c r="E2401" s="8" t="str">
        <f>IFERROR(__xludf.DUMMYFUNCTION("googletranslate(D2401,""id"",""en"")"),"Emergency PPKM changed the rules ?????")</f>
        <v>Emergency PPKM changed the rules ?????</v>
      </c>
    </row>
    <row r="2402" ht="15.75" customHeight="1">
      <c r="A2402" s="2">
        <v>2401.0</v>
      </c>
      <c r="B2402" s="5" t="s">
        <v>4374</v>
      </c>
      <c r="C2402" s="6">
        <v>3.0</v>
      </c>
      <c r="D2402" s="7" t="s">
        <v>4375</v>
      </c>
      <c r="E2402" s="8" t="str">
        <f>IFERROR(__xludf.DUMMYFUNCTION("googletranslate(D2402,""id"",""en"")"),"Good morning Indonesia Happy Sunday Patuhi PPKAgar All Congratulations on Stay Safe Stay Healthy Stay Home")</f>
        <v>Good morning Indonesia Happy Sunday Patuhi PPKAgar All Congratulations on Stay Safe Stay Healthy Stay Home</v>
      </c>
    </row>
    <row r="2403" ht="15.75" customHeight="1">
      <c r="A2403" s="2">
        <v>2402.0</v>
      </c>
      <c r="B2403" s="5" t="s">
        <v>4376</v>
      </c>
      <c r="C2403" s="6">
        <v>1.0</v>
      </c>
      <c r="D2403" s="9" t="s">
        <v>4377</v>
      </c>
      <c r="E2403" s="8" t="str">
        <f>IFERROR(__xludf.DUMMYFUNCTION("googletranslate(D2403,""id"",""en"")"),"PPKM times injilater. Limpeta. Saved with the city of A - B, then B - C, the schedule is set so that it does not allow select lines like this. The choice of the plane, the lab is limited. Dizzy imagine the closure of the road. There is no choice but just "&amp;"at home.")</f>
        <v>PPKM times injilater. Limpeta. Saved with the city of A - B, then B - C, the schedule is set so that it does not allow select lines like this. The choice of the plane, the lab is limited. Dizzy imagine the closure of the road. There is no choice but just at home.</v>
      </c>
    </row>
    <row r="2404" ht="15.75" customHeight="1">
      <c r="A2404" s="2">
        <v>2403.0</v>
      </c>
      <c r="B2404" s="5" t="s">
        <v>4378</v>
      </c>
      <c r="C2404" s="6">
        <v>2.0</v>
      </c>
      <c r="D2404" s="7" t="s">
        <v>4378</v>
      </c>
      <c r="E2404" s="8" t="str">
        <f>IFERROR(__xludf.DUMMYFUNCTION("googletranslate(D2404,""id"",""en"")"),"-Dips! During the PPKM, the road to Simpang Lima was closed or not? Diwasin with the police or not?")</f>
        <v>-Dips! During the PPKM, the road to Simpang Lima was closed or not? Diwasin with the police or not?</v>
      </c>
    </row>
    <row r="2405" ht="15.75" customHeight="1">
      <c r="A2405" s="2">
        <v>2404.0</v>
      </c>
      <c r="B2405" s="5" t="s">
        <v>4379</v>
      </c>
      <c r="C2405" s="6">
        <v>2.0</v>
      </c>
      <c r="D2405" s="7" t="s">
        <v>4380</v>
      </c>
      <c r="E2405" s="8" t="str">
        <f>IFERROR(__xludf.DUMMYFUNCTION("googletranslate(D2405,""id"",""en"")"),"there is no one who opened that much time still still PPKM")</f>
        <v>there is no one who opened that much time still still PPKM</v>
      </c>
    </row>
    <row r="2406" ht="15.75" customHeight="1">
      <c r="A2406" s="2">
        <v>2405.0</v>
      </c>
      <c r="B2406" s="5" t="s">
        <v>4381</v>
      </c>
      <c r="C2406" s="6">
        <v>1.0</v>
      </c>
      <c r="D2406" s="9" t="s">
        <v>4382</v>
      </c>
      <c r="E2406" s="8" t="str">
        <f>IFERROR(__xludf.DUMMYFUNCTION("googletranslate(D2406,""id"",""en"")"),"I swear, every day I wait for my father back to work so I can play with him and ask for money so you can buy snacks like other friends, but in fact he is returned and pecatted by work. TRS WE AGAIN YOU WANT TO BE ARE BUYED BEFIL STATHER? It's necessary")</f>
        <v>I swear, every day I wait for my father back to work so I can play with him and ask for money so you can buy snacks like other friends, but in fact he is returned and pecatted by work. TRS WE AGAIN YOU WANT TO BE ARE BUYED BEFIL STATHER? It's necessary</v>
      </c>
    </row>
    <row r="2407" ht="15.75" customHeight="1">
      <c r="A2407" s="2">
        <v>2406.0</v>
      </c>
      <c r="B2407" s="5" t="s">
        <v>4383</v>
      </c>
      <c r="C2407" s="6">
        <v>1.0</v>
      </c>
      <c r="D2407" s="9" t="s">
        <v>4384</v>
      </c>
      <c r="E2407" s="8" t="str">
        <f>IFERROR(__xludf.DUMMYFUNCTION("googletranslate(D2407,""id"",""en"")"),"Me as a child who grows from a sustenance of a father who works the project / construction of the building hurts, bro, looks like this")</f>
        <v>Me as a child who grows from a sustenance of a father who works the project / construction of the building hurts, bro, looks like this</v>
      </c>
    </row>
    <row r="2408" ht="15.75" customHeight="1">
      <c r="A2408" s="2">
        <v>2407.0</v>
      </c>
      <c r="B2408" s="5" t="s">
        <v>4385</v>
      </c>
      <c r="C2408" s="6">
        <v>1.0</v>
      </c>
      <c r="D2408" s="7" t="s">
        <v>4386</v>
      </c>
      <c r="E2408" s="8" t="str">
        <f>IFERROR(__xludf.DUMMYFUNCTION("googletranslate(D2408,""id"",""en"")"),"The routinity is difficult for FIR, PPKM gini")</f>
        <v>The routinity is difficult for FIR, PPKM gini</v>
      </c>
    </row>
    <row r="2409" ht="15.75" customHeight="1">
      <c r="A2409" s="2">
        <v>2408.0</v>
      </c>
      <c r="B2409" s="5" t="s">
        <v>4387</v>
      </c>
      <c r="C2409" s="6">
        <v>2.0</v>
      </c>
      <c r="D2409" s="9" t="s">
        <v>4388</v>
      </c>
      <c r="E2409" s="8" t="str">
        <f>IFERROR(__xludf.DUMMYFUNCTION("googletranslate(D2409,""id"",""en"")"),"God all, this morning HRS is selling at the CFD before Medan joining PPKM Monday, if there is a PC message for Monday. It happens to sell because the ready hr is already a message jg, so it's baldan. Eh this morning heavy rain, fortunately selling at CFD")</f>
        <v>God all, this morning HRS is selling at the CFD before Medan joining PPKM Monday, if there is a PC message for Monday. It happens to sell because the ready hr is already a message jg, so it's baldan. Eh this morning heavy rain, fortunately selling at CFD</v>
      </c>
    </row>
    <row r="2410" ht="15.75" customHeight="1">
      <c r="A2410" s="2">
        <v>2409.0</v>
      </c>
      <c r="B2410" s="5" t="s">
        <v>4389</v>
      </c>
      <c r="C2410" s="6">
        <v>1.0</v>
      </c>
      <c r="D2410" s="7" t="s">
        <v>4390</v>
      </c>
      <c r="E2410" s="8" t="str">
        <f>IFERROR(__xludf.DUMMYFUNCTION("googletranslate(D2410,""id"",""en"")"),"ORAN Crazy Leader PB HMI Highlights Chinese TKA who are 'delicious' in Indonesia in the middle of PPKM")</f>
        <v>ORAN Crazy Leader PB HMI Highlights Chinese TKA who are 'delicious' in Indonesia in the middle of PPKM</v>
      </c>
    </row>
    <row r="2411" ht="15.75" customHeight="1">
      <c r="A2411" s="2">
        <v>2410.0</v>
      </c>
      <c r="B2411" s="5" t="s">
        <v>4391</v>
      </c>
      <c r="C2411" s="6">
        <v>2.0</v>
      </c>
      <c r="D2411" s="7" t="s">
        <v>4392</v>
      </c>
      <c r="E2411" s="8" t="str">
        <f>IFERROR(__xludf.DUMMYFUNCTION("googletranslate(D2411,""id"",""en"")"),"Want but just look at PPKM: "")")</f>
        <v>Want but just look at PPKM: ")</v>
      </c>
    </row>
    <row r="2412" ht="15.75" customHeight="1">
      <c r="A2412" s="2">
        <v>2411.0</v>
      </c>
      <c r="B2412" s="5" t="s">
        <v>4393</v>
      </c>
      <c r="C2412" s="6">
        <v>1.0</v>
      </c>
      <c r="D2412" s="7" t="s">
        <v>4394</v>
      </c>
      <c r="E2412" s="8" t="str">
        <f>IFERROR(__xludf.DUMMYFUNCTION("googletranslate(D2412,""id"",""en"")"),"Lonely in the morning here, the PPKM effect")</f>
        <v>Lonely in the morning here, the PPKM effect</v>
      </c>
    </row>
    <row r="2413" ht="15.75" customHeight="1">
      <c r="A2413" s="2">
        <v>2412.0</v>
      </c>
      <c r="B2413" s="5" t="s">
        <v>4395</v>
      </c>
      <c r="C2413" s="6">
        <v>2.0</v>
      </c>
      <c r="D2413" s="10" t="s">
        <v>4396</v>
      </c>
      <c r="E2413" s="8" t="str">
        <f>IFERROR(__xludf.DUMMYFUNCTION("googletranslate(D2413,""id"",""en"")"),"Otw hbis ppkm.")</f>
        <v>Otw hbis ppkm.</v>
      </c>
    </row>
    <row r="2414" ht="15.75" customHeight="1">
      <c r="A2414" s="2">
        <v>2413.0</v>
      </c>
      <c r="B2414" s="5" t="s">
        <v>4397</v>
      </c>
      <c r="C2414" s="6">
        <v>2.0</v>
      </c>
      <c r="D2414" s="7" t="s">
        <v>4398</v>
      </c>
      <c r="E2414" s="8" t="str">
        <f>IFERROR(__xludf.DUMMYFUNCTION("googletranslate(D2414,""id"",""en"")"),"FYI Physical Store It's been difficult for non-essential, friends in other regencies even encouraged to close during the PPKM, close the latest, according to the latest due to this unfinished pandemic, Online Jdi Primadona for further increasing sales. En"&amp;"trepreneurs entrepreneurs")</f>
        <v>FYI Physical Store It's been difficult for non-essential, friends in other regencies even encouraged to close during the PPKM, close the latest, according to the latest due to this unfinished pandemic, Online Jdi Primadona for further increasing sales. Entrepreneurs entrepreneurs</v>
      </c>
    </row>
    <row r="2415" ht="15.75" customHeight="1">
      <c r="A2415" s="2">
        <v>2414.0</v>
      </c>
      <c r="B2415" s="5" t="s">
        <v>4399</v>
      </c>
      <c r="C2415" s="6">
        <v>1.0</v>
      </c>
      <c r="D2415" s="9" t="s">
        <v>4399</v>
      </c>
      <c r="E2415" s="8" t="str">
        <f>IFERROR(__xludf.DUMMYFUNCTION("googletranslate(D2415,""id"",""en"")"),"During emergency PPKM, your store is closed! The rules are revised: during emergency ppkm, your store may open but is prohibited from selling. As soon as the logic of the revision of the rules of places of worship that previously had to close, now it can "&amp;"be opened but it is prohibited from holding worship during emergency PPKM?")</f>
        <v>During emergency PPKM, your store is closed! The rules are revised: during emergency ppkm, your store may open but is prohibited from selling. As soon as the logic of the revision of the rules of places of worship that previously had to close, now it can be opened but it is prohibited from holding worship during emergency PPKM?</v>
      </c>
    </row>
    <row r="2416" ht="15.75" customHeight="1">
      <c r="A2416" s="2">
        <v>2415.0</v>
      </c>
      <c r="B2416" s="5" t="s">
        <v>4400</v>
      </c>
      <c r="C2416" s="6">
        <v>2.0</v>
      </c>
      <c r="D2416" s="10" t="s">
        <v>4401</v>
      </c>
      <c r="E2416" s="8" t="str">
        <f>IFERROR(__xludf.DUMMYFUNCTION("googletranslate(D2416,""id"",""en"")"),"PPKM Su.")</f>
        <v>PPKM Su.</v>
      </c>
    </row>
    <row r="2417" ht="15.75" customHeight="1">
      <c r="A2417" s="2">
        <v>2416.0</v>
      </c>
      <c r="B2417" s="5" t="s">
        <v>4402</v>
      </c>
      <c r="C2417" s="6">
        <v>2.0</v>
      </c>
      <c r="D2417" s="7" t="s">
        <v>4403</v>
      </c>
      <c r="E2417" s="8" t="str">
        <f>IFERROR(__xludf.DUMMYFUNCTION("googletranslate(D2417,""id"",""en"")"),"POV is still hanging out at the time of PPKM")</f>
        <v>POV is still hanging out at the time of PPKM</v>
      </c>
    </row>
    <row r="2418" ht="15.75" customHeight="1">
      <c r="A2418" s="2">
        <v>2417.0</v>
      </c>
      <c r="B2418" s="5" t="s">
        <v>4404</v>
      </c>
      <c r="C2418" s="6">
        <v>2.0</v>
      </c>
      <c r="D2418" s="9" t="s">
        <v>4405</v>
      </c>
      <c r="E2418" s="8" t="str">
        <f>IFERROR(__xludf.DUMMYFUNCTION("googletranslate(D2418,""id"",""en"")"),"Due to online tires patch .... KD PD Looks CR TKG Tambal Tire Outside the PPKM Area")</f>
        <v>Due to online tires patch .... KD PD Looks CR TKG Tambal Tire Outside the PPKM Area</v>
      </c>
    </row>
    <row r="2419" ht="15.75" customHeight="1">
      <c r="A2419" s="2">
        <v>2418.0</v>
      </c>
      <c r="B2419" s="5" t="s">
        <v>4406</v>
      </c>
      <c r="C2419" s="6">
        <v>2.0</v>
      </c>
      <c r="D2419" s="10" t="s">
        <v>4407</v>
      </c>
      <c r="E2419" s="8" t="str">
        <f>IFERROR(__xludf.DUMMYFUNCTION("googletranslate(D2419,""id"",""en"")"),"Etapi PPKM.")</f>
        <v>Etapi PPKM.</v>
      </c>
    </row>
    <row r="2420" ht="15.75" customHeight="1">
      <c r="A2420" s="2">
        <v>2419.0</v>
      </c>
      <c r="B2420" s="5" t="s">
        <v>4408</v>
      </c>
      <c r="C2420" s="6">
        <v>2.0</v>
      </c>
      <c r="D2420" s="7" t="s">
        <v>4408</v>
      </c>
      <c r="E2420" s="8" t="str">
        <f>IFERROR(__xludf.DUMMYFUNCTION("googletranslate(D2420,""id"",""en"")"),"Old PPKM Wants Staycation Ah")</f>
        <v>Old PPKM Wants Staycation Ah</v>
      </c>
    </row>
    <row r="2421" ht="15.75" customHeight="1">
      <c r="A2421" s="2">
        <v>2420.0</v>
      </c>
      <c r="B2421" s="5" t="s">
        <v>4409</v>
      </c>
      <c r="C2421" s="6">
        <v>2.0</v>
      </c>
      <c r="D2421" s="7" t="s">
        <v>4410</v>
      </c>
      <c r="E2421" s="8" t="str">
        <f>IFERROR(__xludf.DUMMYFUNCTION("googletranslate(D2421,""id"",""en"")"),"Add, until PPKM finished. Lebaran here")</f>
        <v>Add, until PPKM finished. Lebaran here</v>
      </c>
    </row>
    <row r="2422" ht="15.75" customHeight="1">
      <c r="A2422" s="2">
        <v>2421.0</v>
      </c>
      <c r="B2422" s="5" t="s">
        <v>4411</v>
      </c>
      <c r="C2422" s="6">
        <v>1.0</v>
      </c>
      <c r="D2422" s="7" t="s">
        <v>4412</v>
      </c>
      <c r="E2422" s="8" t="str">
        <f>IFERROR(__xludf.DUMMYFUNCTION("googletranslate(D2422,""id"",""en"")"),"In other words, the LBP Pandlima PPKM he considered to fail?")</f>
        <v>In other words, the LBP Pandlima PPKM he considered to fail?</v>
      </c>
    </row>
    <row r="2423" ht="15.75" customHeight="1">
      <c r="A2423" s="2">
        <v>2422.0</v>
      </c>
      <c r="B2423" s="5" t="s">
        <v>4413</v>
      </c>
      <c r="C2423" s="6">
        <v>1.0</v>
      </c>
      <c r="D2423" s="7" t="s">
        <v>4414</v>
      </c>
      <c r="E2423" s="8" t="str">
        <f>IFERROR(__xludf.DUMMYFUNCTION("googletranslate(D2423,""id"",""en"")"),"PPKM okay, but the place of worship is not closed. His mosque is because the angels keep it from all kinds of viruses to attack the congregation.")</f>
        <v>PPKM okay, but the place of worship is not closed. His mosque is because the angels keep it from all kinds of viruses to attack the congregation.</v>
      </c>
    </row>
    <row r="2424" ht="15.75" customHeight="1">
      <c r="A2424" s="2">
        <v>2423.0</v>
      </c>
      <c r="B2424" s="5" t="s">
        <v>4415</v>
      </c>
      <c r="C2424" s="6">
        <v>1.0</v>
      </c>
      <c r="D2424" s="7" t="s">
        <v>4416</v>
      </c>
      <c r="E2424" s="8" t="str">
        <f>IFERROR(__xludf.DUMMYFUNCTION("googletranslate(D2424,""id"",""en"")"),"The obstacle of the engagement day-insulation-lowkdon-ppkm--in-law pain-do'i get sick of our clothes hurts Ah Marcona immediately goes from this earth.")</f>
        <v>The obstacle of the engagement day-insulation-lowkdon-ppkm--in-law pain-do'i get sick of our clothes hurts Ah Marcona immediately goes from this earth.</v>
      </c>
    </row>
    <row r="2425" ht="15.75" customHeight="1">
      <c r="A2425" s="2">
        <v>2424.0</v>
      </c>
      <c r="B2425" s="5" t="s">
        <v>4417</v>
      </c>
      <c r="C2425" s="6">
        <v>3.0</v>
      </c>
      <c r="D2425" s="7" t="s">
        <v>4418</v>
      </c>
      <c r="E2425" s="8" t="str">
        <f>IFERROR(__xludf.DUMMYFUNCTION("googletranslate(D2425,""id"",""en"")"),"PON XX Papua Torang Bisasemoga This pandemic will soon be over so that we can enliven this National Event PPKM is right")</f>
        <v>PON XX Papua Torang Bisasemoga This pandemic will soon be over so that we can enliven this National Event PPKM is right</v>
      </c>
    </row>
    <row r="2426" ht="15.75" customHeight="1">
      <c r="A2426" s="2">
        <v>2425.0</v>
      </c>
      <c r="B2426" s="5" t="s">
        <v>4419</v>
      </c>
      <c r="C2426" s="6">
        <v>1.0</v>
      </c>
      <c r="D2426" s="9" t="s">
        <v>4420</v>
      </c>
      <c r="E2426" s="8" t="str">
        <f>IFERROR(__xludf.DUMMYFUNCTION("googletranslate(D2426,""id"",""en"")"),"Cici's schedule is messy all because of the cici ppkm while the avail jogja used to say")</f>
        <v>Cici's schedule is messy all because of the cici ppkm while the avail jogja used to say</v>
      </c>
    </row>
    <row r="2427" ht="15.75" customHeight="1">
      <c r="A2427" s="2">
        <v>2426.0</v>
      </c>
      <c r="B2427" s="5" t="s">
        <v>4421</v>
      </c>
      <c r="C2427" s="6">
        <v>3.0</v>
      </c>
      <c r="D2427" s="7" t="s">
        <v>4422</v>
      </c>
      <c r="E2427" s="8" t="str">
        <f>IFERROR(__xludf.DUMMYFUNCTION("googletranslate(D2427,""id"",""en"")"),"Don't give up on the situation, warm the atmosphere with enthusiasm, believe that this difficulty must be overcome to the safety of the people")</f>
        <v>Don't give up on the situation, warm the atmosphere with enthusiasm, believe that this difficulty must be overcome to the safety of the people</v>
      </c>
    </row>
    <row r="2428" ht="15.75" customHeight="1">
      <c r="A2428" s="2">
        <v>2427.0</v>
      </c>
      <c r="B2428" s="5" t="s">
        <v>4423</v>
      </c>
      <c r="C2428" s="6">
        <v>1.0</v>
      </c>
      <c r="D2428" s="7" t="s">
        <v>4424</v>
      </c>
      <c r="E2428" s="8" t="str">
        <f>IFERROR(__xludf.DUMMYFUNCTION("googletranslate(D2428,""id"",""en"")"),"Time to edit ppkm")</f>
        <v>Time to edit ppkm</v>
      </c>
    </row>
    <row r="2429" ht="15.75" customHeight="1">
      <c r="A2429" s="2">
        <v>2428.0</v>
      </c>
      <c r="B2429" s="5" t="s">
        <v>4425</v>
      </c>
      <c r="C2429" s="6">
        <v>3.0</v>
      </c>
      <c r="D2429" s="7" t="s">
        <v>4426</v>
      </c>
      <c r="E2429" s="8" t="str">
        <f>IFERROR(__xludf.DUMMYFUNCTION("googletranslate(D2429,""id"",""en"")"),"PPKM is right")</f>
        <v>PPKM is right</v>
      </c>
    </row>
    <row r="2430" ht="15.75" customHeight="1">
      <c r="A2430" s="2">
        <v>2429.0</v>
      </c>
      <c r="B2430" s="5" t="s">
        <v>4427</v>
      </c>
      <c r="C2430" s="6">
        <v>2.0</v>
      </c>
      <c r="D2430" s="7" t="s">
        <v>4427</v>
      </c>
      <c r="E2430" s="8" t="str">
        <f>IFERROR(__xludf.DUMMYFUNCTION("googletranslate(D2430,""id"",""en"")"),"-Dips! Ppkm gini bude bambang open gakak")</f>
        <v>-Dips! Ppkm gini bude bambang open gakak</v>
      </c>
    </row>
    <row r="2431" ht="15.75" customHeight="1">
      <c r="A2431" s="2">
        <v>2430.0</v>
      </c>
      <c r="B2431" s="5" t="s">
        <v>4428</v>
      </c>
      <c r="C2431" s="6">
        <v>1.0</v>
      </c>
      <c r="D2431" s="9" t="s">
        <v>4429</v>
      </c>
      <c r="E2431" s="8" t="str">
        <f>IFERROR(__xludf.DUMMYFUNCTION("googletranslate(D2431,""id"",""en"")"),"Plaihan Right CM Reverse Contracts: 1) Stop Chinese TKA Msuk Ri Mo Use Alasn SDAH Vksin / Not To Be Fair Because Aturn PPKM Mengarag Mbility Rkyat2) Hentikn Luhut As Coarking CVID19 In Tngani Lonjakn Virus3) Like / Not Gaskn Anis as President Cvid19mo Apa"&amp;"lgi?")</f>
        <v>Plaihan Right CM Reverse Contracts: 1) Stop Chinese TKA Msuk Ri Mo Use Alasn SDAH Vksin / Not To Be Fair Because Aturn PPKM Mengarag Mbility Rkyat2) Hentikn Luhut As Coarking CVID19 In Tngani Lonjakn Virus3) Like / Not Gaskn Anis as President Cvid19mo Apalgi?</v>
      </c>
    </row>
    <row r="2432" ht="15.75" customHeight="1">
      <c r="A2432" s="2">
        <v>2431.0</v>
      </c>
      <c r="B2432" s="5" t="s">
        <v>4430</v>
      </c>
      <c r="C2432" s="6">
        <v>3.0</v>
      </c>
      <c r="D2432" s="9" t="s">
        <v>4431</v>
      </c>
      <c r="E2432" s="8" t="str">
        <f>IFERROR(__xludf.DUMMYFUNCTION("googletranslate(D2432,""id"",""en"")"),"Countries need our support to move together together to work together, yes at home, share info donors of the patient isoman in wag, report if there is a regional head that is inhibiting Emergency PPKM &amp; amp; Vaccination, always make sure M becomes M, name"&amp;"ly Manut")</f>
        <v>Countries need our support to move together together to work together, yes at home, share info donors of the patient isoman in wag, report if there is a regional head that is inhibiting Emergency PPKM &amp; amp; Vaccination, always make sure M becomes M, namely Manut</v>
      </c>
    </row>
    <row r="2433" ht="15.75" customHeight="1">
      <c r="A2433" s="2">
        <v>2432.0</v>
      </c>
      <c r="B2433" s="5" t="s">
        <v>4432</v>
      </c>
      <c r="C2433" s="6">
        <v>2.0</v>
      </c>
      <c r="D2433" s="7" t="s">
        <v>4432</v>
      </c>
      <c r="E2433" s="8" t="str">
        <f>IFERROR(__xludf.DUMMYFUNCTION("googletranslate(D2433,""id"",""en"")"),"PPKM? Many are doctors and impromptu economists.")</f>
        <v>PPKM? Many are doctors and impromptu economists.</v>
      </c>
    </row>
    <row r="2434" ht="15.75" customHeight="1">
      <c r="A2434" s="2">
        <v>2433.0</v>
      </c>
      <c r="B2434" s="5" t="s">
        <v>4433</v>
      </c>
      <c r="C2434" s="6">
        <v>1.0</v>
      </c>
      <c r="D2434" s="9" t="s">
        <v>4434</v>
      </c>
      <c r="E2434" s="8" t="str">
        <f>IFERROR(__xludf.DUMMYFUNCTION("googletranslate(D2434,""id"",""en"")"),"Problem of sustenance Don't worry, because the earth of God is wideseh but now again the army of PPKM")</f>
        <v>Problem of sustenance Don't worry, because the earth of God is wideseh but now again the army of PPKM</v>
      </c>
    </row>
    <row r="2435" ht="15.75" customHeight="1">
      <c r="A2435" s="2">
        <v>2434.0</v>
      </c>
      <c r="B2435" s="5" t="s">
        <v>4435</v>
      </c>
      <c r="C2435" s="6">
        <v>3.0</v>
      </c>
      <c r="D2435" s="7" t="s">
        <v>4436</v>
      </c>
      <c r="E2435" s="8" t="str">
        <f>IFERROR(__xludf.DUMMYFUNCTION("googletranslate(D2435,""id"",""en"")"),"... support for emergency ppkm for our shared safety and health")</f>
        <v>... support for emergency ppkm for our shared safety and health</v>
      </c>
    </row>
    <row r="2436" ht="15.75" customHeight="1">
      <c r="A2436" s="2">
        <v>2435.0</v>
      </c>
      <c r="B2436" s="5" t="s">
        <v>4437</v>
      </c>
      <c r="C2436" s="6">
        <v>3.0</v>
      </c>
      <c r="D2436" s="9" t="s">
        <v>4438</v>
      </c>
      <c r="E2436" s="8" t="str">
        <f>IFERROR(__xludf.DUMMYFUNCTION("googletranslate(D2436,""id"",""en"")"),"All regional heads must carry out emergency PPKM, to reduce the surge in Covid-19 cases.")</f>
        <v>All regional heads must carry out emergency PPKM, to reduce the surge in Covid-19 cases.</v>
      </c>
    </row>
    <row r="2437" ht="15.75" customHeight="1">
      <c r="A2437" s="2">
        <v>2436.0</v>
      </c>
      <c r="B2437" s="5" t="s">
        <v>4439</v>
      </c>
      <c r="C2437" s="6">
        <v>3.0</v>
      </c>
      <c r="D2437" s="7" t="s">
        <v>4440</v>
      </c>
      <c r="E2437" s="8" t="str">
        <f>IFERROR(__xludf.DUMMYFUNCTION("googletranslate(D2437,""id"",""en"")"),"Support Emergency PPKM for Indonesia healthy again!")</f>
        <v>Support Emergency PPKM for Indonesia healthy again!</v>
      </c>
    </row>
    <row r="2438" ht="15.75" customHeight="1">
      <c r="A2438" s="2">
        <v>2437.0</v>
      </c>
      <c r="B2438" s="5" t="s">
        <v>4441</v>
      </c>
      <c r="C2438" s="6">
        <v>3.0</v>
      </c>
      <c r="D2438" s="9" t="s">
        <v>4442</v>
      </c>
      <c r="E2438" s="8" t="str">
        <f>IFERROR(__xludf.DUMMYFUNCTION("googletranslate(D2438,""id"",""en"")"),"Emergency PPKM Dr. The central government must be supported by all regional heads. One sound.")</f>
        <v>Emergency PPKM Dr. The central government must be supported by all regional heads. One sound.</v>
      </c>
    </row>
    <row r="2439" ht="15.75" customHeight="1">
      <c r="A2439" s="2">
        <v>2438.0</v>
      </c>
      <c r="B2439" s="5" t="s">
        <v>4443</v>
      </c>
      <c r="C2439" s="6">
        <v>3.0</v>
      </c>
      <c r="D2439" s="7" t="s">
        <v>4444</v>
      </c>
      <c r="E2439" s="8" t="str">
        <f>IFERROR(__xludf.DUMMYFUNCTION("googletranslate(D2439,""id"",""en"")"),"Together with mutual synergizing in the action that supports the emergency PPKM BKN nyinyir unfaedah!")</f>
        <v>Together with mutual synergizing in the action that supports the emergency PPKM BKN nyinyir unfaedah!</v>
      </c>
    </row>
    <row r="2440" ht="15.75" customHeight="1">
      <c r="A2440" s="2">
        <v>2439.0</v>
      </c>
      <c r="B2440" s="5" t="s">
        <v>4445</v>
      </c>
      <c r="C2440" s="6">
        <v>3.0</v>
      </c>
      <c r="D2440" s="7" t="s">
        <v>4446</v>
      </c>
      <c r="E2440" s="8" t="str">
        <f>IFERROR(__xludf.DUMMYFUNCTION("googletranslate(D2440,""id"",""en"")"),"We fully support the implementation of the Emergency PPKM that has been established by the Government: //")</f>
        <v>We fully support the implementation of the Emergency PPKM that has been established by the Government: //</v>
      </c>
    </row>
    <row r="2441" ht="15.75" customHeight="1">
      <c r="A2441" s="2">
        <v>2440.0</v>
      </c>
      <c r="B2441" s="5" t="s">
        <v>4447</v>
      </c>
      <c r="C2441" s="6">
        <v>3.0</v>
      </c>
      <c r="D2441" s="7" t="s">
        <v>4448</v>
      </c>
      <c r="E2441" s="8" t="str">
        <f>IFERROR(__xludf.DUMMYFUNCTION("googletranslate(D2441,""id"",""en"")"),"together support emergency ppkm n still obey the proces")</f>
        <v>together support emergency ppkm n still obey the proces</v>
      </c>
    </row>
    <row r="2442" ht="15.75" customHeight="1">
      <c r="A2442" s="2">
        <v>2441.0</v>
      </c>
      <c r="B2442" s="5" t="s">
        <v>4449</v>
      </c>
      <c r="C2442" s="6">
        <v>3.0</v>
      </c>
      <c r="D2442" s="9" t="s">
        <v>4450</v>
      </c>
      <c r="E2442" s="8" t="str">
        <f>IFERROR(__xludf.DUMMYFUNCTION("googletranslate(D2442,""id"",""en"")"),"This dairy so that it will need to support all regional heads.")</f>
        <v>This dairy so that it will need to support all regional heads.</v>
      </c>
    </row>
    <row r="2443" ht="15.75" customHeight="1">
      <c r="A2443" s="2">
        <v>2442.0</v>
      </c>
      <c r="B2443" s="5" t="s">
        <v>4451</v>
      </c>
      <c r="C2443" s="6">
        <v>3.0</v>
      </c>
      <c r="D2443" s="7" t="s">
        <v>4452</v>
      </c>
      <c r="E2443" s="8" t="str">
        <f>IFERROR(__xludf.DUMMYFUNCTION("googletranslate(D2443,""id"",""en"")"),"Let's for all our good, come on doing selfish, the regional government must play an important role in running this emergency PPKM ... Later we are the same to copy19 by obeying the rules ... remember the prokes")</f>
        <v>Let's for all our good, come on doing selfish, the regional government must play an important role in running this emergency PPKM ... Later we are the same to copy19 by obeying the rules ... remember the prokes</v>
      </c>
    </row>
    <row r="2444" ht="15.75" customHeight="1">
      <c r="A2444" s="2">
        <v>2443.0</v>
      </c>
      <c r="B2444" s="5" t="s">
        <v>4453</v>
      </c>
      <c r="C2444" s="6">
        <v>3.0</v>
      </c>
      <c r="D2444" s="7" t="s">
        <v>4454</v>
      </c>
      <c r="E2444" s="8" t="str">
        <f>IFERROR(__xludf.DUMMYFUNCTION("googletranslate(D2444,""id"",""en"")"),"Good morning Shobahul Khairhappy Weekend, Yu can Yu Weekend still have to be productive in the past PPKMgaskeun")</f>
        <v>Good morning Shobahul Khairhappy Weekend, Yu can Yu Weekend still have to be productive in the past PPKMgaskeun</v>
      </c>
    </row>
    <row r="2445" ht="15.75" customHeight="1">
      <c r="A2445" s="2">
        <v>2444.0</v>
      </c>
      <c r="B2445" s="5" t="s">
        <v>4455</v>
      </c>
      <c r="C2445" s="6">
        <v>3.0</v>
      </c>
      <c r="D2445" s="7" t="s">
        <v>4456</v>
      </c>
      <c r="E2445" s="8" t="str">
        <f>IFERROR(__xludf.DUMMYFUNCTION("googletranslate(D2445,""id"",""en"")"),"it really makes use of PPKM time well")</f>
        <v>it really makes use of PPKM time well</v>
      </c>
    </row>
    <row r="2446" ht="15.75" customHeight="1">
      <c r="A2446" s="2">
        <v>2445.0</v>
      </c>
      <c r="B2446" s="5" t="s">
        <v>4457</v>
      </c>
      <c r="C2446" s="6">
        <v>1.0</v>
      </c>
      <c r="D2446" s="9" t="s">
        <v>4458</v>
      </c>
      <c r="E2446" s="8" t="str">
        <f>IFERROR(__xludf.DUMMYFUNCTION("googletranslate(D2446,""id"",""en"")"),"It's good if it's not hit by a ppkm")</f>
        <v>It's good if it's not hit by a ppkm</v>
      </c>
    </row>
    <row r="2447" ht="15.75" customHeight="1">
      <c r="A2447" s="2">
        <v>2446.0</v>
      </c>
      <c r="B2447" s="5" t="s">
        <v>4459</v>
      </c>
      <c r="C2447" s="6">
        <v>2.0</v>
      </c>
      <c r="D2447" s="9" t="s">
        <v>4460</v>
      </c>
      <c r="E2447" s="8" t="str">
        <f>IFERROR(__xludf.DUMMYFUNCTION("googletranslate(D2447,""id"",""en"")"),"Uh, I don't know, try phone (022) 200471 or WA. The working hours - I was last there at the end before the PPKM. Or just like this, you just came to the puskesmas, later I asked to make a reference and how-did it. The puskesmas opened.")</f>
        <v>Uh, I don't know, try phone (022) 200471 or WA. The working hours - I was last there at the end before the PPKM. Or just like this, you just came to the puskesmas, later I asked to make a reference and how-did it. The puskesmas opened.</v>
      </c>
    </row>
    <row r="2448" ht="15.75" customHeight="1">
      <c r="A2448" s="2">
        <v>2447.0</v>
      </c>
      <c r="B2448" s="5" t="s">
        <v>4461</v>
      </c>
      <c r="C2448" s="6">
        <v>1.0</v>
      </c>
      <c r="D2448" s="9" t="s">
        <v>4462</v>
      </c>
      <c r="E2448" s="8" t="str">
        <f>IFERROR(__xludf.DUMMYFUNCTION("googletranslate(D2448,""id"",""en"")"),"So nausea looks at. Wis Ra Jadiane Neh Imaging the Ngono Kui model.")</f>
        <v>So nausea looks at. Wis Ra Jadiane Neh Imaging the Ngono Kui model.</v>
      </c>
    </row>
    <row r="2449" ht="15.75" customHeight="1">
      <c r="A2449" s="2">
        <v>2448.0</v>
      </c>
      <c r="B2449" s="5" t="s">
        <v>4463</v>
      </c>
      <c r="C2449" s="6">
        <v>2.0</v>
      </c>
      <c r="D2449" s="7" t="s">
        <v>4464</v>
      </c>
      <c r="E2449" s="8" t="str">
        <f>IFERROR(__xludf.DUMMYFUNCTION("googletranslate(D2449,""id"",""en"")"),"Madura ... Not Java, Oq.yg PPKM is Java and Bali..madura.")</f>
        <v>Madura ... Not Java, Oq.yg PPKM is Java and Bali..madura.</v>
      </c>
    </row>
    <row r="2450" ht="15.75" customHeight="1">
      <c r="A2450" s="2">
        <v>2449.0</v>
      </c>
      <c r="B2450" s="5" t="s">
        <v>4465</v>
      </c>
      <c r="C2450" s="6">
        <v>2.0</v>
      </c>
      <c r="D2450" s="7" t="s">
        <v>4466</v>
      </c>
      <c r="E2450" s="8" t="str">
        <f>IFERROR(__xludf.DUMMYFUNCTION("googletranslate(D2450,""id"",""en"")"),"Really likes even if it won't play because the ppkm is also at least there is an eye washing material")</f>
        <v>Really likes even if it won't play because the ppkm is also at least there is an eye washing material</v>
      </c>
    </row>
    <row r="2451" ht="15.75" customHeight="1">
      <c r="A2451" s="2">
        <v>2450.0</v>
      </c>
      <c r="B2451" s="5" t="s">
        <v>4467</v>
      </c>
      <c r="C2451" s="6">
        <v>1.0</v>
      </c>
      <c r="D2451" s="7" t="s">
        <v>4468</v>
      </c>
      <c r="E2451" s="8" t="str">
        <f>IFERROR(__xludf.DUMMYFUNCTION("googletranslate(D2451,""id"",""en"")"),"Maybe they doubt the PPKM failed?")</f>
        <v>Maybe they doubt the PPKM failed?</v>
      </c>
    </row>
    <row r="2452" ht="15.75" customHeight="1">
      <c r="A2452" s="2">
        <v>2451.0</v>
      </c>
      <c r="B2452" s="5" t="s">
        <v>4469</v>
      </c>
      <c r="C2452" s="6">
        <v>2.0</v>
      </c>
      <c r="D2452" s="10" t="s">
        <v>4470</v>
      </c>
      <c r="E2452" s="8" t="str">
        <f>IFERROR(__xludf.DUMMYFUNCTION("googletranslate(D2452,""id"",""en"")"),"PPKM Mas.")</f>
        <v>PPKM Mas.</v>
      </c>
    </row>
    <row r="2453" ht="15.75" customHeight="1">
      <c r="A2453" s="2">
        <v>2452.0</v>
      </c>
      <c r="B2453" s="5" t="s">
        <v>4471</v>
      </c>
      <c r="C2453" s="6">
        <v>2.0</v>
      </c>
      <c r="D2453" s="7" t="s">
        <v>4472</v>
      </c>
      <c r="E2453" s="8" t="str">
        <f>IFERROR(__xludf.DUMMYFUNCTION("googletranslate(D2453,""id"",""en"")"),"Again isolated by LG PPKM?")</f>
        <v>Again isolated by LG PPKM?</v>
      </c>
    </row>
    <row r="2454" ht="15.75" customHeight="1">
      <c r="A2454" s="2">
        <v>2453.0</v>
      </c>
      <c r="B2454" s="5" t="s">
        <v>4473</v>
      </c>
      <c r="C2454" s="6">
        <v>2.0</v>
      </c>
      <c r="D2454" s="7" t="s">
        <v>4474</v>
      </c>
      <c r="E2454" s="8" t="str">
        <f>IFERROR(__xludf.DUMMYFUNCTION("googletranslate(D2454,""id"",""en"")"),"Ot again the ppkm will it be the case later?")</f>
        <v>Ot again the ppkm will it be the case later?</v>
      </c>
    </row>
    <row r="2455" ht="15.75" customHeight="1">
      <c r="A2455" s="2">
        <v>2454.0</v>
      </c>
      <c r="B2455" s="5" t="s">
        <v>4475</v>
      </c>
      <c r="C2455" s="6">
        <v>1.0</v>
      </c>
      <c r="D2455" s="9" t="s">
        <v>4476</v>
      </c>
      <c r="E2455" s="8" t="str">
        <f>IFERROR(__xludf.DUMMYFUNCTION("googletranslate(D2455,""id"",""en"")"),"Oath Sometimes Cape knows Tiktok, the contents of the Indonesian person on trusting CVD. Cape becomes an Indo. Gini very much? Every more PPKM instead hang out at the Coffee Shop. Is it really my butt gatel what? You can't hang out, die?")</f>
        <v>Oath Sometimes Cape knows Tiktok, the contents of the Indonesian person on trusting CVD. Cape becomes an Indo. Gini very much? Every more PPKM instead hang out at the Coffee Shop. Is it really my butt gatel what? You can't hang out, die?</v>
      </c>
    </row>
    <row r="2456" ht="15.75" customHeight="1">
      <c r="A2456" s="2">
        <v>2455.0</v>
      </c>
      <c r="B2456" s="5" t="s">
        <v>4477</v>
      </c>
      <c r="C2456" s="6">
        <v>1.0</v>
      </c>
      <c r="D2456" s="9" t="s">
        <v>4478</v>
      </c>
      <c r="E2456" s="8" t="str">
        <f>IFERROR(__xludf.DUMMYFUNCTION("googletranslate(D2456,""id"",""en"")"),"Video Call And Who Is, Kok Kayak Video Call With Javanese Bot With Javanese ""yes"" ""Nggeh"" ""Yeah"" ""Nggeh"" complained of criticism has been conveyed, the government's emergency PPKM solution why doesn't it directly quarantine region. Is this just a "&amp;"sense that the country doesn't bear people?")</f>
        <v>Video Call And Who Is, Kok Kayak Video Call With Javanese Bot With Javanese "yes" "Nggeh" "Yeah" "Nggeh" complained of criticism has been conveyed, the government's emergency PPKM solution why doesn't it directly quarantine region. Is this just a sense that the country doesn't bear people?</v>
      </c>
    </row>
    <row r="2457" ht="15.75" customHeight="1">
      <c r="A2457" s="2">
        <v>2456.0</v>
      </c>
      <c r="B2457" s="5" t="s">
        <v>4479</v>
      </c>
      <c r="C2457" s="6">
        <v>1.0</v>
      </c>
      <c r="D2457" s="9" t="s">
        <v>4479</v>
      </c>
      <c r="E2457" s="8" t="str">
        <f>IFERROR(__xludf.DUMMYFUNCTION("googletranslate(D2457,""id"",""en"")"),"It's a holiday first. There is an emergency PPKM")</f>
        <v>It's a holiday first. There is an emergency PPKM</v>
      </c>
    </row>
    <row r="2458" ht="15.75" customHeight="1">
      <c r="A2458" s="2">
        <v>2457.0</v>
      </c>
      <c r="B2458" s="5" t="s">
        <v>4480</v>
      </c>
      <c r="C2458" s="6">
        <v>1.0</v>
      </c>
      <c r="D2458" s="7" t="s">
        <v>4481</v>
      </c>
      <c r="E2458" s="8" t="str">
        <f>IFERROR(__xludf.DUMMYFUNCTION("googletranslate(D2458,""id"",""en"")"),"Alhamdulillah, it can go back to the house of God is a healthy pleasure inevitable. Sorry of Ogut has violated Emergency PPKM rules ...")</f>
        <v>Alhamdulillah, it can go back to the house of God is a healthy pleasure inevitable. Sorry of Ogut has violated Emergency PPKM rules ...</v>
      </c>
    </row>
    <row r="2459" ht="15.75" customHeight="1">
      <c r="A2459" s="2">
        <v>2458.0</v>
      </c>
      <c r="B2459" s="5" t="s">
        <v>4482</v>
      </c>
      <c r="C2459" s="6">
        <v>2.0</v>
      </c>
      <c r="D2459" s="9" t="s">
        <v>4483</v>
      </c>
      <c r="E2459" s="8" t="str">
        <f>IFERROR(__xludf.DUMMYFUNCTION("googletranslate(D2459,""id"",""en"")"),"SE dated July aimed at the regent / mayor in East Java referred to Inmendagri / about emergency PPKM in the Java region and the province of Bali Loh!")</f>
        <v>SE dated July aimed at the regent / mayor in East Java referred to Inmendagri / about emergency PPKM in the Java region and the province of Bali Loh!</v>
      </c>
    </row>
    <row r="2460" ht="15.75" customHeight="1">
      <c r="A2460" s="2">
        <v>2459.0</v>
      </c>
      <c r="B2460" s="5" t="s">
        <v>4484</v>
      </c>
      <c r="C2460" s="6">
        <v>2.0</v>
      </c>
      <c r="D2460" s="9" t="s">
        <v>4485</v>
      </c>
      <c r="E2460" s="8" t="str">
        <f>IFERROR(__xludf.DUMMYFUNCTION("googletranslate(D2460,""id"",""en"")"),"Ppkm: want to hug you mas")</f>
        <v>Ppkm: want to hug you mas</v>
      </c>
    </row>
    <row r="2461" ht="15.75" customHeight="1">
      <c r="A2461" s="2">
        <v>2460.0</v>
      </c>
      <c r="B2461" s="5" t="s">
        <v>4486</v>
      </c>
      <c r="C2461" s="6">
        <v>1.0</v>
      </c>
      <c r="D2461" s="7" t="s">
        <v>4487</v>
      </c>
      <c r="E2461" s="8" t="str">
        <f>IFERROR(__xludf.DUMMYFUNCTION("googletranslate(D2461,""id"",""en"")"),"Lgi ppkm can't walk")</f>
        <v>Lgi ppkm can't walk</v>
      </c>
    </row>
    <row r="2462" ht="15.75" customHeight="1">
      <c r="A2462" s="2">
        <v>2461.0</v>
      </c>
      <c r="B2462" s="5" t="s">
        <v>4488</v>
      </c>
      <c r="C2462" s="6">
        <v>1.0</v>
      </c>
      <c r="D2462" s="7" t="s">
        <v>4489</v>
      </c>
      <c r="E2462" s="8" t="str">
        <f>IFERROR(__xludf.DUMMYFUNCTION("googletranslate(D2462,""id"",""en"")"),"PPKM forced me")</f>
        <v>PPKM forced me</v>
      </c>
    </row>
    <row r="2463" ht="15.75" customHeight="1">
      <c r="A2463" s="2">
        <v>2462.0</v>
      </c>
      <c r="B2463" s="5" t="s">
        <v>4490</v>
      </c>
      <c r="C2463" s="6">
        <v>1.0</v>
      </c>
      <c r="D2463" s="7" t="s">
        <v>4491</v>
      </c>
      <c r="E2463" s="8" t="str">
        <f>IFERROR(__xludf.DUMMYFUNCTION("googletranslate(D2463,""id"",""en"")"),"PPKM (Pingin came home Keru mah)")</f>
        <v>PPKM (Pingin came home Keru mah)</v>
      </c>
    </row>
    <row r="2464" ht="15.75" customHeight="1">
      <c r="A2464" s="2">
        <v>2463.0</v>
      </c>
      <c r="B2464" s="5" t="s">
        <v>4492</v>
      </c>
      <c r="C2464" s="6">
        <v>2.0</v>
      </c>
      <c r="D2464" s="9" t="s">
        <v>4493</v>
      </c>
      <c r="E2464" s="8" t="str">
        <f>IFERROR(__xludf.DUMMYFUNCTION("googletranslate(D2464,""id"",""en"")"),"Why don't you dream of the terminal to continue to take a bus, see the plane, but finally it goes up because it is missed to be available for many PPKM documents that are not prepared ... is it ...")</f>
        <v>Why don't you dream of the terminal to continue to take a bus, see the plane, but finally it goes up because it is missed to be available for many PPKM documents that are not prepared ... is it ...</v>
      </c>
    </row>
    <row r="2465" ht="15.75" customHeight="1">
      <c r="A2465" s="2">
        <v>2464.0</v>
      </c>
      <c r="B2465" s="5" t="s">
        <v>4494</v>
      </c>
      <c r="C2465" s="6">
        <v>1.0</v>
      </c>
      <c r="D2465" s="7" t="s">
        <v>4495</v>
      </c>
      <c r="E2465" s="8" t="str">
        <f>IFERROR(__xludf.DUMMYFUNCTION("googletranslate(D2465,""id"",""en"")"),"Jalan Bnyk in the Sekat2 Krn Emergency PPKM, Doesn't Make Toll Road DL Mending Field For People Who Sdh At Hunger, Bansos Variants Sdh SPT Variant Covid But Ga Never Get Bansos Tuh,")</f>
        <v>Jalan Bnyk in the Sekat2 Krn Emergency PPKM, Doesn't Make Toll Road DL Mending Field For People Who Sdh At Hunger, Bansos Variants Sdh SPT Variant Covid But Ga Never Get Bansos Tuh,</v>
      </c>
    </row>
    <row r="2466" ht="15.75" customHeight="1">
      <c r="A2466" s="2">
        <v>2465.0</v>
      </c>
      <c r="B2466" s="5" t="s">
        <v>4496</v>
      </c>
      <c r="C2466" s="6">
        <v>2.0</v>
      </c>
      <c r="D2466" s="7" t="s">
        <v>4497</v>
      </c>
      <c r="E2466" s="8" t="str">
        <f>IFERROR(__xludf.DUMMYFUNCTION("googletranslate(D2466,""id"",""en"")"),"Sunday with ppkmanpa pp")</f>
        <v>Sunday with ppkmanpa pp</v>
      </c>
    </row>
    <row r="2467" ht="15.75" customHeight="1">
      <c r="A2467" s="2">
        <v>2466.0</v>
      </c>
      <c r="B2467" s="5" t="s">
        <v>4498</v>
      </c>
      <c r="C2467" s="6">
        <v>1.0</v>
      </c>
      <c r="D2467" s="7" t="s">
        <v>4498</v>
      </c>
      <c r="E2467" s="8" t="str">
        <f>IFERROR(__xludf.DUMMYFUNCTION("googletranslate(D2467,""id"",""en"")"),"dreams are ticketed because of the closing of the PPKM road")</f>
        <v>dreams are ticketed because of the closing of the PPKM road</v>
      </c>
    </row>
    <row r="2468" ht="15.75" customHeight="1">
      <c r="A2468" s="2">
        <v>2467.0</v>
      </c>
      <c r="B2468" s="5" t="s">
        <v>4499</v>
      </c>
      <c r="C2468" s="6">
        <v>2.0</v>
      </c>
      <c r="D2468" s="9" t="s">
        <v>4500</v>
      </c>
      <c r="E2468" s="8" t="str">
        <f>IFERROR(__xludf.DUMMYFUNCTION("googletranslate(D2468,""id"",""en"")"),"PPKM aka Want to Hug Kang Minhee")</f>
        <v>PPKM aka Want to Hug Kang Minhee</v>
      </c>
    </row>
    <row r="2469" ht="15.75" customHeight="1">
      <c r="A2469" s="2">
        <v>2468.0</v>
      </c>
      <c r="B2469" s="5" t="s">
        <v>4501</v>
      </c>
      <c r="C2469" s="6">
        <v>1.0</v>
      </c>
      <c r="D2469" s="10" t="s">
        <v>4501</v>
      </c>
      <c r="E2469" s="8" t="str">
        <f>IFERROR(__xludf.DUMMYFUNCTION("googletranslate(D2469,""id"",""en"")"),"BGST PPKM")</f>
        <v>BGST PPKM</v>
      </c>
    </row>
    <row r="2470" ht="15.75" customHeight="1">
      <c r="A2470" s="2">
        <v>2469.0</v>
      </c>
      <c r="B2470" s="5" t="s">
        <v>4502</v>
      </c>
      <c r="C2470" s="6">
        <v>1.0</v>
      </c>
      <c r="D2470" s="9" t="s">
        <v>4503</v>
      </c>
      <c r="E2470" s="8" t="str">
        <f>IFERROR(__xludf.DUMMYFUNCTION("googletranslate(D2470,""id"",""en"")"),"Yes bro. The livelihood is also very limited. The average street singer that cats will be with the apparatus. If the ppkm isn't it possible. Not to mention the average doesn't have a family.")</f>
        <v>Yes bro. The livelihood is also very limited. The average street singer that cats will be with the apparatus. If the ppkm isn't it possible. Not to mention the average doesn't have a family.</v>
      </c>
    </row>
    <row r="2471" ht="15.75" customHeight="1">
      <c r="A2471" s="2">
        <v>2470.0</v>
      </c>
      <c r="B2471" s="5" t="s">
        <v>4504</v>
      </c>
      <c r="C2471" s="6">
        <v>2.0</v>
      </c>
      <c r="D2471" s="7" t="s">
        <v>4504</v>
      </c>
      <c r="E2471" s="8" t="str">
        <f>IFERROR(__xludf.DUMMYFUNCTION("googletranslate(D2471,""id"",""en"")"),"Cipta Mobile conditions in the context of implementing Emergency PPKM in the Johar Baru region on Saturday (10/7/21)")</f>
        <v>Cipta Mobile conditions in the context of implementing Emergency PPKM in the Johar Baru region on Saturday (10/7/21)</v>
      </c>
    </row>
    <row r="2472" ht="15.75" customHeight="1">
      <c r="A2472" s="2">
        <v>2471.0</v>
      </c>
      <c r="B2472" s="5" t="s">
        <v>4505</v>
      </c>
      <c r="C2472" s="6">
        <v>1.0</v>
      </c>
      <c r="D2472" s="9" t="s">
        <v>4506</v>
      </c>
      <c r="E2472" s="8" t="str">
        <f>IFERROR(__xludf.DUMMYFUNCTION("googletranslate(D2472,""id"",""en"")"),"Ngabalun said the PPKM was successful ... How come it's still not ... ah bad")</f>
        <v>Ngabalun said the PPKM was successful ... How come it's still not ... ah bad</v>
      </c>
    </row>
    <row r="2473" ht="15.75" customHeight="1">
      <c r="A2473" s="2">
        <v>2472.0</v>
      </c>
      <c r="B2473" s="5" t="s">
        <v>4507</v>
      </c>
      <c r="C2473" s="6">
        <v>1.0</v>
      </c>
      <c r="D2473" s="9" t="s">
        <v>4508</v>
      </c>
      <c r="E2473" s="8" t="str">
        <f>IFERROR(__xludf.DUMMYFUNCTION("googletranslate(D2473,""id"",""en"")"),"Already more than a month before PPKM")</f>
        <v>Already more than a month before PPKM</v>
      </c>
    </row>
    <row r="2474" ht="15.75" customHeight="1">
      <c r="A2474" s="2">
        <v>2473.0</v>
      </c>
      <c r="B2474" s="5" t="s">
        <v>4509</v>
      </c>
      <c r="C2474" s="6">
        <v>2.0</v>
      </c>
      <c r="D2474" s="7" t="s">
        <v>4510</v>
      </c>
      <c r="E2474" s="8" t="str">
        <f>IFERROR(__xludf.DUMMYFUNCTION("googletranslate(D2474,""id"",""en"")"),"Gopud Ae, PPKM.")</f>
        <v>Gopud Ae, PPKM.</v>
      </c>
    </row>
    <row r="2475" ht="15.75" customHeight="1">
      <c r="A2475" s="2">
        <v>2474.0</v>
      </c>
      <c r="B2475" s="5" t="s">
        <v>4511</v>
      </c>
      <c r="C2475" s="6">
        <v>2.0</v>
      </c>
      <c r="D2475" s="9" t="s">
        <v>4512</v>
      </c>
      <c r="E2475" s="8" t="str">
        <f>IFERROR(__xludf.DUMMYFUNCTION("googletranslate(D2475,""id"",""en"")"),"Cravings become civil servants if this is like this, PPKM")</f>
        <v>Cravings become civil servants if this is like this, PPKM</v>
      </c>
    </row>
    <row r="2476" ht="15.75" customHeight="1">
      <c r="A2476" s="2">
        <v>2475.0</v>
      </c>
      <c r="B2476" s="5" t="s">
        <v>4513</v>
      </c>
      <c r="C2476" s="6">
        <v>2.0</v>
      </c>
      <c r="D2476" s="7" t="s">
        <v>4513</v>
      </c>
      <c r="E2476" s="8" t="str">
        <f>IFERROR(__xludf.DUMMYFUNCTION("googletranslate(D2476,""id"",""en"")"),"This is a very long ppkm or ppkm")</f>
        <v>This is a very long ppkm or ppkm</v>
      </c>
    </row>
    <row r="2477" ht="15.75" customHeight="1">
      <c r="A2477" s="2">
        <v>2476.0</v>
      </c>
      <c r="B2477" s="5" t="s">
        <v>4514</v>
      </c>
      <c r="C2477" s="6">
        <v>1.0</v>
      </c>
      <c r="D2477" s="7" t="s">
        <v>4515</v>
      </c>
      <c r="E2477" s="8" t="str">
        <f>IFERROR(__xludf.DUMMYFUNCTION("googletranslate(D2477,""id"",""en"")"),"PPKM = Pepo project is stalled.")</f>
        <v>PPKM = Pepo project is stalled.</v>
      </c>
    </row>
    <row r="2478" ht="15.75" customHeight="1">
      <c r="A2478" s="2">
        <v>2477.0</v>
      </c>
      <c r="B2478" s="5" t="s">
        <v>4516</v>
      </c>
      <c r="C2478" s="6">
        <v>1.0</v>
      </c>
      <c r="D2478" s="7" t="s">
        <v>4517</v>
      </c>
      <c r="E2478" s="8" t="str">
        <f>IFERROR(__xludf.DUMMYFUNCTION("googletranslate(D2478,""id"",""en"")"),"One of the things this month is that it already knows that PPKM is still working in Baktikontol")</f>
        <v>One of the things this month is that it already knows that PPKM is still working in Baktikontol</v>
      </c>
    </row>
    <row r="2479" ht="15.75" customHeight="1">
      <c r="A2479" s="2">
        <v>2478.0</v>
      </c>
      <c r="B2479" s="5" t="s">
        <v>4518</v>
      </c>
      <c r="C2479" s="6">
        <v>3.0</v>
      </c>
      <c r="D2479" s="7" t="s">
        <v>4519</v>
      </c>
      <c r="E2479" s="8" t="str">
        <f>IFERROR(__xludf.DUMMYFUNCTION("googletranslate(D2479,""id"",""en"")"),"KSTP breaks. PPKM is right")</f>
        <v>KSTP breaks. PPKM is right</v>
      </c>
    </row>
    <row r="2480" ht="15.75" customHeight="1">
      <c r="A2480" s="2">
        <v>2479.0</v>
      </c>
      <c r="B2480" s="5" t="s">
        <v>4520</v>
      </c>
      <c r="C2480" s="6">
        <v>2.0</v>
      </c>
      <c r="D2480" s="7" t="s">
        <v>4521</v>
      </c>
      <c r="E2480" s="8" t="str">
        <f>IFERROR(__xludf.DUMMYFUNCTION("googletranslate(D2480,""id"",""en"")"),"Day-9 PPKM Aranin Watch What")</f>
        <v>Day-9 PPKM Aranin Watch What</v>
      </c>
    </row>
    <row r="2481" ht="15.75" customHeight="1">
      <c r="A2481" s="2">
        <v>2480.0</v>
      </c>
      <c r="B2481" s="5" t="s">
        <v>4522</v>
      </c>
      <c r="C2481" s="6">
        <v>1.0</v>
      </c>
      <c r="D2481" s="7" t="s">
        <v>4523</v>
      </c>
      <c r="E2481" s="8" t="str">
        <f>IFERROR(__xludf.DUMMYFUNCTION("googletranslate(D2481,""id"",""en"")"),"Just the same. Hit PPKM, Gawe was closed")</f>
        <v>Just the same. Hit PPKM, Gawe was closed</v>
      </c>
    </row>
    <row r="2482" ht="15.75" customHeight="1">
      <c r="A2482" s="2">
        <v>2481.0</v>
      </c>
      <c r="B2482" s="5" t="s">
        <v>4524</v>
      </c>
      <c r="C2482" s="6">
        <v>1.0</v>
      </c>
      <c r="D2482" s="7" t="s">
        <v>4525</v>
      </c>
      <c r="E2482" s="8" t="str">
        <f>IFERROR(__xludf.DUMMYFUNCTION("googletranslate(D2482,""id"",""en"")"),"LG PPKM can't eat at the place Pak Hrs Take Away. Which isn't it hardful ??")</f>
        <v>LG PPKM can't eat at the place Pak Hrs Take Away. Which isn't it hardful ??</v>
      </c>
    </row>
    <row r="2483" ht="15.75" customHeight="1">
      <c r="A2483" s="2">
        <v>2482.0</v>
      </c>
      <c r="B2483" s="5" t="s">
        <v>4526</v>
      </c>
      <c r="C2483" s="6">
        <v>2.0</v>
      </c>
      <c r="D2483" s="10" t="s">
        <v>4527</v>
      </c>
      <c r="E2483" s="8" t="str">
        <f>IFERROR(__xludf.DUMMYFUNCTION("googletranslate(D2483,""id"",""en"")"),"PPKM Mas.")</f>
        <v>PPKM Mas.</v>
      </c>
    </row>
    <row r="2484" ht="15.75" customHeight="1">
      <c r="A2484" s="2">
        <v>2483.0</v>
      </c>
      <c r="B2484" s="5" t="s">
        <v>4528</v>
      </c>
      <c r="C2484" s="6">
        <v>2.0</v>
      </c>
      <c r="D2484" s="7" t="s">
        <v>4529</v>
      </c>
      <c r="E2484" s="8" t="str">
        <f>IFERROR(__xludf.DUMMYFUNCTION("googletranslate(D2484,""id"",""en"")"),"PPKM multiply goes to the mosque")</f>
        <v>PPKM multiply goes to the mosque</v>
      </c>
    </row>
    <row r="2485" ht="15.75" customHeight="1">
      <c r="A2485" s="2">
        <v>2484.0</v>
      </c>
      <c r="B2485" s="5" t="s">
        <v>4530</v>
      </c>
      <c r="C2485" s="6">
        <v>3.0</v>
      </c>
      <c r="D2485" s="7" t="s">
        <v>4531</v>
      </c>
      <c r="E2485" s="8" t="str">
        <f>IFERROR(__xludf.DUMMYFUNCTION("googletranslate(D2485,""id"",""en"")"),"Come yuk..Patuhi PPKM &amp; amp; obey the proces rules for our security.")</f>
        <v>Come yuk..Patuhi PPKM &amp; amp; obey the proces rules for our security.</v>
      </c>
    </row>
    <row r="2486" ht="15.75" customHeight="1">
      <c r="A2486" s="2">
        <v>2485.0</v>
      </c>
      <c r="B2486" s="5" t="s">
        <v>4532</v>
      </c>
      <c r="C2486" s="6">
        <v>1.0</v>
      </c>
      <c r="D2486" s="7" t="s">
        <v>4532</v>
      </c>
      <c r="E2486" s="8" t="str">
        <f>IFERROR(__xludf.DUMMYFUNCTION("googletranslate(D2486,""id"",""en"")"),"Ppkm really bother asu")</f>
        <v>Ppkm really bother asu</v>
      </c>
    </row>
    <row r="2487" ht="15.75" customHeight="1">
      <c r="A2487" s="2">
        <v>2486.0</v>
      </c>
      <c r="B2487" s="5" t="s">
        <v>4533</v>
      </c>
      <c r="C2487" s="6">
        <v>3.0</v>
      </c>
      <c r="D2487" s="7" t="s">
        <v>4534</v>
      </c>
      <c r="E2487" s="8" t="str">
        <f>IFERROR(__xludf.DUMMYFUNCTION("googletranslate(D2487,""id"",""en"")"),"Entertainment D Kala PPKM")</f>
        <v>Entertainment D Kala PPKM</v>
      </c>
    </row>
    <row r="2488" ht="15.75" customHeight="1">
      <c r="A2488" s="2">
        <v>2487.0</v>
      </c>
      <c r="B2488" s="5" t="s">
        <v>4535</v>
      </c>
      <c r="C2488" s="6">
        <v>1.0</v>
      </c>
      <c r="D2488" s="7" t="s">
        <v>4535</v>
      </c>
      <c r="E2488" s="8" t="str">
        <f>IFERROR(__xludf.DUMMYFUNCTION("googletranslate(D2488,""id"",""en"")"),"By the Minister of Home Affairs the closure of the place of worship was revised. WL? Why is the revised Minister of Home Affairs instead of Menag? Bro luhut who can answer? Try reading well what is the content of the revision. The place of worship is the "&amp;"mosque that during the PPKM HRS is closed now, but it can be forbidden to hold worship?")</f>
        <v>By the Minister of Home Affairs the closure of the place of worship was revised. WL? Why is the revised Minister of Home Affairs instead of Menag? Bro luhut who can answer? Try reading well what is the content of the revision. The place of worship is the mosque that during the PPKM HRS is closed now, but it can be forbidden to hold worship?</v>
      </c>
    </row>
    <row r="2489" ht="15.75" customHeight="1">
      <c r="A2489" s="2">
        <v>2488.0</v>
      </c>
      <c r="B2489" s="5" t="s">
        <v>4536</v>
      </c>
      <c r="C2489" s="6">
        <v>1.0</v>
      </c>
      <c r="D2489" s="9" t="s">
        <v>4537</v>
      </c>
      <c r="E2489" s="8" t="str">
        <f>IFERROR(__xludf.DUMMYFUNCTION("googletranslate(D2489,""id"",""en"")"),"Ppkm tea naon lah ,, hope in my bulkhead you can't get out anjimm, already know wants to go")</f>
        <v>Ppkm tea naon lah ,, hope in my bulkhead you can't get out anjimm, already know wants to go</v>
      </c>
    </row>
    <row r="2490" ht="15.75" customHeight="1">
      <c r="A2490" s="2">
        <v>2489.0</v>
      </c>
      <c r="B2490" s="5" t="s">
        <v>4538</v>
      </c>
      <c r="C2490" s="6">
        <v>1.0</v>
      </c>
      <c r="D2490" s="7" t="s">
        <v>4539</v>
      </c>
      <c r="E2490" s="8" t="str">
        <f>IFERROR(__xludf.DUMMYFUNCTION("googletranslate(D2490,""id"",""en"")"),"Congratulations on the new innovation but the ppkm patch tire jd can be online if it's udh rich in shamans just in the long distance spell to leak nyh ..")</f>
        <v>Congratulations on the new innovation but the ppkm patch tire jd can be online if it's udh rich in shamans just in the long distance spell to leak nyh ..</v>
      </c>
    </row>
    <row r="2491" ht="15.75" customHeight="1">
      <c r="A2491" s="2">
        <v>2490.0</v>
      </c>
      <c r="B2491" s="5" t="s">
        <v>4540</v>
      </c>
      <c r="C2491" s="6">
        <v>1.0</v>
      </c>
      <c r="D2491" s="7" t="s">
        <v>4541</v>
      </c>
      <c r="E2491" s="8" t="str">
        <f>IFERROR(__xludf.DUMMYFUNCTION("googletranslate(D2491,""id"",""en"")"),"So you justification Kadrun to violate PPKM, with the reason for the entry of WNA .... Angel ...")</f>
        <v>So you justification Kadrun to violate PPKM, with the reason for the entry of WNA .... Angel ...</v>
      </c>
    </row>
    <row r="2492" ht="15.75" customHeight="1">
      <c r="A2492" s="2">
        <v>2491.0</v>
      </c>
      <c r="B2492" s="5" t="s">
        <v>4542</v>
      </c>
      <c r="C2492" s="6">
        <v>3.0</v>
      </c>
      <c r="D2492" s="7" t="s">
        <v>4543</v>
      </c>
      <c r="E2492" s="8" t="str">
        <f>IFERROR(__xludf.DUMMYFUNCTION("googletranslate(D2492,""id"",""en"")"),"The government is correct implementing Emergency PPKM ... let's fully support. . DGN keep yourself msing2 ...")</f>
        <v>The government is correct implementing Emergency PPKM ... let's fully support. . DGN keep yourself msing2 ...</v>
      </c>
    </row>
    <row r="2493" ht="15.75" customHeight="1">
      <c r="A2493" s="2">
        <v>2492.0</v>
      </c>
      <c r="B2493" s="5" t="s">
        <v>4544</v>
      </c>
      <c r="C2493" s="6">
        <v>2.0</v>
      </c>
      <c r="D2493" s="7" t="s">
        <v>4545</v>
      </c>
      <c r="E2493" s="8" t="str">
        <f>IFERROR(__xludf.DUMMYFUNCTION("googletranslate(D2493,""id"",""en"")"),"Ppkm on July night")</f>
        <v>Ppkm on July night</v>
      </c>
    </row>
    <row r="2494" ht="15.75" customHeight="1">
      <c r="A2494" s="2">
        <v>2493.0</v>
      </c>
      <c r="B2494" s="5" t="s">
        <v>4546</v>
      </c>
      <c r="C2494" s="6">
        <v>2.0</v>
      </c>
      <c r="D2494" s="7" t="s">
        <v>4547</v>
      </c>
      <c r="E2494" s="8" t="str">
        <f>IFERROR(__xludf.DUMMYFUNCTION("googletranslate(D2494,""id"",""en"")"),"Maybe Pakpol again explains what PPKM is like")</f>
        <v>Maybe Pakpol again explains what PPKM is like</v>
      </c>
    </row>
    <row r="2495" ht="15.75" customHeight="1">
      <c r="A2495" s="2">
        <v>2494.0</v>
      </c>
      <c r="B2495" s="5" t="s">
        <v>4548</v>
      </c>
      <c r="C2495" s="6">
        <v>1.0</v>
      </c>
      <c r="D2495" s="7" t="s">
        <v>4549</v>
      </c>
      <c r="E2495" s="8" t="str">
        <f>IFERROR(__xludf.DUMMYFUNCTION("googletranslate(D2495,""id"",""en"")"),"hahahah .... kyk ye regime there is a quarantine u using the term pspb lah ... ppkm lah nti ape lg")</f>
        <v>hahahah .... kyk ye regime there is a quarantine u using the term pspb lah ... ppkm lah nti ape lg</v>
      </c>
    </row>
    <row r="2496" ht="15.75" customHeight="1">
      <c r="A2496" s="2">
        <v>2495.0</v>
      </c>
      <c r="B2496" s="5" t="s">
        <v>4550</v>
      </c>
      <c r="C2496" s="6">
        <v>1.0</v>
      </c>
      <c r="D2496" s="7" t="s">
        <v>4550</v>
      </c>
      <c r="E2496" s="8" t="str">
        <f>IFERROR(__xludf.DUMMYFUNCTION("googletranslate(D2496,""id"",""en"")"),"Ppkm: slowly we slowly")</f>
        <v>Ppkm: slowly we slowly</v>
      </c>
    </row>
    <row r="2497" ht="15.75" customHeight="1">
      <c r="A2497" s="2">
        <v>2496.0</v>
      </c>
      <c r="B2497" s="5" t="s">
        <v>4551</v>
      </c>
      <c r="C2497" s="6">
        <v>1.0</v>
      </c>
      <c r="D2497" s="7" t="s">
        <v>4552</v>
      </c>
      <c r="E2497" s="8" t="str">
        <f>IFERROR(__xludf.DUMMYFUNCTION("googletranslate(D2497,""id"",""en"")"),"Sugeng Enjang Pak Ganjar, I want to ask, is there an emergency ppkm there is aid from the government in the form of basic needs? Because the business of my parents was threatened with close due to this emergency PPKM. I was afraid that there was an arroga"&amp;"nt person. I wanted to ask, sir.")</f>
        <v>Sugeng Enjang Pak Ganjar, I want to ask, is there an emergency ppkm there is aid from the government in the form of basic needs? Because the business of my parents was threatened with close due to this emergency PPKM. I was afraid that there was an arrogant person. I wanted to ask, sir.</v>
      </c>
    </row>
    <row r="2498" ht="15.75" customHeight="1">
      <c r="A2498" s="2">
        <v>2497.0</v>
      </c>
      <c r="B2498" s="5" t="s">
        <v>4553</v>
      </c>
      <c r="C2498" s="6">
        <v>1.0</v>
      </c>
      <c r="D2498" s="9" t="s">
        <v>4554</v>
      </c>
      <c r="E2498" s="8" t="str">
        <f>IFERROR(__xludf.DUMMYFUNCTION("googletranslate(D2498,""id"",""en"")"),"Sir, I want to ask the emergency PPKM, the clock is limited to: 00. Indeed after: 00 the virus is on the exit wandering? The virus likes staying up late huh?")</f>
        <v>Sir, I want to ask the emergency PPKM, the clock is limited to: 00. Indeed after: 00 the virus is on the exit wandering? The virus likes staying up late huh?</v>
      </c>
    </row>
    <row r="2499" ht="15.75" customHeight="1">
      <c r="A2499" s="2">
        <v>2498.0</v>
      </c>
      <c r="B2499" s="5" t="s">
        <v>4555</v>
      </c>
      <c r="C2499" s="6">
        <v>2.0</v>
      </c>
      <c r="D2499" s="9" t="s">
        <v>4556</v>
      </c>
      <c r="E2499" s="8" t="str">
        <f>IFERROR(__xludf.DUMMYFUNCTION("googletranslate(D2499,""id"",""en"")"),"Even though PPKM is like this, don't forget to fast in the month of Dzulhijjah on July")</f>
        <v>Even though PPKM is like this, don't forget to fast in the month of Dzulhijjah on July</v>
      </c>
    </row>
    <row r="2500" ht="15.75" customHeight="1">
      <c r="A2500" s="2">
        <v>2499.0</v>
      </c>
      <c r="B2500" s="5" t="s">
        <v>4557</v>
      </c>
      <c r="C2500" s="6">
        <v>3.0</v>
      </c>
      <c r="D2500" s="7" t="s">
        <v>4558</v>
      </c>
      <c r="E2500" s="8" t="str">
        <f>IFERROR(__xludf.DUMMYFUNCTION("googletranslate(D2500,""id"",""en"")"),"So Gini Mas, PPKM is the government's goal to reduce viral transmission. But it doesn't make everyone understand and receive. Well that's the policy made by the leader. Can't make everyone happy. But still the destination and the government's intention is"&amp;" to protect")</f>
        <v>So Gini Mas, PPKM is the government's goal to reduce viral transmission. But it doesn't make everyone understand and receive. Well that's the policy made by the leader. Can't make everyone happy. But still the destination and the government's intention is to protect</v>
      </c>
    </row>
    <row r="2501" ht="15.75" customHeight="1">
      <c r="A2501" s="2">
        <v>2500.0</v>
      </c>
      <c r="B2501" s="5" t="s">
        <v>4559</v>
      </c>
      <c r="C2501" s="6">
        <v>2.0</v>
      </c>
      <c r="D2501" s="7" t="s">
        <v>4560</v>
      </c>
      <c r="E2501" s="8" t="str">
        <f>IFERROR(__xludf.DUMMYFUNCTION("googletranslate(D2501,""id"",""en"")"),"PPKM at ICT home")</f>
        <v>PPKM at ICT home</v>
      </c>
    </row>
    <row r="2502" ht="15.75" customHeight="1">
      <c r="A2502" s="2">
        <v>2501.0</v>
      </c>
      <c r="B2502" s="5" t="s">
        <v>4561</v>
      </c>
      <c r="C2502" s="6">
        <v>1.0</v>
      </c>
      <c r="D2502" s="7" t="s">
        <v>4562</v>
      </c>
      <c r="E2502" s="8" t="str">
        <f>IFERROR(__xludf.DUMMYFUNCTION("googletranslate(D2502,""id"",""en"")"),"Iyasih ... how come you don't sell fitting ppkm?")</f>
        <v>Iyasih ... how come you don't sell fitting ppkm?</v>
      </c>
    </row>
    <row r="2503" ht="15.75" customHeight="1">
      <c r="A2503" s="2">
        <v>2502.0</v>
      </c>
      <c r="B2503" s="5" t="s">
        <v>4563</v>
      </c>
      <c r="C2503" s="6">
        <v>2.0</v>
      </c>
      <c r="D2503" s="7" t="s">
        <v>4564</v>
      </c>
      <c r="E2503" s="8" t="str">
        <f>IFERROR(__xludf.DUMMYFUNCTION("googletranslate(D2503,""id"",""en"")"),"Ppkm dong? Want to go to Makassar")</f>
        <v>Ppkm dong? Want to go to Makassar</v>
      </c>
    </row>
    <row r="2504" ht="15.75" customHeight="1">
      <c r="A2504" s="2">
        <v>2503.0</v>
      </c>
      <c r="B2504" s="5" t="s">
        <v>4565</v>
      </c>
      <c r="C2504" s="6">
        <v>1.0</v>
      </c>
      <c r="D2504" s="9" t="s">
        <v>4566</v>
      </c>
      <c r="E2504" s="8" t="str">
        <f>IFERROR(__xludf.DUMMYFUNCTION("googletranslate(D2504,""id"",""en"")"),"Bang denny ... help who has installments or debt in the bank asks for relief ... selling lonely because of the PPKM ... many bank banks don't want to know ... the government has ever announced to give relief ... bulging ... so the president and his staff "&amp;"know and act")</f>
        <v>Bang denny ... help who has installments or debt in the bank asks for relief ... selling lonely because of the PPKM ... many bank banks don't want to know ... the government has ever announced to give relief ... bulging ... so the president and his staff know and act</v>
      </c>
    </row>
    <row r="2505" ht="15.75" customHeight="1">
      <c r="A2505" s="2">
        <v>2504.0</v>
      </c>
      <c r="B2505" s="5" t="s">
        <v>4567</v>
      </c>
      <c r="C2505" s="6">
        <v>1.0</v>
      </c>
      <c r="D2505" s="7" t="s">
        <v>4568</v>
      </c>
      <c r="E2505" s="8" t="str">
        <f>IFERROR(__xludf.DUMMYFUNCTION("googletranslate(D2505,""id"",""en"")"),"Dah clear PPKM Mr. President can't afford it! Evidently this pandemic shows that he is only caring for GMN to save his position so that it can save the bandits &amp; amp; Mice, people's lives are not important.")</f>
        <v>Dah clear PPKM Mr. President can't afford it! Evidently this pandemic shows that he is only caring for GMN to save his position so that it can save the bandits &amp; amp; Mice, people's lives are not important.</v>
      </c>
    </row>
    <row r="2506" ht="15.75" customHeight="1">
      <c r="A2506" s="2">
        <v>2505.0</v>
      </c>
      <c r="B2506" s="5" t="s">
        <v>4569</v>
      </c>
      <c r="C2506" s="6">
        <v>1.0</v>
      </c>
      <c r="D2506" s="9" t="s">
        <v>4570</v>
      </c>
      <c r="E2506" s="8" t="str">
        <f>IFERROR(__xludf.DUMMYFUNCTION("googletranslate(D2506,""id"",""en"")"),"Maybe the one with him with his daily group is affected by PPKM, maybe it's actually angry with the situation and feels represented.")</f>
        <v>Maybe the one with him with his daily group is affected by PPKM, maybe it's actually angry with the situation and feels represented.</v>
      </c>
    </row>
    <row r="2507" ht="15.75" customHeight="1">
      <c r="A2507" s="2">
        <v>2506.0</v>
      </c>
      <c r="B2507" s="5" t="s">
        <v>4571</v>
      </c>
      <c r="C2507" s="6">
        <v>2.0</v>
      </c>
      <c r="D2507" s="9" t="s">
        <v>4572</v>
      </c>
      <c r="E2507" s="8" t="str">
        <f>IFERROR(__xludf.DUMMYFUNCTION("googletranslate(D2507,""id"",""en"")"),"Aaaaaaaa yeah, I agree that he is getting at the ending the more sweet betollll wkwk bosen ppkm if at Junghyun's house all wkwk")</f>
        <v>Aaaaaaaa yeah, I agree that he is getting at the ending the more sweet betollll wkwk bosen ppkm if at Junghyun's house all wkwk</v>
      </c>
    </row>
    <row r="2508" ht="15.75" customHeight="1">
      <c r="A2508" s="2">
        <v>2507.0</v>
      </c>
      <c r="B2508" s="5" t="s">
        <v>4573</v>
      </c>
      <c r="C2508" s="6">
        <v>1.0</v>
      </c>
      <c r="D2508" s="9" t="s">
        <v>4574</v>
      </c>
      <c r="E2508" s="8" t="str">
        <f>IFERROR(__xludf.DUMMYFUNCTION("googletranslate(D2508,""id"",""en"")"),"So Melow Stlah, see the building driver fired because it doesn't use a mask. If there are people who don't have a heart like GT anyway? Look at the apparatus arbitrarily merchandise with the pretext of the PPKM. It's clear that the virus doesn't work. Sma"&amp;"ll society is increasingly diaminik2 with fellow humans who are not there for")</f>
        <v>So Melow Stlah, see the building driver fired because it doesn't use a mask. If there are people who don't have a heart like GT anyway? Look at the apparatus arbitrarily merchandise with the pretext of the PPKM. It's clear that the virus doesn't work. Small society is increasingly diaminik2 with fellow humans who are not there for</v>
      </c>
    </row>
    <row r="2509" ht="15.75" customHeight="1">
      <c r="A2509" s="2">
        <v>2508.0</v>
      </c>
      <c r="B2509" s="5" t="s">
        <v>4575</v>
      </c>
      <c r="C2509" s="6">
        <v>1.0</v>
      </c>
      <c r="D2509" s="9" t="s">
        <v>4576</v>
      </c>
      <c r="E2509" s="8" t="str">
        <f>IFERROR(__xludf.DUMMYFUNCTION("googletranslate(D2509,""id"",""en"")"),"Which people in Take care of Cuy, the Indonesian people are what the Chinese people, PPKM is strictly carried out for the people of Indonesia, while the Chinese people carry the virus are still allowed to come into Indonesia with free, the brain Dimane tr"&amp;"ies")</f>
        <v>Which people in Take care of Cuy, the Indonesian people are what the Chinese people, PPKM is strictly carried out for the people of Indonesia, while the Chinese people carry the virus are still allowed to come into Indonesia with free, the brain Dimane tries</v>
      </c>
    </row>
    <row r="2510" ht="15.75" customHeight="1">
      <c r="A2510" s="2">
        <v>2509.0</v>
      </c>
      <c r="B2510" s="5" t="s">
        <v>4577</v>
      </c>
      <c r="C2510" s="6">
        <v>2.0</v>
      </c>
      <c r="D2510" s="9" t="s">
        <v>4577</v>
      </c>
      <c r="E2510" s="8" t="str">
        <f>IFERROR(__xludf.DUMMYFUNCTION("googletranslate(D2510,""id"",""en"")"),"....")</f>
        <v>....</v>
      </c>
    </row>
    <row r="2511" ht="15.75" customHeight="1">
      <c r="A2511" s="2">
        <v>2510.0</v>
      </c>
      <c r="B2511" s="5" t="s">
        <v>4578</v>
      </c>
      <c r="C2511" s="6">
        <v>3.0</v>
      </c>
      <c r="D2511" s="9" t="s">
        <v>4578</v>
      </c>
      <c r="E2511" s="8" t="str">
        <f>IFERROR(__xludf.DUMMYFUNCTION("googletranslate(D2511,""id"",""en"")"),"PPKM is extended to forever. PPKM = Believe me must help.")</f>
        <v>PPKM is extended to forever. PPKM = Believe me must help.</v>
      </c>
    </row>
    <row r="2512" ht="15.75" customHeight="1">
      <c r="A2512" s="2">
        <v>2511.0</v>
      </c>
      <c r="B2512" s="5" t="s">
        <v>4579</v>
      </c>
      <c r="C2512" s="6">
        <v>2.0</v>
      </c>
      <c r="D2512" s="9" t="s">
        <v>4580</v>
      </c>
      <c r="E2512" s="8" t="str">
        <f>IFERROR(__xludf.DUMMYFUNCTION("googletranslate(D2512,""id"",""en"")"),"PPKM (ever cared then forget)")</f>
        <v>PPKM (ever cared then forget)</v>
      </c>
    </row>
    <row r="2513" ht="15.75" customHeight="1">
      <c r="A2513" s="2">
        <v>2512.0</v>
      </c>
      <c r="B2513" s="5" t="s">
        <v>4581</v>
      </c>
      <c r="C2513" s="6">
        <v>2.0</v>
      </c>
      <c r="D2513" s="7" t="s">
        <v>4581</v>
      </c>
      <c r="E2513" s="8" t="str">
        <f>IFERROR(__xludf.DUMMYFUNCTION("googletranslate(D2513,""id"",""en"")"),"PPKM extended. PPKM = promo quota package is steady. LOL.")</f>
        <v>PPKM extended. PPKM = promo quota package is steady. LOL.</v>
      </c>
    </row>
    <row r="2514" ht="15.75" customHeight="1">
      <c r="A2514" s="2">
        <v>2513.0</v>
      </c>
      <c r="B2514" s="5" t="s">
        <v>4582</v>
      </c>
      <c r="C2514" s="6">
        <v>2.0</v>
      </c>
      <c r="D2514" s="7" t="s">
        <v>4583</v>
      </c>
      <c r="E2514" s="8" t="str">
        <f>IFERROR(__xludf.DUMMYFUNCTION("googletranslate(D2514,""id"",""en"")"),"Min ... Is this really unprocessed during the PPKM? or just as long as there are reporters")</f>
        <v>Min ... Is this really unprocessed during the PPKM? or just as long as there are reporters</v>
      </c>
    </row>
    <row r="2515" ht="15.75" customHeight="1">
      <c r="A2515" s="2">
        <v>2514.0</v>
      </c>
      <c r="B2515" s="5" t="s">
        <v>4584</v>
      </c>
      <c r="C2515" s="6">
        <v>1.0</v>
      </c>
      <c r="D2515" s="7" t="s">
        <v>4585</v>
      </c>
      <c r="E2515" s="8" t="str">
        <f>IFERROR(__xludf.DUMMYFUNCTION("googletranslate(D2515,""id"",""en"")"),"Indeed, it was getting worse, last night Razia PPKM in Medan, told the outlet sy closed, not long after they were just aware of my employees' bags lost, there was a wallet, stnk, anter ATM etc. broken x this country kak")</f>
        <v>Indeed, it was getting worse, last night Razia PPKM in Medan, told the outlet sy closed, not long after they were just aware of my employees' bags lost, there was a wallet, stnk, anter ATM etc. broken x this country kak</v>
      </c>
    </row>
    <row r="2516" ht="15.75" customHeight="1">
      <c r="A2516" s="2">
        <v>2515.0</v>
      </c>
      <c r="B2516" s="5" t="s">
        <v>4586</v>
      </c>
      <c r="C2516" s="6">
        <v>1.0</v>
      </c>
      <c r="D2516" s="7" t="s">
        <v>4587</v>
      </c>
      <c r="E2516" s="8" t="str">
        <f>IFERROR(__xludf.DUMMYFUNCTION("googletranslate(D2516,""id"",""en"")"),"When the ppkm ... the government is not sensitive ...")</f>
        <v>When the ppkm ... the government is not sensitive ...</v>
      </c>
    </row>
    <row r="2517" ht="15.75" customHeight="1">
      <c r="A2517" s="2">
        <v>2516.0</v>
      </c>
      <c r="B2517" s="5" t="s">
        <v>4588</v>
      </c>
      <c r="C2517" s="6">
        <v>1.0</v>
      </c>
      <c r="D2517" s="7" t="s">
        <v>4589</v>
      </c>
      <c r="E2517" s="8" t="str">
        <f>IFERROR(__xludf.DUMMYFUNCTION("googletranslate(D2517,""id"",""en"")"),"The purpose of the emergency PPKM cuts the covid transmission chain strap what adds to the transmission number ... Later. ??")</f>
        <v>The purpose of the emergency PPKM cuts the covid transmission chain strap what adds to the transmission number ... Later. ??</v>
      </c>
    </row>
    <row r="2518" ht="15.75" customHeight="1">
      <c r="A2518" s="2">
        <v>2517.0</v>
      </c>
      <c r="B2518" s="5" t="s">
        <v>4590</v>
      </c>
      <c r="C2518" s="6">
        <v>2.0</v>
      </c>
      <c r="D2518" s="7" t="s">
        <v>4590</v>
      </c>
      <c r="E2518" s="8" t="str">
        <f>IFERROR(__xludf.DUMMYFUNCTION("googletranslate(D2518,""id"",""en"")"),"Is this PPKM extended?")</f>
        <v>Is this PPKM extended?</v>
      </c>
    </row>
    <row r="2519" ht="15.75" customHeight="1">
      <c r="A2519" s="2">
        <v>2518.0</v>
      </c>
      <c r="B2519" s="5" t="s">
        <v>4591</v>
      </c>
      <c r="C2519" s="6">
        <v>1.0</v>
      </c>
      <c r="D2519" s="7" t="s">
        <v>4592</v>
      </c>
      <c r="E2519" s="8" t="str">
        <f>IFERROR(__xludf.DUMMYFUNCTION("googletranslate(D2519,""id"",""en"")"),"Stop Kopitstop Reporting Fucksinstop Brisy Ambulance (Karna JLanan Empty at PPKM) Stop WNA / TKASTOP also Rupat Rupat Test")</f>
        <v>Stop Kopitstop Reporting Fucksinstop Brisy Ambulance (Karna JLanan Empty at PPKM) Stop WNA / TKASTOP also Rupat Rupat Test</v>
      </c>
    </row>
    <row r="2520" ht="15.75" customHeight="1">
      <c r="A2520" s="2">
        <v>2519.0</v>
      </c>
      <c r="B2520" s="5" t="s">
        <v>4593</v>
      </c>
      <c r="C2520" s="6">
        <v>2.0</v>
      </c>
      <c r="D2520" s="10" t="s">
        <v>4594</v>
      </c>
      <c r="E2520" s="8" t="str">
        <f>IFERROR(__xludf.DUMMYFUNCTION("googletranslate(D2520,""id"",""en"")"),"rumahppkm.")</f>
        <v>rumahppkm.</v>
      </c>
    </row>
    <row r="2521" ht="15.75" customHeight="1">
      <c r="A2521" s="2">
        <v>2520.0</v>
      </c>
      <c r="B2521" s="5" t="s">
        <v>4595</v>
      </c>
      <c r="C2521" s="6">
        <v>2.0</v>
      </c>
      <c r="D2521" s="7" t="s">
        <v>4596</v>
      </c>
      <c r="E2521" s="8" t="str">
        <f>IFERROR(__xludf.DUMMYFUNCTION("googletranslate(D2521,""id"",""en"")"),"Ppkm can be used for gombal..pkm rujak artisan huh? How come you know? Because you have given my heart ngulak")</f>
        <v>Ppkm can be used for gombal..pkm rujak artisan huh? How come you know? Because you have given my heart ngulak</v>
      </c>
    </row>
    <row r="2522" ht="15.75" customHeight="1">
      <c r="A2522" s="2">
        <v>2521.0</v>
      </c>
      <c r="B2522" s="5" t="s">
        <v>4597</v>
      </c>
      <c r="C2522" s="6">
        <v>1.0</v>
      </c>
      <c r="D2522" s="9" t="s">
        <v>4598</v>
      </c>
      <c r="E2522" s="8" t="str">
        <f>IFERROR(__xludf.DUMMYFUNCTION("googletranslate(D2522,""id"",""en"")"),"If the vaccine itself is danger ... instead, this country is crazy ... let up, the PPKM is not used to make the indigenous people sprayed by water if it breaks ttp selling")</f>
        <v>If the vaccine itself is danger ... instead, this country is crazy ... let up, the PPKM is not used to make the indigenous people sprayed by water if it breaks ttp selling</v>
      </c>
    </row>
    <row r="2523" ht="15.75" customHeight="1">
      <c r="A2523" s="2">
        <v>2522.0</v>
      </c>
      <c r="B2523" s="5" t="s">
        <v>4599</v>
      </c>
      <c r="C2523" s="6">
        <v>2.0</v>
      </c>
      <c r="D2523" s="10" t="s">
        <v>4600</v>
      </c>
      <c r="E2523" s="8" t="str">
        <f>IFERROR(__xludf.DUMMYFUNCTION("googletranslate(D2523,""id"",""en"")"),"ppkm sayanggg.")</f>
        <v>ppkm sayanggg.</v>
      </c>
    </row>
    <row r="2524" ht="15.75" customHeight="1">
      <c r="A2524" s="2">
        <v>2523.0</v>
      </c>
      <c r="B2524" s="5" t="s">
        <v>4601</v>
      </c>
      <c r="C2524" s="6">
        <v>2.0</v>
      </c>
      <c r="D2524" s="7" t="s">
        <v>4601</v>
      </c>
      <c r="E2524" s="8" t="str">
        <f>IFERROR(__xludf.DUMMYFUNCTION("googletranslate(D2524,""id"",""en"")"),"Ppkm ""slowly we move on""")</f>
        <v>Ppkm "slowly we move on"</v>
      </c>
    </row>
    <row r="2525" ht="15.75" customHeight="1">
      <c r="A2525" s="2">
        <v>2524.0</v>
      </c>
      <c r="B2525" s="5" t="s">
        <v>4602</v>
      </c>
      <c r="C2525" s="6">
        <v>3.0</v>
      </c>
      <c r="D2525" s="7" t="s">
        <v>4603</v>
      </c>
      <c r="E2525" s="8" t="str">
        <f>IFERROR(__xludf.DUMMYFUNCTION("googletranslate(D2525,""id"",""en"")"),"Remember Kawan Cat of Emergency Emergency Kota Semarang $ Number $ July Let All Be Better")</f>
        <v>Remember Kawan Cat of Emergency Emergency Kota Semarang $ Number $ July Let All Be Better</v>
      </c>
    </row>
    <row r="2526" ht="15.75" customHeight="1">
      <c r="A2526" s="2">
        <v>2525.0</v>
      </c>
      <c r="B2526" s="5" t="s">
        <v>4604</v>
      </c>
      <c r="C2526" s="6">
        <v>1.0</v>
      </c>
      <c r="D2526" s="7" t="s">
        <v>4605</v>
      </c>
      <c r="E2526" s="8" t="str">
        <f>IFERROR(__xludf.DUMMYFUNCTION("googletranslate(D2526,""id"",""en"")"),"The PPKM (officials can't afford it) the work is just fried.")</f>
        <v>The PPKM (officials can't afford it) the work is just fried.</v>
      </c>
    </row>
    <row r="2527" ht="15.75" customHeight="1">
      <c r="A2527" s="2">
        <v>2526.0</v>
      </c>
      <c r="B2527" s="5" t="s">
        <v>4606</v>
      </c>
      <c r="C2527" s="6">
        <v>2.0</v>
      </c>
      <c r="D2527" s="9" t="s">
        <v>4607</v>
      </c>
      <c r="E2527" s="8" t="str">
        <f>IFERROR(__xludf.DUMMYFUNCTION("googletranslate(D2527,""id"",""en"")"),"Want to get a notice record on my cellphone that reads me from RMH, you want to work &amp; amp; I am from the work to go back to the house, I just have to point out the record of a notice with the PPKM officer when it's Ditnyk2 wkwkw")</f>
        <v>Want to get a notice record on my cellphone that reads me from RMH, you want to work &amp; amp; I am from the work to go back to the house, I just have to point out the record of a notice with the PPKM officer when it's Ditnyk2 wkwkw</v>
      </c>
    </row>
    <row r="2528" ht="15.75" customHeight="1">
      <c r="A2528" s="2">
        <v>2527.0</v>
      </c>
      <c r="B2528" s="5" t="s">
        <v>4608</v>
      </c>
      <c r="C2528" s="6">
        <v>1.0</v>
      </c>
      <c r="D2528" s="9" t="s">
        <v>4609</v>
      </c>
      <c r="E2528" s="8" t="str">
        <f>IFERROR(__xludf.DUMMYFUNCTION("googletranslate(D2528,""id"",""en"")"),"Loh eh, how come there is a marriage, right?")</f>
        <v>Loh eh, how come there is a marriage, right?</v>
      </c>
    </row>
    <row r="2529" ht="15.75" customHeight="1">
      <c r="A2529" s="2">
        <v>2528.0</v>
      </c>
      <c r="B2529" s="5" t="s">
        <v>4610</v>
      </c>
      <c r="C2529" s="6">
        <v>1.0</v>
      </c>
      <c r="D2529" s="9" t="s">
        <v>4611</v>
      </c>
      <c r="E2529" s="8" t="str">
        <f>IFERROR(__xludf.DUMMYFUNCTION("googletranslate(D2529,""id"",""en"")"),"Temen W should be today reception at one of the apartments in Cimahi. Then there were new PPKM rules if the place of worship was opened but the reception was eliminated. Immediately lemes and dizziness he doesn't imagine the dizziness of huhu")</f>
        <v>Temen W should be today reception at one of the apartments in Cimahi. Then there were new PPKM rules if the place of worship was opened but the reception was eliminated. Immediately lemes and dizziness he doesn't imagine the dizziness of huhu</v>
      </c>
    </row>
    <row r="2530" ht="15.75" customHeight="1">
      <c r="A2530" s="2">
        <v>2529.0</v>
      </c>
      <c r="B2530" s="5" t="s">
        <v>4612</v>
      </c>
      <c r="C2530" s="6">
        <v>2.0</v>
      </c>
      <c r="D2530" s="7" t="s">
        <v>4613</v>
      </c>
      <c r="E2530" s="8" t="str">
        <f>IFERROR(__xludf.DUMMYFUNCTION("googletranslate(D2530,""id"",""en"")"),"Ppkm: slowly I miss you")</f>
        <v>Ppkm: slowly I miss you</v>
      </c>
    </row>
    <row r="2531" ht="15.75" customHeight="1">
      <c r="A2531" s="2">
        <v>2530.0</v>
      </c>
      <c r="B2531" s="5" t="s">
        <v>4614</v>
      </c>
      <c r="C2531" s="6">
        <v>1.0</v>
      </c>
      <c r="D2531" s="7" t="s">
        <v>4615</v>
      </c>
      <c r="E2531" s="8" t="str">
        <f>IFERROR(__xludf.DUMMYFUNCTION("googletranslate(D2531,""id"",""en"")"),"the monkey that was originally enthusiastic for looking for work while in fact there was a PPKM PDHL already made the application for Anu * mengapek *")</f>
        <v>the monkey that was originally enthusiastic for looking for work while in fact there was a PPKM PDHL already made the application for Anu * mengapek *</v>
      </c>
    </row>
    <row r="2532" ht="15.75" customHeight="1">
      <c r="A2532" s="2">
        <v>2531.0</v>
      </c>
      <c r="B2532" s="5" t="s">
        <v>4616</v>
      </c>
      <c r="C2532" s="6">
        <v>1.0</v>
      </c>
      <c r="D2532" s="7" t="s">
        <v>4617</v>
      </c>
      <c r="E2532" s="8" t="str">
        <f>IFERROR(__xludf.DUMMYFUNCTION("googletranslate(D2532,""id"",""en"")"),"This is the PPKM when it ends. Old BGT.")</f>
        <v>This is the PPKM when it ends. Old BGT.</v>
      </c>
    </row>
    <row r="2533" ht="15.75" customHeight="1">
      <c r="A2533" s="2">
        <v>2532.0</v>
      </c>
      <c r="B2533" s="5" t="s">
        <v>4618</v>
      </c>
      <c r="C2533" s="6">
        <v>1.0</v>
      </c>
      <c r="D2533" s="9" t="s">
        <v>4619</v>
      </c>
      <c r="E2533" s="8" t="str">
        <f>IFERROR(__xludf.DUMMYFUNCTION("googletranslate(D2533,""id"",""en"")"),"Want to come out afraid of dosaseculates to breathe fresh air just have a hard time. Again PPKM")</f>
        <v>Want to come out afraid of dosaseculates to breathe fresh air just have a hard time. Again PPKM</v>
      </c>
    </row>
    <row r="2534" ht="15.75" customHeight="1">
      <c r="A2534" s="2">
        <v>2533.0</v>
      </c>
      <c r="B2534" s="5" t="s">
        <v>4620</v>
      </c>
      <c r="C2534" s="6">
        <v>3.0</v>
      </c>
      <c r="D2534" s="9" t="s">
        <v>4621</v>
      </c>
      <c r="E2534" s="8" t="str">
        <f>IFERROR(__xludf.DUMMYFUNCTION("googletranslate(D2534,""id"",""en"")"),"May we all be more conscious of obeying Prokes and PPKM BTW How come it hasn't been follback ??")</f>
        <v>May we all be more conscious of obeying Prokes and PPKM BTW How come it hasn't been follback ??</v>
      </c>
    </row>
    <row r="2535" ht="15.75" customHeight="1">
      <c r="A2535" s="2">
        <v>2534.0</v>
      </c>
      <c r="B2535" s="5" t="s">
        <v>4622</v>
      </c>
      <c r="C2535" s="6">
        <v>2.0</v>
      </c>
      <c r="D2535" s="7" t="s">
        <v>4623</v>
      </c>
      <c r="E2535" s="8" t="str">
        <f>IFERROR(__xludf.DUMMYFUNCTION("googletranslate(D2535,""id"",""en"")"),"PSBB of the regional authority, if the PPKM is indeed from the center, I'm confused with you")</f>
        <v>PSBB of the regional authority, if the PPKM is indeed from the center, I'm confused with you</v>
      </c>
    </row>
    <row r="2536" ht="15.75" customHeight="1">
      <c r="A2536" s="2">
        <v>2535.0</v>
      </c>
      <c r="B2536" s="5" t="s">
        <v>4624</v>
      </c>
      <c r="C2536" s="6">
        <v>1.0</v>
      </c>
      <c r="D2536" s="9" t="s">
        <v>4625</v>
      </c>
      <c r="E2536" s="8" t="str">
        <f>IFERROR(__xludf.DUMMYFUNCTION("googletranslate(D2536,""id"",""en"")"),"The regime with the buzzer was once refused lockdown and smoothed the worried about Corona ... uh now make the PPKM tags have a good impact and kaga tags there is another embarrassment ... The King of Plin Plan")</f>
        <v>The regime with the buzzer was once refused lockdown and smoothed the worried about Corona ... uh now make the PPKM tags have a good impact and kaga tags there is another embarrassment ... The King of Plin Plan</v>
      </c>
    </row>
    <row r="2537" ht="15.75" customHeight="1">
      <c r="A2537" s="2">
        <v>2536.0</v>
      </c>
      <c r="B2537" s="5" t="s">
        <v>4626</v>
      </c>
      <c r="C2537" s="6">
        <v>2.0</v>
      </c>
      <c r="D2537" s="7" t="s">
        <v>4627</v>
      </c>
      <c r="E2537" s="8" t="str">
        <f>IFERROR(__xludf.DUMMYFUNCTION("googletranslate(D2537,""id"",""en"")"),"What SKS? Matkul lecture? But try waiting until July? Pas finished PPKM")</f>
        <v>What SKS? Matkul lecture? But try waiting until July? Pas finished PPKM</v>
      </c>
    </row>
    <row r="2538" ht="15.75" customHeight="1">
      <c r="A2538" s="2">
        <v>2537.0</v>
      </c>
      <c r="B2538" s="5" t="s">
        <v>4628</v>
      </c>
      <c r="C2538" s="6">
        <v>1.0</v>
      </c>
      <c r="D2538" s="9" t="s">
        <v>4629</v>
      </c>
      <c r="E2538" s="8" t="str">
        <f>IFERROR(__xludf.DUMMYFUNCTION("googletranslate(D2538,""id"",""en"")"),"Yes, we are all victims. But please, we can also die the capital of UMR Jakarta")</f>
        <v>Yes, we are all victims. But please, we can also die the capital of UMR Jakarta</v>
      </c>
    </row>
    <row r="2539" ht="15.75" customHeight="1">
      <c r="A2539" s="2">
        <v>2538.0</v>
      </c>
      <c r="B2539" s="5" t="s">
        <v>4630</v>
      </c>
      <c r="C2539" s="6">
        <v>2.0</v>
      </c>
      <c r="D2539" s="7" t="s">
        <v>4630</v>
      </c>
      <c r="E2539" s="8" t="str">
        <f>IFERROR(__xludf.DUMMYFUNCTION("googletranslate(D2539,""id"",""en"")"),"ppkm gini alkid can you jogging it?")</f>
        <v>ppkm gini alkid can you jogging it?</v>
      </c>
    </row>
    <row r="2540" ht="15.75" customHeight="1">
      <c r="A2540" s="2">
        <v>2539.0</v>
      </c>
      <c r="B2540" s="5" t="s">
        <v>4631</v>
      </c>
      <c r="C2540" s="6">
        <v>2.0</v>
      </c>
      <c r="D2540" s="10" t="s">
        <v>4632</v>
      </c>
      <c r="E2540" s="8" t="str">
        <f>IFERROR(__xludf.DUMMYFUNCTION("googletranslate(D2540,""id"",""en"")"),"New PPKM.")</f>
        <v>New PPKM.</v>
      </c>
    </row>
    <row r="2541" ht="15.75" customHeight="1">
      <c r="A2541" s="2">
        <v>2540.0</v>
      </c>
      <c r="B2541" s="5" t="s">
        <v>4633</v>
      </c>
      <c r="C2541" s="6">
        <v>1.0</v>
      </c>
      <c r="D2541" s="9" t="s">
        <v>4634</v>
      </c>
      <c r="E2541" s="8" t="str">
        <f>IFERROR(__xludf.DUMMYFUNCTION("googletranslate(D2541,""id"",""en"")"),"Hello PLN Please support the PPKM period of electricity at all hours at WIL. Kaliwungu Cell, Kendal in July Impact: HP Signal Lost, Not BS Connect Internet Even though HRS WFH")</f>
        <v>Hello PLN Please support the PPKM period of electricity at all hours at WIL. Kaliwungu Cell, Kendal in July Impact: HP Signal Lost, Not BS Connect Internet Even though HRS WFH</v>
      </c>
    </row>
    <row r="2542" ht="15.75" customHeight="1">
      <c r="A2542" s="2">
        <v>2541.0</v>
      </c>
      <c r="B2542" s="5" t="s">
        <v>4635</v>
      </c>
      <c r="C2542" s="6">
        <v>1.0</v>
      </c>
      <c r="D2542" s="9" t="s">
        <v>4636</v>
      </c>
      <c r="E2542" s="8" t="str">
        <f>IFERROR(__xludf.DUMMYFUNCTION("googletranslate(D2542,""id"",""en"")"),"Being fed up with the enactment of restrictions without a solution. Thank you you who are having a folk suffering")</f>
        <v>Being fed up with the enactment of restrictions without a solution. Thank you you who are having a folk suffering</v>
      </c>
    </row>
    <row r="2543" ht="15.75" customHeight="1">
      <c r="A2543" s="2">
        <v>2542.0</v>
      </c>
      <c r="B2543" s="5" t="s">
        <v>4637</v>
      </c>
      <c r="C2543" s="6">
        <v>1.0</v>
      </c>
      <c r="D2543" s="7" t="s">
        <v>4637</v>
      </c>
      <c r="E2543" s="8" t="str">
        <f>IFERROR(__xludf.DUMMYFUNCTION("googletranslate(D2543,""id"",""en"")"),"The wife of the mobile meatball seller in my area died in Java, but the bakso can't go home. Whether because there is no money or somehow because of the PPKM rule ???")</f>
        <v>The wife of the mobile meatball seller in my area died in Java, but the bakso can't go home. Whether because there is no money or somehow because of the PPKM rule ???</v>
      </c>
    </row>
    <row r="2544" ht="15.75" customHeight="1">
      <c r="A2544" s="2">
        <v>2543.0</v>
      </c>
      <c r="B2544" s="5" t="s">
        <v>4638</v>
      </c>
      <c r="C2544" s="6">
        <v>2.0</v>
      </c>
      <c r="D2544" s="7" t="s">
        <v>4638</v>
      </c>
      <c r="E2544" s="8" t="str">
        <f>IFERROR(__xludf.DUMMYFUNCTION("googletranslate(D2544,""id"",""en"")"),"MLAI DR Application of Emergency PPKM to carry out vaccination invasion activities")</f>
        <v>MLAI DR Application of Emergency PPKM to carry out vaccination invasion activities</v>
      </c>
    </row>
    <row r="2545" ht="15.75" customHeight="1">
      <c r="A2545" s="2">
        <v>2544.0</v>
      </c>
      <c r="B2545" s="5" t="s">
        <v>4639</v>
      </c>
      <c r="C2545" s="6">
        <v>2.0</v>
      </c>
      <c r="D2545" s="7" t="s">
        <v>4640</v>
      </c>
      <c r="E2545" s="8" t="str">
        <f>IFERROR(__xludf.DUMMYFUNCTION("googletranslate(D2545,""id"",""en"")"),"PPKM PPKM slowly turns into your PP")</f>
        <v>PPKM PPKM slowly turns into your PP</v>
      </c>
    </row>
    <row r="2546" ht="15.75" customHeight="1">
      <c r="A2546" s="2">
        <v>2545.0</v>
      </c>
      <c r="B2546" s="5" t="s">
        <v>4641</v>
      </c>
      <c r="C2546" s="6">
        <v>1.0</v>
      </c>
      <c r="D2546" s="7" t="s">
        <v>4642</v>
      </c>
      <c r="E2546" s="8" t="str">
        <f>IFERROR(__xludf.DUMMYFUNCTION("googletranslate(D2546,""id"",""en"")"),"Good offline, BSK Monday I started Les Ehh was postponed after Eid al-Adha because PPKM NDER")</f>
        <v>Good offline, BSK Monday I started Les Ehh was postponed after Eid al-Adha because PPKM NDER</v>
      </c>
    </row>
    <row r="2547" ht="15.75" customHeight="1">
      <c r="A2547" s="2">
        <v>2546.0</v>
      </c>
      <c r="B2547" s="5" t="s">
        <v>4643</v>
      </c>
      <c r="C2547" s="6">
        <v>2.0</v>
      </c>
      <c r="D2547" s="7" t="s">
        <v>4644</v>
      </c>
      <c r="E2547" s="8" t="str">
        <f>IFERROR(__xludf.DUMMYFUNCTION("googletranslate(D2547,""id"",""en"")"),"Ayok Mas quickly recovered so you can meet up again, we run out we dolan")</f>
        <v>Ayok Mas quickly recovered so you can meet up again, we run out we dolan</v>
      </c>
    </row>
    <row r="2548" ht="15.75" customHeight="1">
      <c r="A2548" s="2">
        <v>2547.0</v>
      </c>
      <c r="B2548" s="5" t="s">
        <v>4645</v>
      </c>
      <c r="C2548" s="6">
        <v>2.0</v>
      </c>
      <c r="D2548" s="7" t="s">
        <v>4646</v>
      </c>
      <c r="E2548" s="8" t="str">
        <f>IFERROR(__xludf.DUMMYFUNCTION("googletranslate(D2548,""id"",""en"")"),"Gases run out of ppkm")</f>
        <v>Gases run out of ppkm</v>
      </c>
    </row>
    <row r="2549" ht="15.75" customHeight="1">
      <c r="A2549" s="2">
        <v>2548.0</v>
      </c>
      <c r="B2549" s="5" t="s">
        <v>4647</v>
      </c>
      <c r="C2549" s="6">
        <v>3.0</v>
      </c>
      <c r="D2549" s="7" t="s">
        <v>4648</v>
      </c>
      <c r="E2549" s="8" t="str">
        <f>IFERROR(__xludf.DUMMYFUNCTION("googletranslate(D2549,""id"",""en"")"),"The step taken by the government is right, let us support PPKM in the acceleration of handling Covid-19. PPKM is right")</f>
        <v>The step taken by the government is right, let us support PPKM in the acceleration of handling Covid-19. PPKM is right</v>
      </c>
    </row>
    <row r="2550" ht="15.75" customHeight="1">
      <c r="A2550" s="2">
        <v>2549.0</v>
      </c>
      <c r="B2550" s="5" t="s">
        <v>4649</v>
      </c>
      <c r="C2550" s="6">
        <v>2.0</v>
      </c>
      <c r="D2550" s="9" t="s">
        <v>4650</v>
      </c>
      <c r="E2550" s="8" t="str">
        <f>IFERROR(__xludf.DUMMYFUNCTION("googletranslate(D2550,""id"",""en"")"),"After a couple, only what kind of life, do you know what year.")</f>
        <v>After a couple, only what kind of life, do you know what year.</v>
      </c>
    </row>
    <row r="2551" ht="15.75" customHeight="1">
      <c r="A2551" s="2">
        <v>2550.0</v>
      </c>
      <c r="B2551" s="5" t="s">
        <v>4651</v>
      </c>
      <c r="C2551" s="6">
        <v>1.0</v>
      </c>
      <c r="D2551" s="9" t="s">
        <v>4652</v>
      </c>
      <c r="E2551" s="8" t="str">
        <f>IFERROR(__xludf.DUMMYFUNCTION("googletranslate(D2551,""id"",""en"")"),"Dear Thn Psbb, PPKM, instead the ATM blocked told me to replace new, KCP was closed, hrs to KC. I don't avoid lining up, the crowd, face to face, but instead ... The ATM EXP was extended, instead it was actively blocked ..")</f>
        <v>Dear Thn Psbb, PPKM, instead the ATM blocked told me to replace new, KCP was closed, hrs to KC. I don't avoid lining up, the crowd, face to face, but instead ... The ATM EXP was extended, instead it was actively blocked ..</v>
      </c>
    </row>
    <row r="2552" ht="15.75" customHeight="1">
      <c r="A2552" s="2">
        <v>2551.0</v>
      </c>
      <c r="B2552" s="5" t="s">
        <v>4653</v>
      </c>
      <c r="C2552" s="6">
        <v>3.0</v>
      </c>
      <c r="D2552" s="7" t="s">
        <v>4653</v>
      </c>
      <c r="E2552" s="8" t="str">
        <f>IFERROR(__xludf.DUMMYFUNCTION("googletranslate(D2552,""id"",""en"")"),"Jatim Forgopimda Synergy at MSA PPKM Emergency Takes Praise")</f>
        <v>Jatim Forgopimda Synergy at MSA PPKM Emergency Takes Praise</v>
      </c>
    </row>
    <row r="2553" ht="15.75" customHeight="1">
      <c r="A2553" s="2">
        <v>2552.0</v>
      </c>
      <c r="B2553" s="5" t="s">
        <v>4654</v>
      </c>
      <c r="C2553" s="6">
        <v>2.0</v>
      </c>
      <c r="D2553" s="9" t="s">
        <v>4655</v>
      </c>
      <c r="E2553" s="8" t="str">
        <f>IFERROR(__xludf.DUMMYFUNCTION("googletranslate(D2553,""id"",""en"")"),"If the ppkm do you think der? Source: jakartakeras")</f>
        <v>If the ppkm do you think der? Source: jakartakeras</v>
      </c>
    </row>
    <row r="2554" ht="15.75" customHeight="1">
      <c r="A2554" s="2">
        <v>2553.0</v>
      </c>
      <c r="B2554" s="5" t="s">
        <v>4656</v>
      </c>
      <c r="C2554" s="6">
        <v>3.0</v>
      </c>
      <c r="D2554" s="7" t="s">
        <v>4657</v>
      </c>
      <c r="E2554" s="8" t="str">
        <f>IFERROR(__xludf.DUMMYFUNCTION("googletranslate(D2554,""id"",""en"")"),"It's worth it! PPKM is right")</f>
        <v>It's worth it! PPKM is right</v>
      </c>
    </row>
    <row r="2555" ht="15.75" customHeight="1">
      <c r="A2555" s="2">
        <v>2554.0</v>
      </c>
      <c r="B2555" s="5" t="s">
        <v>4658</v>
      </c>
      <c r="C2555" s="6">
        <v>2.0</v>
      </c>
      <c r="D2555" s="7" t="s">
        <v>4658</v>
      </c>
      <c r="E2555" s="8" t="str">
        <f>IFERROR(__xludf.DUMMYFUNCTION("googletranslate(D2555,""id"",""en"")"),"PPKM slowly you walk away")</f>
        <v>PPKM slowly you walk away</v>
      </c>
    </row>
    <row r="2556" ht="15.75" customHeight="1">
      <c r="A2556" s="2">
        <v>2555.0</v>
      </c>
      <c r="B2556" s="5" t="s">
        <v>4659</v>
      </c>
      <c r="C2556" s="6">
        <v>1.0</v>
      </c>
      <c r="D2556" s="9" t="s">
        <v>4660</v>
      </c>
      <c r="E2556" s="8" t="str">
        <f>IFERROR(__xludf.DUMMYFUNCTION("googletranslate(D2556,""id"",""en"")"),"Semalem Sumpa is really shocked, which I usually look for fried rice on the clock is now a merchant who has subscribed to me ""bro, if you want to buy this cellphone number, we have nga ngampe malem"". Damn, Bro is increasingly difficult since PPKM.")</f>
        <v>Semalem Sumpa is really shocked, which I usually look for fried rice on the clock is now a merchant who has subscribed to me "bro, if you want to buy this cellphone number, we have nga ngampe malem". Damn, Bro is increasingly difficult since PPKM.</v>
      </c>
    </row>
    <row r="2557" ht="15.75" customHeight="1">
      <c r="A2557" s="2">
        <v>2556.0</v>
      </c>
      <c r="B2557" s="5" t="s">
        <v>4661</v>
      </c>
      <c r="C2557" s="6">
        <v>2.0</v>
      </c>
      <c r="D2557" s="7" t="s">
        <v>4662</v>
      </c>
      <c r="E2557" s="8" t="str">
        <f>IFERROR(__xludf.DUMMYFUNCTION("googletranslate(D2557,""id"",""en"")"),"Also more ppkm ppkm?")</f>
        <v>Also more ppkm ppkm?</v>
      </c>
    </row>
    <row r="2558" ht="15.75" customHeight="1">
      <c r="A2558" s="2">
        <v>2557.0</v>
      </c>
      <c r="B2558" s="5" t="s">
        <v>4663</v>
      </c>
      <c r="C2558" s="6">
        <v>1.0</v>
      </c>
      <c r="D2558" s="9" t="s">
        <v>4664</v>
      </c>
      <c r="E2558" s="8" t="str">
        <f>IFERROR(__xludf.DUMMYFUNCTION("googletranslate(D2558,""id"",""en"")"),"ppkm sih ppkm just what is the solution for people who sell and make a living stalled because of PPKM? My aunt in Bandung from the beginning of the PPKM really stops selling because of the PPKM, even though there is a fortune to live the child, the husban"&amp;"d has died")</f>
        <v>ppkm sih ppkm just what is the solution for people who sell and make a living stalled because of PPKM? My aunt in Bandung from the beginning of the PPKM really stops selling because of the PPKM, even though there is a fortune to live the child, the husband has died</v>
      </c>
    </row>
    <row r="2559" ht="15.75" customHeight="1">
      <c r="A2559" s="2">
        <v>2558.0</v>
      </c>
      <c r="B2559" s="5" t="s">
        <v>4665</v>
      </c>
      <c r="C2559" s="6">
        <v>1.0</v>
      </c>
      <c r="D2559" s="9" t="s">
        <v>4665</v>
      </c>
      <c r="E2559" s="8" t="str">
        <f>IFERROR(__xludf.DUMMYFUNCTION("googletranslate(D2559,""id"",""en"")"),"Okay, if it's an ambulance deliberately, so you make aware people during the PPKM at home, but there's no other way? instead it really makes people not believe?")</f>
        <v>Okay, if it's an ambulance deliberately, so you make aware people during the PPKM at home, but there's no other way? instead it really makes people not believe?</v>
      </c>
    </row>
    <row r="2560" ht="15.75" customHeight="1">
      <c r="A2560" s="2">
        <v>2559.0</v>
      </c>
      <c r="B2560" s="5" t="s">
        <v>4666</v>
      </c>
      <c r="C2560" s="6">
        <v>3.0</v>
      </c>
      <c r="D2560" s="7" t="s">
        <v>4667</v>
      </c>
      <c r="E2560" s="8" t="str">
        <f>IFERROR(__xludf.DUMMYFUNCTION("googletranslate(D2560,""id"",""en"")"),"Yes palembang too, PPKM was tightened ..Tetap health bro ...")</f>
        <v>Yes palembang too, PPKM was tightened ..Tetap health bro ...</v>
      </c>
    </row>
    <row r="2561" ht="15.75" customHeight="1">
      <c r="A2561" s="2">
        <v>2560.0</v>
      </c>
      <c r="B2561" s="5" t="s">
        <v>4668</v>
      </c>
      <c r="C2561" s="6">
        <v>2.0</v>
      </c>
      <c r="D2561" s="9" t="s">
        <v>4669</v>
      </c>
      <c r="E2561" s="8" t="str">
        <f>IFERROR(__xludf.DUMMYFUNCTION("googletranslate(D2561,""id"",""en"")"),"In my place again emergency ppkm and want to nuntasin vaccine first, so after being finished vaction times yes it happens")</f>
        <v>In my place again emergency ppkm and want to nuntasin vaccine first, so after being finished vaction times yes it happens</v>
      </c>
    </row>
    <row r="2562" ht="15.75" customHeight="1">
      <c r="A2562" s="2">
        <v>2561.0</v>
      </c>
      <c r="B2562" s="5" t="s">
        <v>4670</v>
      </c>
      <c r="C2562" s="6">
        <v>2.0</v>
      </c>
      <c r="D2562" s="9" t="s">
        <v>4671</v>
      </c>
      <c r="E2562" s="8" t="str">
        <f>IFERROR(__xludf.DUMMYFUNCTION("googletranslate(D2562,""id"",""en"")"),"Sultan HB during the ppkm, what do you do? Check here Lurrr.")</f>
        <v>Sultan HB during the ppkm, what do you do? Check here Lurrr.</v>
      </c>
    </row>
    <row r="2563" ht="15.75" customHeight="1">
      <c r="A2563" s="2">
        <v>2562.0</v>
      </c>
      <c r="B2563" s="5" t="s">
        <v>4672</v>
      </c>
      <c r="C2563" s="6">
        <v>1.0</v>
      </c>
      <c r="D2563" s="7" t="s">
        <v>4673</v>
      </c>
      <c r="E2563" s="8" t="str">
        <f>IFERROR(__xludf.DUMMYFUNCTION("googletranslate(D2563,""id"",""en"")"),"That's why it's called PPKM and never named quarantine ... so legally freed from his obligations ... bitter? Very...")</f>
        <v>That's why it's called PPKM and never named quarantine ... so legally freed from his obligations ... bitter? Very...</v>
      </c>
    </row>
    <row r="2564" ht="15.75" customHeight="1">
      <c r="A2564" s="2">
        <v>2563.0</v>
      </c>
      <c r="B2564" s="5" t="s">
        <v>4674</v>
      </c>
      <c r="C2564" s="6">
        <v>2.0</v>
      </c>
      <c r="D2564" s="9" t="s">
        <v>4675</v>
      </c>
      <c r="E2564" s="8" t="str">
        <f>IFERROR(__xludf.DUMMYFUNCTION("googletranslate(D2564,""id"",""en"")"),"Don't want it, say to your parents. Again PPKM gini can also be usually. . How come whatever, you don't have TTD they don't mean you can't graduate. Look at me, when I entered high school first - people chased the student council for TTD, I chose to buy i"&amp;"ce tea and continue to go home.")</f>
        <v>Don't want it, say to your parents. Again PPKM gini can also be usually. . How come whatever, you don't have TTD they don't mean you can't graduate. Look at me, when I entered high school first - people chased the student council for TTD, I chose to buy ice tea and continue to go home.</v>
      </c>
    </row>
    <row r="2565" ht="15.75" customHeight="1">
      <c r="A2565" s="2">
        <v>2564.0</v>
      </c>
      <c r="B2565" s="5" t="s">
        <v>4676</v>
      </c>
      <c r="C2565" s="6">
        <v>2.0</v>
      </c>
      <c r="D2565" s="7" t="s">
        <v>4676</v>
      </c>
      <c r="E2565" s="8" t="str">
        <f>IFERROR(__xludf.DUMMYFUNCTION("googletranslate(D2565,""id"",""en"")"),"PPKM: once cared then disappeared")</f>
        <v>PPKM: once cared then disappeared</v>
      </c>
    </row>
    <row r="2566" ht="15.75" customHeight="1">
      <c r="A2566" s="2">
        <v>2565.0</v>
      </c>
      <c r="B2566" s="5" t="s">
        <v>4677</v>
      </c>
      <c r="C2566" s="6">
        <v>1.0</v>
      </c>
      <c r="D2566" s="9" t="s">
        <v>4678</v>
      </c>
      <c r="E2566" s="8" t="str">
        <f>IFERROR(__xludf.DUMMYFUNCTION("googletranslate(D2566,""id"",""en"")"),"Knp that sell vaccines is not arrested by Yaknp which takes merchandise with PPKM shields not arrested yes out of PAKEM which is some of the people who feel the doctor procedural &amp; amp; Textbook All Based on Labefect Data Mustada Doctors who observe on co"&amp;"mplaints")</f>
        <v>Knp that sell vaccines is not arrested by Yaknp which takes merchandise with PPKM shields not arrested yes out of PAKEM which is some of the people who feel the doctor procedural &amp; amp; Textbook All Based on Labefect Data Mustada Doctors who observe on complaints</v>
      </c>
    </row>
    <row r="2567" ht="15.75" customHeight="1">
      <c r="A2567" s="2">
        <v>2566.0</v>
      </c>
      <c r="B2567" s="5" t="s">
        <v>4679</v>
      </c>
      <c r="C2567" s="6">
        <v>1.0</v>
      </c>
      <c r="D2567" s="7" t="s">
        <v>4680</v>
      </c>
      <c r="E2567" s="8" t="str">
        <f>IFERROR(__xludf.DUMMYFUNCTION("googletranslate(D2567,""id"",""en"")"),"In the video, the bastard police were appeased by Marine members, I am sure without a member of the TNI, PPKM officers anywhere will be reserved.")</f>
        <v>In the video, the bastard police were appeased by Marine members, I am sure without a member of the TNI, PPKM officers anywhere will be reserved.</v>
      </c>
    </row>
    <row r="2568" ht="15.75" customHeight="1">
      <c r="A2568" s="2">
        <v>2567.0</v>
      </c>
      <c r="B2568" s="5" t="s">
        <v>4681</v>
      </c>
      <c r="C2568" s="6">
        <v>1.0</v>
      </c>
      <c r="D2568" s="9" t="s">
        <v>4682</v>
      </c>
      <c r="E2568" s="8" t="str">
        <f>IFERROR(__xludf.DUMMYFUNCTION("googletranslate(D2568,""id"",""en"")"),"It should be borne by the total bang during the PPKM, but it is Wakanda the government from the top until the bottom greedy, the assistance has been successfully before reaching the people")</f>
        <v>It should be borne by the total bang during the PPKM, but it is Wakanda the government from the top until the bottom greedy, the assistance has been successfully before reaching the people</v>
      </c>
    </row>
    <row r="2569" ht="15.75" customHeight="1">
      <c r="A2569" s="2">
        <v>2568.0</v>
      </c>
      <c r="B2569" s="5" t="s">
        <v>4683</v>
      </c>
      <c r="C2569" s="6">
        <v>2.0</v>
      </c>
      <c r="D2569" s="7" t="s">
        <v>4683</v>
      </c>
      <c r="E2569" s="8" t="str">
        <f>IFERROR(__xludf.DUMMYFUNCTION("googletranslate(D2569,""id"",""en"")"),"I like PPKM but without AWW pp &amp; lt; 3")</f>
        <v>I like PPKM but without AWW pp &amp; lt; 3</v>
      </c>
    </row>
    <row r="2570" ht="15.75" customHeight="1">
      <c r="A2570" s="2">
        <v>2569.0</v>
      </c>
      <c r="B2570" s="5" t="s">
        <v>4684</v>
      </c>
      <c r="C2570" s="6">
        <v>3.0</v>
      </c>
      <c r="D2570" s="7" t="s">
        <v>4685</v>
      </c>
      <c r="E2570" s="8" t="str">
        <f>IFERROR(__xludf.DUMMYFUNCTION("googletranslate(D2570,""id"",""en"")"),"Healthy People's PPKM")</f>
        <v>Healthy People's PPKM</v>
      </c>
    </row>
    <row r="2571" ht="15.75" customHeight="1">
      <c r="A2571" s="2">
        <v>2570.0</v>
      </c>
      <c r="B2571" s="5" t="s">
        <v>4686</v>
      </c>
      <c r="C2571" s="6">
        <v>2.0</v>
      </c>
      <c r="D2571" s="7" t="s">
        <v>4687</v>
      </c>
      <c r="E2571" s="8" t="str">
        <f>IFERROR(__xludf.DUMMYFUNCTION("googletranslate(D2571,""id"",""en"")"),"JB PPKM Shopping from Yu Shopee House: DAGANGMUSINARY")</f>
        <v>JB PPKM Shopping from Yu Shopee House: DAGANGMUSINARY</v>
      </c>
    </row>
    <row r="2572" ht="15.75" customHeight="1">
      <c r="A2572" s="2">
        <v>2571.0</v>
      </c>
      <c r="B2572" s="5" t="s">
        <v>4688</v>
      </c>
      <c r="C2572" s="6">
        <v>3.0</v>
      </c>
      <c r="D2572" s="7" t="s">
        <v>4689</v>
      </c>
      <c r="E2572" s="8" t="str">
        <f>IFERROR(__xludf.DUMMYFUNCTION("googletranslate(D2572,""id"",""en"")"),"Obey Emergency PPKM to reduce the number of distribution of Covid-29")</f>
        <v>Obey Emergency PPKM to reduce the number of distribution of Covid-29</v>
      </c>
    </row>
    <row r="2573" ht="15.75" customHeight="1">
      <c r="A2573" s="2">
        <v>2572.0</v>
      </c>
      <c r="B2573" s="5" t="s">
        <v>4690</v>
      </c>
      <c r="C2573" s="6">
        <v>2.0</v>
      </c>
      <c r="D2573" s="7" t="s">
        <v>4691</v>
      </c>
      <c r="E2573" s="8" t="str">
        <f>IFERROR(__xludf.DUMMYFUNCTION("googletranslate(D2573,""id"",""en"")"),"Or can for donations on the following page, this will continue continuous during this PPKM period.")</f>
        <v>Or can for donations on the following page, this will continue continuous during this PPKM period.</v>
      </c>
    </row>
    <row r="2574" ht="15.75" customHeight="1">
      <c r="A2574" s="2">
        <v>2573.0</v>
      </c>
      <c r="B2574" s="5" t="s">
        <v>4692</v>
      </c>
      <c r="C2574" s="6">
        <v>2.0</v>
      </c>
      <c r="D2574" s="7" t="s">
        <v>4693</v>
      </c>
      <c r="E2574" s="8" t="str">
        <f>IFERROR(__xludf.DUMMYFUNCTION("googletranslate(D2574,""id"",""en"")"),"A lot that they don't know ... Southgate all in hold italy ... to take care of the Satpol PP grade in the ERA era")</f>
        <v>A lot that they don't know ... Southgate all in hold italy ... to take care of the Satpol PP grade in the ERA era</v>
      </c>
    </row>
    <row r="2575" ht="15.75" customHeight="1">
      <c r="A2575" s="2">
        <v>2574.0</v>
      </c>
      <c r="B2575" s="5" t="s">
        <v>4694</v>
      </c>
      <c r="C2575" s="6">
        <v>1.0</v>
      </c>
      <c r="D2575" s="7" t="s">
        <v>4694</v>
      </c>
      <c r="E2575" s="8" t="str">
        <f>IFERROR(__xludf.DUMMYFUNCTION("googletranslate(D2575,""id"",""en"")"),"Said Covid, he said, it didn't exist, told the vaccine. Don't you want, when you die confused, there is a PPKM to be ordered to tell you to eat for a wife's child, who tells you and upset. pie to Jan Hmmm")</f>
        <v>Said Covid, he said, it didn't exist, told the vaccine. Don't you want, when you die confused, there is a PPKM to be ordered to tell you to eat for a wife's child, who tells you and upset. pie to Jan Hmmm</v>
      </c>
    </row>
    <row r="2576" ht="15.75" customHeight="1">
      <c r="A2576" s="2">
        <v>2575.0</v>
      </c>
      <c r="B2576" s="5" t="s">
        <v>4695</v>
      </c>
      <c r="C2576" s="6">
        <v>2.0</v>
      </c>
      <c r="D2576" s="7" t="s">
        <v>4696</v>
      </c>
      <c r="E2576" s="8" t="str">
        <f>IFERROR(__xludf.DUMMYFUNCTION("googletranslate(D2576,""id"",""en"")"),"Enter Offline MYA Postponed Abis PPKM, TP Hariini Tetep Online")</f>
        <v>Enter Offline MYA Postponed Abis PPKM, TP Hariini Tetep Online</v>
      </c>
    </row>
    <row r="2577" ht="15.75" customHeight="1">
      <c r="A2577" s="2">
        <v>2576.0</v>
      </c>
      <c r="B2577" s="5" t="s">
        <v>4697</v>
      </c>
      <c r="C2577" s="6">
        <v>1.0</v>
      </c>
      <c r="D2577" s="9" t="s">
        <v>4698</v>
      </c>
      <c r="E2577" s="8" t="str">
        <f>IFERROR(__xludf.DUMMYFUNCTION("googletranslate(D2577,""id"",""en"")"),"The charity box for Danai terrorists is silent, the store becomes a place of silent fraud, it is the turn of the government to hold PPKM for health on a noisy. Goblok Kadrun")</f>
        <v>The charity box for Danai terrorists is silent, the store becomes a place of silent fraud, it is the turn of the government to hold PPKM for health on a noisy. Goblok Kadrun</v>
      </c>
    </row>
    <row r="2578" ht="15.75" customHeight="1">
      <c r="A2578" s="2">
        <v>2577.0</v>
      </c>
      <c r="B2578" s="5" t="s">
        <v>4699</v>
      </c>
      <c r="C2578" s="6">
        <v>1.0</v>
      </c>
      <c r="D2578" s="7" t="s">
        <v>4700</v>
      </c>
      <c r="E2578" s="8" t="str">
        <f>IFERROR(__xludf.DUMMYFUNCTION("googletranslate(D2578,""id"",""en"")"),"Surabaya Against Trhadap PPKM D When the Bnyk People Who Are Hardy Moving Business For Pnuhi Kbutuh Klrg")</f>
        <v>Surabaya Against Trhadap PPKM D When the Bnyk People Who Are Hardy Moving Business For Pnuhi Kbutuh Klrg</v>
      </c>
    </row>
    <row r="2579" ht="15.75" customHeight="1">
      <c r="A2579" s="2">
        <v>2578.0</v>
      </c>
      <c r="B2579" s="5" t="s">
        <v>4701</v>
      </c>
      <c r="C2579" s="6">
        <v>1.0</v>
      </c>
      <c r="D2579" s="7" t="s">
        <v>4702</v>
      </c>
      <c r="E2579" s="8" t="str">
        <f>IFERROR(__xludf.DUMMYFUNCTION("googletranslate(D2579,""id"",""en"")"),"Cover. ppkm wkwk.")</f>
        <v>Cover. ppkm wkwk.</v>
      </c>
    </row>
    <row r="2580" ht="15.75" customHeight="1">
      <c r="A2580" s="2">
        <v>2579.0</v>
      </c>
      <c r="B2580" s="5" t="s">
        <v>4703</v>
      </c>
      <c r="C2580" s="6">
        <v>1.0</v>
      </c>
      <c r="D2580" s="9" t="s">
        <v>4704</v>
      </c>
      <c r="E2580" s="8" t="str">
        <f>IFERROR(__xludf.DUMMYFUNCTION("googletranslate(D2580,""id"",""en"")"),"If the political figure is nyinyir, it is part of their critical voice in the government in handling the Wuhan virus which is trormed by the powder of free / paid vaccines to the emergency PPKM rule TNP BT solution is poor. Dasar!")</f>
        <v>If the political figure is nyinyir, it is part of their critical voice in the government in handling the Wuhan virus which is trormed by the powder of free / paid vaccines to the emergency PPKM rule TNP BT solution is poor. Dasar!</v>
      </c>
    </row>
    <row r="2581" ht="15.75" customHeight="1">
      <c r="A2581" s="2">
        <v>2580.0</v>
      </c>
      <c r="B2581" s="5" t="s">
        <v>4705</v>
      </c>
      <c r="C2581" s="6">
        <v>3.0</v>
      </c>
      <c r="D2581" s="9" t="s">
        <v>4706</v>
      </c>
      <c r="E2581" s="8" t="str">
        <f>IFERROR(__xludf.DUMMYFUNCTION("googletranslate(D2581,""id"",""en"")"),"Sorry, this is in order to prevent transmission of Covid19 as well as efforts to support emergency PPKM, THD, the validity period of the SIM runs out ideally there is wisdom, so the service can stop first. Thank you.")</f>
        <v>Sorry, this is in order to prevent transmission of Covid19 as well as efforts to support emergency PPKM, THD, the validity period of the SIM runs out ideally there is wisdom, so the service can stop first. Thank you.</v>
      </c>
    </row>
    <row r="2582" ht="15.75" customHeight="1">
      <c r="A2582" s="2">
        <v>2581.0</v>
      </c>
      <c r="B2582" s="5" t="s">
        <v>4707</v>
      </c>
      <c r="C2582" s="6">
        <v>2.0</v>
      </c>
      <c r="D2582" s="7" t="s">
        <v>4707</v>
      </c>
      <c r="E2582" s="8" t="str">
        <f>IFERROR(__xludf.DUMMYFUNCTION("googletranslate(D2582,""id"",""en"")"),"Ppkm, want to date and then get married")</f>
        <v>Ppkm, want to date and then get married</v>
      </c>
    </row>
    <row r="2583" ht="15.75" customHeight="1">
      <c r="A2583" s="2">
        <v>2582.0</v>
      </c>
      <c r="B2583" s="5" t="s">
        <v>4708</v>
      </c>
      <c r="C2583" s="6">
        <v>1.0</v>
      </c>
      <c r="D2583" s="7" t="s">
        <v>4709</v>
      </c>
      <c r="E2583" s="8" t="str">
        <f>IFERROR(__xludf.DUMMYFUNCTION("googletranslate(D2583,""id"",""en"")"),"PPKM Where do you need to vaccine ...")</f>
        <v>PPKM Where do you need to vaccine ...</v>
      </c>
    </row>
    <row r="2584" ht="15.75" customHeight="1">
      <c r="A2584" s="2">
        <v>2583.0</v>
      </c>
      <c r="B2584" s="5" t="s">
        <v>4710</v>
      </c>
      <c r="C2584" s="6">
        <v>1.0</v>
      </c>
      <c r="D2584" s="7" t="s">
        <v>4711</v>
      </c>
      <c r="E2584" s="8" t="str">
        <f>IFERROR(__xludf.DUMMYFUNCTION("googletranslate(D2584,""id"",""en"")"),"The cellphone counter is closed, the PPKM is not clear. Means you have to find credit and internet quota on")</f>
        <v>The cellphone counter is closed, the PPKM is not clear. Means you have to find credit and internet quota on</v>
      </c>
    </row>
    <row r="2585" ht="15.75" customHeight="1">
      <c r="A2585" s="2">
        <v>2584.0</v>
      </c>
      <c r="B2585" s="5" t="s">
        <v>4712</v>
      </c>
      <c r="C2585" s="6">
        <v>1.0</v>
      </c>
      <c r="D2585" s="7" t="s">
        <v>4712</v>
      </c>
      <c r="E2585" s="8" t="str">
        <f>IFERROR(__xludf.DUMMYFUNCTION("googletranslate(D2585,""id"",""en"")"),"Holiday time is even PPKM")</f>
        <v>Holiday time is even PPKM</v>
      </c>
    </row>
    <row r="2586" ht="15.75" customHeight="1">
      <c r="A2586" s="2">
        <v>2585.0</v>
      </c>
      <c r="B2586" s="5" t="s">
        <v>4713</v>
      </c>
      <c r="C2586" s="6">
        <v>1.0</v>
      </c>
      <c r="D2586" s="7" t="s">
        <v>4714</v>
      </c>
      <c r="E2586" s="8" t="str">
        <f>IFERROR(__xludf.DUMMYFUNCTION("googletranslate(D2586,""id"",""en"")"),"How come it can, the euro and Copa America audience is off mask, decetions, on the mask, and it's free. Lah in Indonesia still use masks, wfh and plus emergency PPKM. Ahh Janc * k yekan")</f>
        <v>How come it can, the euro and Copa America audience is off mask, decetions, on the mask, and it's free. Lah in Indonesia still use masks, wfh and plus emergency PPKM. Ahh Janc * k yekan</v>
      </c>
    </row>
    <row r="2587" ht="15.75" customHeight="1">
      <c r="A2587" s="2">
        <v>2586.0</v>
      </c>
      <c r="B2587" s="5" t="s">
        <v>4715</v>
      </c>
      <c r="C2587" s="6">
        <v>2.0</v>
      </c>
      <c r="D2587" s="7" t="s">
        <v>4716</v>
      </c>
      <c r="E2587" s="8" t="str">
        <f>IFERROR(__xludf.DUMMYFUNCTION("googletranslate(D2587,""id"",""en"")"),"Don't want nder. Again PPKM.")</f>
        <v>Don't want nder. Again PPKM.</v>
      </c>
    </row>
    <row r="2588" ht="15.75" customHeight="1">
      <c r="A2588" s="2">
        <v>2587.0</v>
      </c>
      <c r="B2588" s="5" t="s">
        <v>4717</v>
      </c>
      <c r="C2588" s="6">
        <v>1.0</v>
      </c>
      <c r="D2588" s="9" t="s">
        <v>4717</v>
      </c>
      <c r="E2588" s="8" t="str">
        <f>IFERROR(__xludf.DUMMYFUNCTION("googletranslate(D2588,""id"",""en"")"),"See the video treatment of overactive officers, clashes with the community, showing an error in the implementation of PPKM. Officers in the field &amp; amp; The community has entered a high level of stress. It's not possible that this friction will expand if "&amp;"the policy stakeholders are abai this situation.")</f>
        <v>See the video treatment of overactive officers, clashes with the community, showing an error in the implementation of PPKM. Officers in the field &amp; amp; The community has entered a high level of stress. It's not possible that this friction will expand if the policy stakeholders are abai this situation.</v>
      </c>
    </row>
    <row r="2589" ht="15.75" customHeight="1">
      <c r="A2589" s="2">
        <v>2588.0</v>
      </c>
      <c r="B2589" s="5" t="s">
        <v>4718</v>
      </c>
      <c r="C2589" s="6">
        <v>2.0</v>
      </c>
      <c r="D2589" s="9" t="s">
        <v>4719</v>
      </c>
      <c r="E2589" s="8" t="str">
        <f>IFERROR(__xludf.DUMMYFUNCTION("googletranslate(D2589,""id"",""en"")"),"gwe klo gpkm, it can be offline")</f>
        <v>gwe klo gpkm, it can be offline</v>
      </c>
    </row>
    <row r="2590" ht="15.75" customHeight="1">
      <c r="A2590" s="2">
        <v>2589.0</v>
      </c>
      <c r="B2590" s="5" t="s">
        <v>4720</v>
      </c>
      <c r="C2590" s="6">
        <v>1.0</v>
      </c>
      <c r="D2590" s="9" t="s">
        <v>4721</v>
      </c>
      <c r="E2590" s="8" t="str">
        <f>IFERROR(__xludf.DUMMYFUNCTION("googletranslate(D2590,""id"",""en"")"),"Yeah bang, I'm concerned about the same time, but the one who can't think Bang, Koko Jackson Donate Reza Arabic JT is only ... Doni Salfan Donate Reza Arabic m. From the pasa donate orng that can be materially, mwngding donated orng2 who was hit by layoff"&amp;"s, a small trader who was hit by PPKM.Sampah")</f>
        <v>Yeah bang, I'm concerned about the same time, but the one who can't think Bang, Koko Jackson Donate Reza Arabic JT is only ... Doni Salfan Donate Reza Arabic m. From the pasa donate orng that can be materially, mwngding donated orng2 who was hit by layoffs, a small trader who was hit by PPKM.Sampah</v>
      </c>
    </row>
    <row r="2591" ht="15.75" customHeight="1">
      <c r="A2591" s="2">
        <v>2590.0</v>
      </c>
      <c r="B2591" s="5" t="s">
        <v>4722</v>
      </c>
      <c r="C2591" s="6">
        <v>2.0</v>
      </c>
      <c r="D2591" s="9" t="s">
        <v>4723</v>
      </c>
      <c r="E2591" s="8" t="str">
        <f>IFERROR(__xludf.DUMMYFUNCTION("googletranslate(D2591,""id"",""en"")"),"Ppkm yeuh in spray pulici lu ntaarr")</f>
        <v>Ppkm yeuh in spray pulici lu ntaarr</v>
      </c>
    </row>
    <row r="2592" ht="15.75" customHeight="1">
      <c r="A2592" s="2">
        <v>2591.0</v>
      </c>
      <c r="B2592" s="5" t="s">
        <v>4724</v>
      </c>
      <c r="C2592" s="6">
        <v>1.0</v>
      </c>
      <c r="D2592" s="7" t="s">
        <v>4725</v>
      </c>
      <c r="E2592" s="8" t="str">
        <f>IFERROR(__xludf.DUMMYFUNCTION("googletranslate(D2592,""id"",""en"")"),"PPKM: When did the penistas mampoes ??")</f>
        <v>PPKM: When did the penistas mampoes ??</v>
      </c>
    </row>
    <row r="2593" ht="15.75" customHeight="1">
      <c r="A2593" s="2">
        <v>2592.0</v>
      </c>
      <c r="B2593" s="5" t="s">
        <v>4726</v>
      </c>
      <c r="C2593" s="6">
        <v>2.0</v>
      </c>
      <c r="D2593" s="7" t="s">
        <v>4727</v>
      </c>
      <c r="E2593" s="8" t="str">
        <f>IFERROR(__xludf.DUMMYFUNCTION("googletranslate(D2593,""id"",""en"")"),"Good morning ppkmpria brave favorite Meruajayakhhh")</f>
        <v>Good morning ppkmpria brave favorite Meruajayakhhh</v>
      </c>
    </row>
    <row r="2594" ht="15.75" customHeight="1">
      <c r="A2594" s="2">
        <v>2593.0</v>
      </c>
      <c r="B2594" s="5" t="s">
        <v>4728</v>
      </c>
      <c r="C2594" s="6">
        <v>1.0</v>
      </c>
      <c r="D2594" s="7" t="s">
        <v>4729</v>
      </c>
      <c r="E2594" s="8" t="str">
        <f>IFERROR(__xludf.DUMMYFUNCTION("googletranslate(D2594,""id"",""en"")"),"WEW PPKM instead disbursed the crowd. This is trying")</f>
        <v>WEW PPKM instead disbursed the crowd. This is trying</v>
      </c>
    </row>
    <row r="2595" ht="15.75" customHeight="1">
      <c r="A2595" s="2">
        <v>2594.0</v>
      </c>
      <c r="B2595" s="5" t="s">
        <v>4730</v>
      </c>
      <c r="C2595" s="6">
        <v>2.0</v>
      </c>
      <c r="D2595" s="7" t="s">
        <v>4731</v>
      </c>
      <c r="E2595" s="8" t="str">
        <f>IFERROR(__xludf.DUMMYFUNCTION("googletranslate(D2595,""id"",""en"")"),"NS? Kan again PPKM, don't want to be better")</f>
        <v>NS? Kan again PPKM, don't want to be better</v>
      </c>
    </row>
    <row r="2596" ht="15.75" customHeight="1">
      <c r="A2596" s="2">
        <v>2595.0</v>
      </c>
      <c r="B2596" s="5" t="s">
        <v>4732</v>
      </c>
      <c r="C2596" s="6">
        <v>1.0</v>
      </c>
      <c r="D2596" s="7" t="s">
        <v>4733</v>
      </c>
      <c r="E2596" s="8" t="str">
        <f>IFERROR(__xludf.DUMMYFUNCTION("googletranslate(D2596,""id"",""en"")"),"lonely because of PPKM right")</f>
        <v>lonely because of PPKM right</v>
      </c>
    </row>
    <row r="2597" ht="15.75" customHeight="1">
      <c r="A2597" s="2">
        <v>2596.0</v>
      </c>
      <c r="B2597" s="5" t="s">
        <v>4734</v>
      </c>
      <c r="C2597" s="6">
        <v>1.0</v>
      </c>
      <c r="D2597" s="9" t="s">
        <v>4735</v>
      </c>
      <c r="E2597" s="8" t="str">
        <f>IFERROR(__xludf.DUMMYFUNCTION("googletranslate(D2597,""id"",""en"")"),"Woy, my electricity is riding it drastically, huh?")</f>
        <v>Woy, my electricity is riding it drastically, huh?</v>
      </c>
    </row>
    <row r="2598" ht="15.75" customHeight="1">
      <c r="A2598" s="2">
        <v>2597.0</v>
      </c>
      <c r="B2598" s="5" t="s">
        <v>4736</v>
      </c>
      <c r="C2598" s="6">
        <v>1.0</v>
      </c>
      <c r="D2598" s="9" t="s">
        <v>4737</v>
      </c>
      <c r="E2598" s="8" t="str">
        <f>IFERROR(__xludf.DUMMYFUNCTION("googletranslate(D2598,""id"",""en"")"),"Mknya likes to be confused ... ngak lockdown shouted")</f>
        <v>Mknya likes to be confused ... ngak lockdown shouted</v>
      </c>
    </row>
    <row r="2599" ht="15.75" customHeight="1">
      <c r="A2599" s="2">
        <v>2598.0</v>
      </c>
      <c r="B2599" s="5" t="s">
        <v>4738</v>
      </c>
      <c r="C2599" s="6">
        <v>2.0</v>
      </c>
      <c r="D2599" s="7" t="s">
        <v>4739</v>
      </c>
      <c r="E2599" s="8" t="str">
        <f>IFERROR(__xludf.DUMMYFUNCTION("googletranslate(D2599,""id"",""en"")"),"MPLS, LDKS / LDKA does not seem. TPI online, because now Msih PPKM")</f>
        <v>MPLS, LDKS / LDKA does not seem. TPI online, because now Msih PPKM</v>
      </c>
    </row>
    <row r="2600" ht="15.75" customHeight="1">
      <c r="A2600" s="2">
        <v>2599.0</v>
      </c>
      <c r="B2600" s="5" t="s">
        <v>4740</v>
      </c>
      <c r="C2600" s="6">
        <v>1.0</v>
      </c>
      <c r="D2600" s="7" t="s">
        <v>4741</v>
      </c>
      <c r="E2600" s="8" t="str">
        <f>IFERROR(__xludf.DUMMYFUNCTION("googletranslate(D2600,""id"",""en"")"),"People are used as miserable DG PPKM oppressed by rules. Dibi dg vaccine")</f>
        <v>People are used as miserable DG PPKM oppressed by rules. Dibi dg vaccine</v>
      </c>
    </row>
    <row r="2601" ht="15.75" customHeight="1">
      <c r="A2601" s="2">
        <v>2600.0</v>
      </c>
      <c r="B2601" s="5" t="s">
        <v>4742</v>
      </c>
      <c r="C2601" s="6">
        <v>1.0</v>
      </c>
      <c r="D2601" s="9" t="s">
        <v>4743</v>
      </c>
      <c r="E2601" s="8" t="str">
        <f>IFERROR(__xludf.DUMMYFUNCTION("googletranslate(D2601,""id"",""en"")"),"Mode ..... emergency ppkm ... the people can't be compensified .... bought a vaccine too .... the business of selling vaccine covid-19, potentially becoming a scandal in the middle of a pandemic, there is a 'smuggling' law, the definition of vaccine Goton"&amp;"g Royong Suddenly Changed | Islamic portal")</f>
        <v>Mode ..... emergency ppkm ... the people can't be compensified .... bought a vaccine too .... the business of selling vaccine covid-19, potentially becoming a scandal in the middle of a pandemic, there is a 'smuggling' law, the definition of vaccine Gotong Royong Suddenly Changed | Islamic portal</v>
      </c>
    </row>
    <row r="2602" ht="15.75" customHeight="1">
      <c r="A2602" s="2">
        <v>2601.0</v>
      </c>
      <c r="B2602" s="5" t="s">
        <v>4744</v>
      </c>
      <c r="C2602" s="6">
        <v>1.0</v>
      </c>
      <c r="D2602" s="9" t="s">
        <v>4745</v>
      </c>
      <c r="E2602" s="8" t="str">
        <f>IFERROR(__xludf.DUMMYFUNCTION("googletranslate(D2602,""id"",""en"")"),"What makes the policy again in the house while receiving a salary, which has a policy effect again confused, if you want to eat if the PPKM continues")</f>
        <v>What makes the policy again in the house while receiving a salary, which has a policy effect again confused, if you want to eat if the PPKM continues</v>
      </c>
    </row>
    <row r="2603" ht="15.75" customHeight="1">
      <c r="A2603" s="2">
        <v>2602.0</v>
      </c>
      <c r="B2603" s="5" t="s">
        <v>4746</v>
      </c>
      <c r="C2603" s="6">
        <v>3.0</v>
      </c>
      <c r="D2603" s="9" t="s">
        <v>4747</v>
      </c>
      <c r="E2603" s="8" t="str">
        <f>IFERROR(__xludf.DUMMYFUNCTION("googletranslate(D2603,""id"",""en"")"),"The government is considered appropriate in taking a policy of implementing the restrictions on emergency community activities (PPKM). This policy was taken as a response to soaring Covid-19 cases in a number of regions in recent times. PPKM Healthy Peopl"&amp;"e")</f>
        <v>The government is considered appropriate in taking a policy of implementing the restrictions on emergency community activities (PPKM). This policy was taken as a response to soaring Covid-19 cases in a number of regions in recent times. PPKM Healthy People</v>
      </c>
    </row>
    <row r="2604" ht="15.75" customHeight="1">
      <c r="A2604" s="2">
        <v>2603.0</v>
      </c>
      <c r="B2604" s="5" t="s">
        <v>4748</v>
      </c>
      <c r="C2604" s="6">
        <v>2.0</v>
      </c>
      <c r="D2604" s="7" t="s">
        <v>4749</v>
      </c>
      <c r="E2604" s="8" t="str">
        <f>IFERROR(__xludf.DUMMYFUNCTION("googletranslate(D2604,""id"",""en"")"),"Diet. OK. Diet. And ppkm jgggggg")</f>
        <v>Diet. OK. Diet. And ppkm jgggggg</v>
      </c>
    </row>
    <row r="2605" ht="15.75" customHeight="1">
      <c r="A2605" s="2">
        <v>2604.0</v>
      </c>
      <c r="B2605" s="5" t="s">
        <v>4750</v>
      </c>
      <c r="C2605" s="6">
        <v>2.0</v>
      </c>
      <c r="D2605" s="7" t="s">
        <v>4751</v>
      </c>
      <c r="E2605" s="8" t="str">
        <f>IFERROR(__xludf.DUMMYFUNCTION("googletranslate(D2605,""id"",""en"")"),"PPKM, Tong Rame2")</f>
        <v>PPKM, Tong Rame2</v>
      </c>
    </row>
    <row r="2606" ht="15.75" customHeight="1">
      <c r="A2606" s="2">
        <v>2605.0</v>
      </c>
      <c r="B2606" s="5" t="s">
        <v>4752</v>
      </c>
      <c r="C2606" s="6">
        <v>1.0</v>
      </c>
      <c r="D2606" s="7" t="s">
        <v>4753</v>
      </c>
      <c r="E2606" s="8" t="str">
        <f>IFERROR(__xludf.DUMMYFUNCTION("googletranslate(D2606,""id"",""en"")"),"Pertm x office pke grab ngntt because it doesn't use the assignment letter anjg ppkm damn")</f>
        <v>Pertm x office pke grab ngntt because it doesn't use the assignment letter anjg ppkm damn</v>
      </c>
    </row>
    <row r="2607" ht="15.75" customHeight="1">
      <c r="A2607" s="2">
        <v>2606.0</v>
      </c>
      <c r="B2607" s="5" t="s">
        <v>4754</v>
      </c>
      <c r="C2607" s="6">
        <v>2.0</v>
      </c>
      <c r="D2607" s="7" t="s">
        <v>4755</v>
      </c>
      <c r="E2607" s="8" t="str">
        <f>IFERROR(__xludf.DUMMYFUNCTION("googletranslate(D2607,""id"",""en"")"),"Min the terms of spiritual information, especially in Kemhan, can it be removed not? The problem is at the Cibinong Hospital in the soul, close the junior high school at the end of the month. Want to Jakarta there is a PPKM insulation. Please dispenserate"&amp;". TKS.")</f>
        <v>Min the terms of spiritual information, especially in Kemhan, can it be removed not? The problem is at the Cibinong Hospital in the soul, close the junior high school at the end of the month. Want to Jakarta there is a PPKM insulation. Please dispenserate. TKS.</v>
      </c>
    </row>
    <row r="2608" ht="15.75" customHeight="1">
      <c r="A2608" s="2">
        <v>2607.0</v>
      </c>
      <c r="B2608" s="5" t="s">
        <v>4756</v>
      </c>
      <c r="C2608" s="6">
        <v>3.0</v>
      </c>
      <c r="D2608" s="9" t="s">
        <v>4757</v>
      </c>
      <c r="E2608" s="8" t="str">
        <f>IFERROR(__xludf.DUMMYFUNCTION("googletranslate(D2608,""id"",""en"")"),"I want to make a promo ah ... what ppkm is easy there is a rejk, ale again raedy just some slots dlu, yeah, I don't get MLM Mr. Maghh Close")</f>
        <v>I want to make a promo ah ... what ppkm is easy there is a rejk, ale again raedy just some slots dlu, yeah, I don't get MLM Mr. Maghh Close</v>
      </c>
    </row>
    <row r="2609" ht="15.75" customHeight="1">
      <c r="A2609" s="2">
        <v>2608.0</v>
      </c>
      <c r="B2609" s="5" t="s">
        <v>4758</v>
      </c>
      <c r="C2609" s="6">
        <v>2.0</v>
      </c>
      <c r="D2609" s="7" t="s">
        <v>4758</v>
      </c>
      <c r="E2609" s="8" t="str">
        <f>IFERROR(__xludf.DUMMYFUNCTION("googletranslate(D2609,""id"",""en"")"),"Yeach how else the government applies PPKM")</f>
        <v>Yeach how else the government applies PPKM</v>
      </c>
    </row>
    <row r="2610" ht="15.75" customHeight="1">
      <c r="A2610" s="2">
        <v>2609.0</v>
      </c>
      <c r="B2610" s="5" t="s">
        <v>4759</v>
      </c>
      <c r="C2610" s="6">
        <v>2.0</v>
      </c>
      <c r="D2610" s="7" t="s">
        <v>4760</v>
      </c>
      <c r="E2610" s="8" t="str">
        <f>IFERROR(__xludf.DUMMYFUNCTION("googletranslate(D2610,""id"",""en"")"),"yes yes msh ppkm")</f>
        <v>yes yes msh ppkm</v>
      </c>
    </row>
    <row r="2611" ht="15.75" customHeight="1">
      <c r="A2611" s="2">
        <v>2610.0</v>
      </c>
      <c r="B2611" s="5" t="s">
        <v>4761</v>
      </c>
      <c r="C2611" s="6">
        <v>3.0</v>
      </c>
      <c r="D2611" s="7" t="s">
        <v>4762</v>
      </c>
      <c r="E2611" s="8" t="str">
        <f>IFERROR(__xludf.DUMMYFUNCTION("googletranslate(D2611,""id"",""en"")"),"Good morning survivors Monday PPKM connoisseurs")</f>
        <v>Good morning survivors Monday PPKM connoisseurs</v>
      </c>
    </row>
    <row r="2612" ht="15.75" customHeight="1">
      <c r="A2612" s="2">
        <v>2611.0</v>
      </c>
      <c r="B2612" s="5" t="s">
        <v>4763</v>
      </c>
      <c r="C2612" s="6">
        <v>2.0</v>
      </c>
      <c r="D2612" s="7" t="s">
        <v>4763</v>
      </c>
      <c r="E2612" s="8" t="str">
        <f>IFERROR(__xludf.DUMMYFUNCTION("googletranslate(D2612,""id"",""en"")"),"Purchasing so I have to ask the vendor, right, the PPKM effect is not")</f>
        <v>Purchasing so I have to ask the vendor, right, the PPKM effect is not</v>
      </c>
    </row>
    <row r="2613" ht="15.75" customHeight="1">
      <c r="A2613" s="2">
        <v>2612.0</v>
      </c>
      <c r="B2613" s="5" t="s">
        <v>4764</v>
      </c>
      <c r="C2613" s="6">
        <v>1.0</v>
      </c>
      <c r="D2613" s="7" t="s">
        <v>4765</v>
      </c>
      <c r="E2613" s="8" t="str">
        <f>IFERROR(__xludf.DUMMYFUNCTION("googletranslate(D2613,""id"",""en"")"),"Because yesterday's semester was a lot of roleplay, it was, this was the PPKM, which might open")</f>
        <v>Because yesterday's semester was a lot of roleplay, it was, this was the PPKM, which might open</v>
      </c>
    </row>
    <row r="2614" ht="15.75" customHeight="1">
      <c r="A2614" s="2">
        <v>2613.0</v>
      </c>
      <c r="B2614" s="5" t="s">
        <v>4766</v>
      </c>
      <c r="C2614" s="6">
        <v>2.0</v>
      </c>
      <c r="D2614" s="7" t="s">
        <v>4767</v>
      </c>
      <c r="E2614" s="8" t="str">
        <f>IFERROR(__xludf.DUMMYFUNCTION("googletranslate(D2614,""id"",""en"")"),"Online, still PPKM")</f>
        <v>Online, still PPKM</v>
      </c>
    </row>
    <row r="2615" ht="15.75" customHeight="1">
      <c r="A2615" s="2">
        <v>2614.0</v>
      </c>
      <c r="B2615" s="5" t="s">
        <v>4768</v>
      </c>
      <c r="C2615" s="6">
        <v>1.0</v>
      </c>
      <c r="D2615" s="9" t="s">
        <v>4769</v>
      </c>
      <c r="E2615" s="8" t="str">
        <f>IFERROR(__xludf.DUMMYFUNCTION("googletranslate(D2615,""id"",""en"")"),"Sorry, sir, sir, this PPKM mr mrsman friends who don't earn. If it's not help, please pull this PPKM sir. I am sad to see friends can't sell as they are available first.")</f>
        <v>Sorry, sir, sir, this PPKM mr mrsman friends who don't earn. If it's not help, please pull this PPKM sir. I am sad to see friends can't sell as they are available first.</v>
      </c>
    </row>
    <row r="2616" ht="15.75" customHeight="1">
      <c r="A2616" s="2">
        <v>2615.0</v>
      </c>
      <c r="B2616" s="5" t="s">
        <v>4770</v>
      </c>
      <c r="C2616" s="6">
        <v>1.0</v>
      </c>
      <c r="D2616" s="9" t="s">
        <v>4770</v>
      </c>
      <c r="E2616" s="8" t="str">
        <f>IFERROR(__xludf.DUMMYFUNCTION("googletranslate(D2616,""id"",""en"")"),"Just want to ask, where used to be the beginning of the pandemic shouted for Indonesia to dilockdown immediately. Today the emergency PPKM runs even shouted this activity troublesome, turn off the economy, etc. Don't realize what, the spread of infection "&amp;"that this is much faster my sodaroy.")</f>
        <v>Just want to ask, where used to be the beginning of the pandemic shouted for Indonesia to dilockdown immediately. Today the emergency PPKM runs even shouted this activity troublesome, turn off the economy, etc. Don't realize what, the spread of infection that this is much faster my sodaroy.</v>
      </c>
    </row>
    <row r="2617" ht="15.75" customHeight="1">
      <c r="A2617" s="2">
        <v>2616.0</v>
      </c>
      <c r="B2617" s="5" t="s">
        <v>4771</v>
      </c>
      <c r="C2617" s="6">
        <v>2.0</v>
      </c>
      <c r="D2617" s="9" t="s">
        <v>4772</v>
      </c>
      <c r="E2617" s="8" t="str">
        <f>IFERROR(__xludf.DUMMYFUNCTION("googletranslate(D2617,""id"",""en"")"),"I've been offline but this ppkm becomes online first")</f>
        <v>I've been offline but this ppkm becomes online first</v>
      </c>
    </row>
    <row r="2618" ht="15.75" customHeight="1">
      <c r="A2618" s="2">
        <v>2617.0</v>
      </c>
      <c r="B2618" s="5" t="s">
        <v>4773</v>
      </c>
      <c r="C2618" s="6">
        <v>1.0</v>
      </c>
      <c r="D2618" s="9" t="s">
        <v>4774</v>
      </c>
      <c r="E2618" s="8" t="str">
        <f>IFERROR(__xludf.DUMMYFUNCTION("googletranslate(D2618,""id"",""en"")"),"Maybe this is the impact of the performance of the government and its ranks at the city / district level which never goes down the mountain, alias to look at the people who are below PSBB-PPKM, causing a prolonged Miskom against security institutions with"&amp;" the community. Amitslur")</f>
        <v>Maybe this is the impact of the performance of the government and its ranks at the city / district level which never goes down the mountain, alias to look at the people who are below PSBB-PPKM, causing a prolonged Miskom against security institutions with the community. Amitslur</v>
      </c>
    </row>
    <row r="2619" ht="15.75" customHeight="1">
      <c r="A2619" s="2">
        <v>2618.0</v>
      </c>
      <c r="B2619" s="5" t="s">
        <v>4775</v>
      </c>
      <c r="C2619" s="6">
        <v>1.0</v>
      </c>
      <c r="D2619" s="9" t="s">
        <v>4776</v>
      </c>
      <c r="E2619" s="8" t="str">
        <f>IFERROR(__xludf.DUMMYFUNCTION("googletranslate(D2619,""id"",""en"")"),"Before the PPKM should begin, it will be redied for everything, do not get rid of it instead contributed")</f>
        <v>Before the PPKM should begin, it will be redied for everything, do not get rid of it instead contributed</v>
      </c>
    </row>
    <row r="2620" ht="15.75" customHeight="1">
      <c r="A2620" s="2">
        <v>2619.0</v>
      </c>
      <c r="B2620" s="5" t="s">
        <v>4777</v>
      </c>
      <c r="C2620" s="6">
        <v>2.0</v>
      </c>
      <c r="D2620" s="7" t="s">
        <v>4778</v>
      </c>
      <c r="E2620" s="8" t="str">
        <f>IFERROR(__xludf.DUMMYFUNCTION("googletranslate(D2620,""id"",""en"")"),"Wait for the PPKM to finish times")</f>
        <v>Wait for the PPKM to finish times</v>
      </c>
    </row>
    <row r="2621" ht="15.75" customHeight="1">
      <c r="A2621" s="2">
        <v>2620.0</v>
      </c>
      <c r="B2621" s="5" t="s">
        <v>4779</v>
      </c>
      <c r="C2621" s="6">
        <v>2.0</v>
      </c>
      <c r="D2621" s="9" t="s">
        <v>4780</v>
      </c>
      <c r="E2621" s="8" t="str">
        <f>IFERROR(__xludf.DUMMYFUNCTION("googletranslate(D2621,""id"",""en"")"),"PPKM really feels the difference with PSBB of the past year, yeah, it's still the same as you * eh")</f>
        <v>PPKM really feels the difference with PSBB of the past year, yeah, it's still the same as you * eh</v>
      </c>
    </row>
    <row r="2622" ht="15.75" customHeight="1">
      <c r="A2622" s="2">
        <v>2621.0</v>
      </c>
      <c r="B2622" s="5" t="s">
        <v>4781</v>
      </c>
      <c r="C2622" s="6">
        <v>1.0</v>
      </c>
      <c r="D2622" s="7" t="s">
        <v>4782</v>
      </c>
      <c r="E2622" s="8" t="str">
        <f>IFERROR(__xludf.DUMMYFUNCTION("googletranslate(D2622,""id"",""en"")"),"Now this is actually a sad and wrong wrong ... those who are a private merchant who is financially lacking, you want to work even though PPKM, it's not obedient, their situation doesn't work ... the salary is borne by the government")</f>
        <v>Now this is actually a sad and wrong wrong ... those who are a private merchant who is financially lacking, you want to work even though PPKM, it's not obedient, their situation doesn't work ... the salary is borne by the government</v>
      </c>
    </row>
    <row r="2623" ht="15.75" customHeight="1">
      <c r="A2623" s="2">
        <v>2622.0</v>
      </c>
      <c r="B2623" s="5" t="s">
        <v>4783</v>
      </c>
      <c r="C2623" s="6">
        <v>2.0</v>
      </c>
      <c r="D2623" s="9" t="s">
        <v>4783</v>
      </c>
      <c r="E2623" s="8" t="str">
        <f>IFERROR(__xludf.DUMMYFUNCTION("googletranslate(D2623,""id"",""en"")"),"Shaum Sunnah in the PPKM period is extraordinary temptation ...")</f>
        <v>Shaum Sunnah in the PPKM period is extraordinary temptation ...</v>
      </c>
    </row>
    <row r="2624" ht="15.75" customHeight="1">
      <c r="A2624" s="2">
        <v>2623.0</v>
      </c>
      <c r="B2624" s="5" t="s">
        <v>4784</v>
      </c>
      <c r="C2624" s="6">
        <v>3.0</v>
      </c>
      <c r="D2624" s="10" t="s">
        <v>4785</v>
      </c>
      <c r="E2624" s="8" t="str">
        <f>IFERROR(__xludf.DUMMYFUNCTION("googletranslate(D2624,""id"",""en"")"),"I like PPKM")</f>
        <v>I like PPKM</v>
      </c>
    </row>
    <row r="2625" ht="15.75" customHeight="1">
      <c r="A2625" s="2">
        <v>2624.0</v>
      </c>
      <c r="B2625" s="5" t="s">
        <v>4786</v>
      </c>
      <c r="C2625" s="6">
        <v>3.0</v>
      </c>
      <c r="D2625" s="7" t="s">
        <v>4787</v>
      </c>
      <c r="E2625" s="8" t="str">
        <f>IFERROR(__xludf.DUMMYFUNCTION("googletranslate(D2625,""id"",""en"")"),"Lucky the PPKM.")</f>
        <v>Lucky the PPKM.</v>
      </c>
    </row>
    <row r="2626" ht="15.75" customHeight="1">
      <c r="A2626" s="2">
        <v>2625.0</v>
      </c>
      <c r="B2626" s="5" t="s">
        <v>4788</v>
      </c>
      <c r="C2626" s="6">
        <v>2.0</v>
      </c>
      <c r="D2626" s="7" t="s">
        <v>4789</v>
      </c>
      <c r="E2626" s="8" t="str">
        <f>IFERROR(__xludf.DUMMYFUNCTION("googletranslate(D2626,""id"",""en"")"),"Good morning Emergency PPKM")</f>
        <v>Good morning Emergency PPKM</v>
      </c>
    </row>
    <row r="2627" ht="15.75" customHeight="1">
      <c r="A2627" s="2">
        <v>2626.0</v>
      </c>
      <c r="B2627" s="5" t="s">
        <v>4790</v>
      </c>
      <c r="C2627" s="6">
        <v>1.0</v>
      </c>
      <c r="D2627" s="7" t="s">
        <v>4791</v>
      </c>
      <c r="E2627" s="8" t="str">
        <f>IFERROR(__xludf.DUMMYFUNCTION("googletranslate(D2627,""id"",""en"")"),"I'm sick at home, if you don't think the PPKM is getting longer shshsh")</f>
        <v>I'm sick at home, if you don't think the PPKM is getting longer shshsh</v>
      </c>
    </row>
    <row r="2628" ht="15.75" customHeight="1">
      <c r="A2628" s="2">
        <v>2627.0</v>
      </c>
      <c r="B2628" s="5" t="s">
        <v>4792</v>
      </c>
      <c r="C2628" s="6">
        <v>1.0</v>
      </c>
      <c r="D2628" s="9" t="s">
        <v>4793</v>
      </c>
      <c r="E2628" s="8" t="str">
        <f>IFERROR(__xludf.DUMMYFUNCTION("googletranslate(D2628,""id"",""en"")"),"For you to eat ... lgi ppkm can't ...")</f>
        <v>For you to eat ... lgi ppkm can't ...</v>
      </c>
    </row>
    <row r="2629" ht="15.75" customHeight="1">
      <c r="A2629" s="2">
        <v>2628.0</v>
      </c>
      <c r="B2629" s="5" t="s">
        <v>4794</v>
      </c>
      <c r="C2629" s="6">
        <v>3.0</v>
      </c>
      <c r="D2629" s="9" t="s">
        <v>4794</v>
      </c>
      <c r="E2629" s="8" t="str">
        <f>IFERROR(__xludf.DUMMYFUNCTION("googletranslate(D2629,""id"",""en"")"),"Now currently still ppkm don't go away but really urgent")</f>
        <v>Now currently still ppkm don't go away but really urgent</v>
      </c>
    </row>
    <row r="2630" ht="15.75" customHeight="1">
      <c r="A2630" s="2">
        <v>2629.0</v>
      </c>
      <c r="B2630" s="5" t="s">
        <v>4795</v>
      </c>
      <c r="C2630" s="6">
        <v>1.0</v>
      </c>
      <c r="D2630" s="7" t="s">
        <v>4796</v>
      </c>
      <c r="E2630" s="8" t="str">
        <f>IFERROR(__xludf.DUMMYFUNCTION("googletranslate(D2630,""id"",""en"")"),"Pity. Want PPKM but it's not ready for all kinds of funds for the people.")</f>
        <v>Pity. Want PPKM but it's not ready for all kinds of funds for the people.</v>
      </c>
    </row>
    <row r="2631" ht="15.75" customHeight="1">
      <c r="A2631" s="2">
        <v>2630.0</v>
      </c>
      <c r="B2631" s="5" t="s">
        <v>4797</v>
      </c>
      <c r="C2631" s="6">
        <v>2.0</v>
      </c>
      <c r="D2631" s="9" t="s">
        <v>4798</v>
      </c>
      <c r="E2631" s="8" t="str">
        <f>IFERROR(__xludf.DUMMYFUNCTION("googletranslate(D2631,""id"",""en"")"),"if I'm right now in Jakarta, it's still ppkm, so it's online through gmeet, if it's not offline, he said")</f>
        <v>if I'm right now in Jakarta, it's still ppkm, so it's online through gmeet, if it's not offline, he said</v>
      </c>
    </row>
    <row r="2632" ht="15.75" customHeight="1">
      <c r="A2632" s="2">
        <v>2631.0</v>
      </c>
      <c r="B2632" s="5" t="s">
        <v>4799</v>
      </c>
      <c r="C2632" s="6">
        <v>2.0</v>
      </c>
      <c r="D2632" s="9" t="s">
        <v>4800</v>
      </c>
      <c r="E2632" s="8" t="str">
        <f>IFERROR(__xludf.DUMMYFUNCTION("googletranslate(D2632,""id"",""en"")"),"The important thing is there is a rule out hopefully the ppkm is not extended")</f>
        <v>The important thing is there is a rule out hopefully the ppkm is not extended</v>
      </c>
    </row>
    <row r="2633" ht="15.75" customHeight="1">
      <c r="A2633" s="2">
        <v>2632.0</v>
      </c>
      <c r="B2633" s="5" t="s">
        <v>4801</v>
      </c>
      <c r="C2633" s="6">
        <v>1.0</v>
      </c>
      <c r="D2633" s="7" t="s">
        <v>4802</v>
      </c>
      <c r="E2633" s="8" t="str">
        <f>IFERROR(__xludf.DUMMYFUNCTION("googletranslate(D2633,""id"",""en"")"),"Don't hide the nomenclature of PPKM, sir, my president, the term is changed to run the article and")</f>
        <v>Don't hide the nomenclature of PPKM, sir, my president, the term is changed to run the article and</v>
      </c>
    </row>
    <row r="2634" ht="15.75" customHeight="1">
      <c r="A2634" s="2">
        <v>2633.0</v>
      </c>
      <c r="B2634" s="5" t="s">
        <v>4803</v>
      </c>
      <c r="C2634" s="6">
        <v>2.0</v>
      </c>
      <c r="D2634" s="7" t="s">
        <v>4804</v>
      </c>
      <c r="E2634" s="8" t="str">
        <f>IFERROR(__xludf.DUMMYFUNCTION("googletranslate(D2634,""id"",""en"")"),"Yeah later after the PPKM and the situation subsided I will try XIXI")</f>
        <v>Yeah later after the PPKM and the situation subsided I will try XIXI</v>
      </c>
    </row>
    <row r="2635" ht="15.75" customHeight="1">
      <c r="A2635" s="2">
        <v>2634.0</v>
      </c>
      <c r="B2635" s="5" t="s">
        <v>4805</v>
      </c>
      <c r="C2635" s="6">
        <v>2.0</v>
      </c>
      <c r="D2635" s="10" t="s">
        <v>4806</v>
      </c>
      <c r="E2635" s="8" t="str">
        <f>IFERROR(__xludf.DUMMYFUNCTION("googletranslate(D2635,""id"",""en"")"),"again PPKM.")</f>
        <v>again PPKM.</v>
      </c>
    </row>
    <row r="2636" ht="15.75" customHeight="1">
      <c r="A2636" s="2">
        <v>2635.0</v>
      </c>
      <c r="B2636" s="5" t="s">
        <v>4807</v>
      </c>
      <c r="C2636" s="6">
        <v>1.0</v>
      </c>
      <c r="D2636" s="7" t="s">
        <v>4808</v>
      </c>
      <c r="E2636" s="8" t="str">
        <f>IFERROR(__xludf.DUMMYFUNCTION("googletranslate(D2636,""id"",""en"")"),"The government has failed ... handling human lives ... since the first time the first Wuhan..tha distance")</f>
        <v>The government has failed ... handling human lives ... since the first time the first Wuhan..tha distance</v>
      </c>
    </row>
    <row r="2637" ht="15.75" customHeight="1">
      <c r="A2637" s="2">
        <v>2636.0</v>
      </c>
      <c r="B2637" s="5" t="s">
        <v>4809</v>
      </c>
      <c r="C2637" s="6">
        <v>2.0</v>
      </c>
      <c r="D2637" s="7" t="s">
        <v>4810</v>
      </c>
      <c r="E2637" s="8" t="str">
        <f>IFERROR(__xludf.DUMMYFUNCTION("googletranslate(D2637,""id"",""en"")"),"Bib ... since the PPKM prayer dawn was arrested by the TV and the sound of the TV was dikencengin so that it was pretty a penalty ... what didn't you bib?")</f>
        <v>Bib ... since the PPKM prayer dawn was arrested by the TV and the sound of the TV was dikencengin so that it was pretty a penalty ... what didn't you bib?</v>
      </c>
    </row>
    <row r="2638" ht="15.75" customHeight="1">
      <c r="A2638" s="2">
        <v>2637.0</v>
      </c>
      <c r="B2638" s="5" t="s">
        <v>4811</v>
      </c>
      <c r="C2638" s="6">
        <v>2.0</v>
      </c>
      <c r="D2638" s="7" t="s">
        <v>4812</v>
      </c>
      <c r="E2638" s="8" t="str">
        <f>IFERROR(__xludf.DUMMYFUNCTION("googletranslate(D2638,""id"",""en"")"),"Just ppkm we ya oyin")</f>
        <v>Just ppkm we ya oyin</v>
      </c>
    </row>
    <row r="2639" ht="15.75" customHeight="1">
      <c r="A2639" s="2">
        <v>2638.0</v>
      </c>
      <c r="B2639" s="5" t="s">
        <v>4813</v>
      </c>
      <c r="C2639" s="6">
        <v>2.0</v>
      </c>
      <c r="D2639" s="7" t="s">
        <v>4814</v>
      </c>
      <c r="E2639" s="8" t="str">
        <f>IFERROR(__xludf.DUMMYFUNCTION("googletranslate(D2639,""id"",""en"")"),"Morning Min, Please Info N, P Operating Normally During the PPKM?")</f>
        <v>Morning Min, Please Info N, P Operating Normally During the PPKM?</v>
      </c>
    </row>
    <row r="2640" ht="15.75" customHeight="1">
      <c r="A2640" s="2">
        <v>2639.0</v>
      </c>
      <c r="B2640" s="5" t="s">
        <v>4815</v>
      </c>
      <c r="C2640" s="6">
        <v>2.0</v>
      </c>
      <c r="D2640" s="7" t="s">
        <v>4816</v>
      </c>
      <c r="E2640" s="8" t="str">
        <f>IFERROR(__xludf.DUMMYFUNCTION("googletranslate(D2640,""id"",""en"")"),"Avoid me from the temptation of discount nail art during the PPKM O Allah")</f>
        <v>Avoid me from the temptation of discount nail art during the PPKM O Allah</v>
      </c>
    </row>
    <row r="2641" ht="15.75" customHeight="1">
      <c r="A2641" s="2">
        <v>2640.0</v>
      </c>
      <c r="B2641" s="5" t="s">
        <v>4817</v>
      </c>
      <c r="C2641" s="6">
        <v>1.0</v>
      </c>
      <c r="D2641" s="9" t="s">
        <v>4818</v>
      </c>
      <c r="E2641" s="8" t="str">
        <f>IFERROR(__xludf.DUMMYFUNCTION("googletranslate(D2641,""id"",""en"")"),"emg anjg ppkm without a solution")</f>
        <v>emg anjg ppkm without a solution</v>
      </c>
    </row>
    <row r="2642" ht="15.75" customHeight="1">
      <c r="A2642" s="2">
        <v>2641.0</v>
      </c>
      <c r="B2642" s="5" t="s">
        <v>4819</v>
      </c>
      <c r="C2642" s="6">
        <v>2.0</v>
      </c>
      <c r="D2642" s="7" t="s">
        <v>4820</v>
      </c>
      <c r="E2642" s="8" t="str">
        <f>IFERROR(__xludf.DUMMYFUNCTION("googletranslate(D2642,""id"",""en"")"),"Want to eat where I do, again PPKM Gini")</f>
        <v>Want to eat where I do, again PPKM Gini</v>
      </c>
    </row>
    <row r="2643" ht="15.75" customHeight="1">
      <c r="A2643" s="2">
        <v>2642.0</v>
      </c>
      <c r="B2643" s="5" t="s">
        <v>4821</v>
      </c>
      <c r="C2643" s="6">
        <v>2.0</v>
      </c>
      <c r="D2643" s="12" t="s">
        <v>4822</v>
      </c>
      <c r="E2643" s="8" t="str">
        <f>IFERROR(__xludf.DUMMYFUNCTION("googletranslate(D2643,""id"",""en"")"),"Not yet, PPKM.")</f>
        <v>Not yet, PPKM.</v>
      </c>
    </row>
    <row r="2644" ht="15.75" customHeight="1">
      <c r="A2644" s="2">
        <v>2643.0</v>
      </c>
      <c r="B2644" s="5" t="s">
        <v>4823</v>
      </c>
      <c r="C2644" s="6">
        <v>1.0</v>
      </c>
      <c r="D2644" s="7" t="s">
        <v>4823</v>
      </c>
      <c r="E2644" s="8" t="str">
        <f>IFERROR(__xludf.DUMMYFUNCTION("googletranslate(D2644,""id"",""en"")"),"While in the saturated phase maybe it seems, especially when the PPKM is like this. For work, it's not enthusiastic, at home, it continues to do the same thing over and over again, it can't go anywhere, even to saturate you don't know what you want to do "&amp;"anymore.")</f>
        <v>While in the saturated phase maybe it seems, especially when the PPKM is like this. For work, it's not enthusiastic, at home, it continues to do the same thing over and over again, it can't go anywhere, even to saturate you don't know what you want to do anymore.</v>
      </c>
    </row>
    <row r="2645" ht="15.75" customHeight="1">
      <c r="A2645" s="2">
        <v>2644.0</v>
      </c>
      <c r="B2645" s="5" t="s">
        <v>4824</v>
      </c>
      <c r="C2645" s="6">
        <v>1.0</v>
      </c>
      <c r="D2645" s="9" t="s">
        <v>4825</v>
      </c>
      <c r="E2645" s="8" t="str">
        <f>IFERROR(__xludf.DUMMYFUNCTION("googletranslate(D2645,""id"",""en"")"),"Really bro, bro, half of the pp2mending full lockdown, all of them eat, and told me to be still silent.")</f>
        <v>Really bro, bro, half of the pp2mending full lockdown, all of them eat, and told me to be still silent.</v>
      </c>
    </row>
    <row r="2646" ht="15.75" customHeight="1">
      <c r="A2646" s="2">
        <v>2645.0</v>
      </c>
      <c r="B2646" s="5" t="s">
        <v>4826</v>
      </c>
      <c r="C2646" s="6">
        <v>1.0</v>
      </c>
      <c r="D2646" s="9" t="s">
        <v>4827</v>
      </c>
      <c r="E2646" s="8" t="str">
        <f>IFERROR(__xludf.DUMMYFUNCTION("googletranslate(D2646,""id"",""en"")"),"After all, there is also a lot of solution, but it has been heard too, the other one if you want to successful PPKM, bro, bear the needs of the people, but what do you do ???")</f>
        <v>After all, there is also a lot of solution, but it has been heard too, the other one if you want to successful PPKM, bro, bear the needs of the people, but what do you do ???</v>
      </c>
    </row>
    <row r="2647" ht="15.75" customHeight="1">
      <c r="A2647" s="2">
        <v>2646.0</v>
      </c>
      <c r="B2647" s="5" t="s">
        <v>4828</v>
      </c>
      <c r="C2647" s="6">
        <v>1.0</v>
      </c>
      <c r="D2647" s="9" t="s">
        <v>4829</v>
      </c>
      <c r="E2647" s="8" t="str">
        <f>IFERROR(__xludf.DUMMYFUNCTION("googletranslate(D2647,""id"",""en"")"),"PPKM told to survive but the income is not there for a long time ""Streess is a person, who says stay at home is good, it's good to get a salary, the person who works, you have to walk, selling outside the spray of water and even a trade in the brush But "&amp;"don't give any solution "".")</f>
        <v>PPKM told to survive but the income is not there for a long time "Streess is a person, who says stay at home is good, it's good to get a salary, the person who works, you have to walk, selling outside the spray of water and even a trade in the brush But don't give any solution ".</v>
      </c>
    </row>
    <row r="2648" ht="15.75" customHeight="1">
      <c r="A2648" s="2">
        <v>2647.0</v>
      </c>
      <c r="B2648" s="5" t="s">
        <v>4830</v>
      </c>
      <c r="C2648" s="6">
        <v>2.0</v>
      </c>
      <c r="D2648" s="7" t="s">
        <v>4831</v>
      </c>
      <c r="E2648" s="8" t="str">
        <f>IFERROR(__xludf.DUMMYFUNCTION("googletranslate(D2648,""id"",""en"")"),"The PPKMPP is up to the origin of KM")</f>
        <v>The PPKMPP is up to the origin of KM</v>
      </c>
    </row>
    <row r="2649" ht="15.75" customHeight="1">
      <c r="A2649" s="2">
        <v>2648.0</v>
      </c>
      <c r="B2649" s="5" t="s">
        <v>4832</v>
      </c>
      <c r="C2649" s="6">
        <v>1.0</v>
      </c>
      <c r="D2649" s="7" t="s">
        <v>4833</v>
      </c>
      <c r="E2649" s="8" t="str">
        <f>IFERROR(__xludf.DUMMYFUNCTION("googletranslate(D2649,""id"",""en"")"),"The merchant agreed to agree with PPKM but the government should guarantee food drinks for them. The police are already paid every month, traders?")</f>
        <v>The merchant agreed to agree with PPKM but the government should guarantee food drinks for them. The police are already paid every month, traders?</v>
      </c>
    </row>
    <row r="2650" ht="15.75" customHeight="1">
      <c r="A2650" s="2">
        <v>2649.0</v>
      </c>
      <c r="B2650" s="5" t="s">
        <v>4834</v>
      </c>
      <c r="C2650" s="6">
        <v>3.0</v>
      </c>
      <c r="D2650" s="7" t="s">
        <v>4835</v>
      </c>
      <c r="E2650" s="8" t="str">
        <f>IFERROR(__xludf.DUMMYFUNCTION("googletranslate(D2650,""id"",""en"")"),"Support Emergency PPKM")</f>
        <v>Support Emergency PPKM</v>
      </c>
    </row>
    <row r="2651" ht="15.75" customHeight="1">
      <c r="A2651" s="2">
        <v>2650.0</v>
      </c>
      <c r="B2651" s="5" t="s">
        <v>4836</v>
      </c>
      <c r="C2651" s="6">
        <v>2.0</v>
      </c>
      <c r="D2651" s="7" t="s">
        <v>4836</v>
      </c>
      <c r="E2651" s="8" t="str">
        <f>IFERROR(__xludf.DUMMYFUNCTION("googletranslate(D2651,""id"",""en"")"),"Does anyone know PPKM when is it finished?")</f>
        <v>Does anyone know PPKM when is it finished?</v>
      </c>
    </row>
    <row r="2652" ht="15.75" customHeight="1">
      <c r="A2652" s="2">
        <v>2651.0</v>
      </c>
      <c r="B2652" s="5" t="s">
        <v>4837</v>
      </c>
      <c r="C2652" s="6">
        <v>3.0</v>
      </c>
      <c r="D2652" s="7" t="s">
        <v>4838</v>
      </c>
      <c r="E2652" s="8" t="str">
        <f>IFERROR(__xludf.DUMMYFUNCTION("googletranslate(D2652,""id"",""en"")"),"Sports can be with streching at home or walking in the complex .... Emergency PPKM must be successful to suppress the Covid case")</f>
        <v>Sports can be with streching at home or walking in the complex .... Emergency PPKM must be successful to suppress the Covid case</v>
      </c>
    </row>
    <row r="2653" ht="15.75" customHeight="1">
      <c r="A2653" s="2">
        <v>2652.0</v>
      </c>
      <c r="B2653" s="5" t="s">
        <v>4839</v>
      </c>
      <c r="C2653" s="6">
        <v>1.0</v>
      </c>
      <c r="D2653" s="7" t="s">
        <v>4839</v>
      </c>
      <c r="E2653" s="8" t="str">
        <f>IFERROR(__xludf.DUMMYFUNCTION("googletranslate(D2653,""id"",""en"")"),"PPKM inhibitors everything")</f>
        <v>PPKM inhibitors everything</v>
      </c>
    </row>
    <row r="2654" ht="15.75" customHeight="1">
      <c r="A2654" s="2">
        <v>2653.0</v>
      </c>
      <c r="B2654" s="5" t="s">
        <v>4840</v>
      </c>
      <c r="C2654" s="6">
        <v>3.0</v>
      </c>
      <c r="D2654" s="7" t="s">
        <v>4841</v>
      </c>
      <c r="E2654" s="8" t="str">
        <f>IFERROR(__xludf.DUMMYFUNCTION("googletranslate(D2654,""id"",""en"")"),"Hooray is ready to uncle, hopefully it will be a fortune when PPKM")</f>
        <v>Hooray is ready to uncle, hopefully it will be a fortune when PPKM</v>
      </c>
    </row>
    <row r="2655" ht="15.75" customHeight="1">
      <c r="A2655" s="2">
        <v>2654.0</v>
      </c>
      <c r="B2655" s="5" t="s">
        <v>4842</v>
      </c>
      <c r="C2655" s="6">
        <v>2.0</v>
      </c>
      <c r="D2655" s="7" t="s">
        <v>4843</v>
      </c>
      <c r="E2655" s="8" t="str">
        <f>IFERROR(__xludf.DUMMYFUNCTION("googletranslate(D2655,""id"",""en"")"),"Still PPKM Kaka.")</f>
        <v>Still PPKM Kaka.</v>
      </c>
    </row>
    <row r="2656" ht="15.75" customHeight="1">
      <c r="A2656" s="2">
        <v>2655.0</v>
      </c>
      <c r="B2656" s="5" t="s">
        <v>4844</v>
      </c>
      <c r="C2656" s="6">
        <v>1.0</v>
      </c>
      <c r="D2656" s="9" t="s">
        <v>4845</v>
      </c>
      <c r="E2656" s="8" t="str">
        <f>IFERROR(__xludf.DUMMYFUNCTION("googletranslate(D2656,""id"",""en"")"),"How come it doesn't want to be called invaders, PKI ... the behavior is embarrassing ... PPKM = fraudsters when modar?")</f>
        <v>How come it doesn't want to be called invaders, PKI ... the behavior is embarrassing ... PPKM = fraudsters when modar?</v>
      </c>
    </row>
    <row r="2657" ht="15.75" customHeight="1">
      <c r="A2657" s="2">
        <v>2656.0</v>
      </c>
      <c r="B2657" s="5" t="s">
        <v>4846</v>
      </c>
      <c r="C2657" s="6">
        <v>1.0</v>
      </c>
      <c r="D2657" s="7" t="s">
        <v>4846</v>
      </c>
      <c r="E2657" s="8" t="str">
        <f>IFERROR(__xludf.DUMMYFUNCTION("googletranslate(D2657,""id"",""en"")"),"Application and enforcement of this emergency PPKM should government be more humanist using Strong Leadership not with authoritarian and anti-criticism, if like that, it can be a 'time bomb'")</f>
        <v>Application and enforcement of this emergency PPKM should government be more humanist using Strong Leadership not with authoritarian and anti-criticism, if like that, it can be a 'time bomb'</v>
      </c>
    </row>
    <row r="2658" ht="15.75" customHeight="1">
      <c r="A2658" s="2">
        <v>2657.0</v>
      </c>
      <c r="B2658" s="5" t="s">
        <v>4847</v>
      </c>
      <c r="C2658" s="6">
        <v>2.0</v>
      </c>
      <c r="D2658" s="7" t="s">
        <v>4848</v>
      </c>
      <c r="E2658" s="8" t="str">
        <f>IFERROR(__xludf.DUMMYFUNCTION("googletranslate(D2658,""id"",""en"")"),"Clay the news of the bird he said PPKM continued the same August Mang right?")</f>
        <v>Clay the news of the bird he said PPKM continued the same August Mang right?</v>
      </c>
    </row>
    <row r="2659" ht="15.75" customHeight="1">
      <c r="A2659" s="2">
        <v>2658.0</v>
      </c>
      <c r="B2659" s="5" t="s">
        <v>4849</v>
      </c>
      <c r="C2659" s="6">
        <v>2.0</v>
      </c>
      <c r="D2659" s="7" t="s">
        <v>4849</v>
      </c>
      <c r="E2659" s="8" t="str">
        <f>IFERROR(__xludf.DUMMYFUNCTION("googletranslate(D2659,""id"",""en"")"),"Emergency PPKM, East Java Provincial Government Check Compliance with Drinking Water Factory in Pandaan")</f>
        <v>Emergency PPKM, East Java Provincial Government Check Compliance with Drinking Water Factory in Pandaan</v>
      </c>
    </row>
    <row r="2660" ht="15.75" customHeight="1">
      <c r="A2660" s="2">
        <v>2659.0</v>
      </c>
      <c r="B2660" s="5" t="s">
        <v>4850</v>
      </c>
      <c r="C2660" s="6">
        <v>3.0</v>
      </c>
      <c r="D2660" s="7" t="s">
        <v>4851</v>
      </c>
      <c r="E2660" s="8" t="str">
        <f>IFERROR(__xludf.DUMMYFUNCTION("googletranslate(D2660,""id"",""en"")"),"Ppkm press the spread of the virus")</f>
        <v>Ppkm press the spread of the virus</v>
      </c>
    </row>
    <row r="2661" ht="15.75" customHeight="1">
      <c r="A2661" s="2">
        <v>2660.0</v>
      </c>
      <c r="B2661" s="5" t="s">
        <v>4852</v>
      </c>
      <c r="C2661" s="6">
        <v>1.0</v>
      </c>
      <c r="D2661" s="9" t="s">
        <v>4853</v>
      </c>
      <c r="E2661" s="8" t="str">
        <f>IFERROR(__xludf.DUMMYFUNCTION("googletranslate(D2661,""id"",""en"")"),"Influencer paid ppkm.")</f>
        <v>Influencer paid ppkm.</v>
      </c>
    </row>
    <row r="2662" ht="15.75" customHeight="1">
      <c r="A2662" s="2">
        <v>2661.0</v>
      </c>
      <c r="B2662" s="5" t="s">
        <v>4854</v>
      </c>
      <c r="C2662" s="6">
        <v>1.0</v>
      </c>
      <c r="D2662" s="9" t="s">
        <v>4855</v>
      </c>
      <c r="E2662" s="8" t="str">
        <f>IFERROR(__xludf.DUMMYFUNCTION("googletranslate(D2662,""id"",""en"")"),"When I was in the arms of the hostel wall, when I passed the army of Covid and PPKM. EMG SKRNG LDR Yak: ')")</f>
        <v>When I was in the arms of the hostel wall, when I passed the army of Covid and PPKM. EMG SKRNG LDR Yak: ')</v>
      </c>
    </row>
    <row r="2663" ht="15.75" customHeight="1">
      <c r="A2663" s="2">
        <v>2662.0</v>
      </c>
      <c r="B2663" s="5" t="s">
        <v>4856</v>
      </c>
      <c r="C2663" s="6">
        <v>1.0</v>
      </c>
      <c r="D2663" s="9" t="s">
        <v>4857</v>
      </c>
      <c r="E2663" s="8" t="str">
        <f>IFERROR(__xludf.DUMMYFUNCTION("googletranslate(D2663,""id"",""en"")"),"Understand you! Sinih DTG home, I'll demonstrate. Mosque. Morning made a sewot. Elo is good even though the ppkm is ga, where is it at home but it accept the salary routine. Lah GW, work &amp; amp; Don't have a salary, selling minus orders, wife sms, what do "&amp;"you want to eat ...? Not yet, I have to rent a rented house")</f>
        <v>Understand you! Sinih DTG home, I'll demonstrate. Mosque. Morning made a sewot. Elo is good even though the ppkm is ga, where is it at home but it accept the salary routine. Lah GW, work &amp; amp; Don't have a salary, selling minus orders, wife sms, what do you want to eat ...? Not yet, I have to rent a rented house</v>
      </c>
    </row>
    <row r="2664" ht="15.75" customHeight="1">
      <c r="A2664" s="2">
        <v>2663.0</v>
      </c>
      <c r="B2664" s="5" t="s">
        <v>4858</v>
      </c>
      <c r="C2664" s="6">
        <v>3.0</v>
      </c>
      <c r="D2664" s="7" t="s">
        <v>4859</v>
      </c>
      <c r="E2664" s="8" t="str">
        <f>IFERROR(__xludf.DUMMYFUNCTION("googletranslate(D2664,""id"",""en"")"),"Focus on Emergency PPKM, do not neglect Prokes M + 1V to Indonesia Healthy and Rise")</f>
        <v>Focus on Emergency PPKM, do not neglect Prokes M + 1V to Indonesia Healthy and Rise</v>
      </c>
    </row>
    <row r="2665" ht="15.75" customHeight="1">
      <c r="A2665" s="2">
        <v>2664.0</v>
      </c>
      <c r="B2665" s="5" t="s">
        <v>4860</v>
      </c>
      <c r="C2665" s="6">
        <v>1.0</v>
      </c>
      <c r="D2665" s="7" t="s">
        <v>4861</v>
      </c>
      <c r="E2665" s="8" t="str">
        <f>IFERROR(__xludf.DUMMYFUNCTION("googletranslate(D2665,""id"",""en"")"),"Trapped Emergency PPKM")</f>
        <v>Trapped Emergency PPKM</v>
      </c>
    </row>
    <row r="2666" ht="15.75" customHeight="1">
      <c r="A2666" s="2">
        <v>2665.0</v>
      </c>
      <c r="B2666" s="5" t="s">
        <v>4862</v>
      </c>
      <c r="C2666" s="6">
        <v>1.0</v>
      </c>
      <c r="D2666" s="7" t="s">
        <v>4863</v>
      </c>
      <c r="E2666" s="8" t="str">
        <f>IFERROR(__xludf.DUMMYFUNCTION("googletranslate(D2666,""id"",""en"")"),"Dah said ppkm (slowly kursek dead)")</f>
        <v>Dah said ppkm (slowly kursek dead)</v>
      </c>
    </row>
    <row r="2667" ht="15.75" customHeight="1">
      <c r="A2667" s="2">
        <v>2666.0</v>
      </c>
      <c r="B2667" s="5" t="s">
        <v>4864</v>
      </c>
      <c r="C2667" s="6">
        <v>1.0</v>
      </c>
      <c r="D2667" s="7" t="s">
        <v>4865</v>
      </c>
      <c r="E2667" s="8" t="str">
        <f>IFERROR(__xludf.DUMMYFUNCTION("googletranslate(D2667,""id"",""en"")"),"Emergency PPKM HR in Batam seemed to be a central manut and the reason for getting a budget. The analysis of the Regional Government gets a budget, what public society can ??")</f>
        <v>Emergency PPKM HR in Batam seemed to be a central manut and the reason for getting a budget. The analysis of the Regional Government gets a budget, what public society can ??</v>
      </c>
    </row>
    <row r="2668" ht="15.75" customHeight="1">
      <c r="A2668" s="2">
        <v>2667.0</v>
      </c>
      <c r="B2668" s="5" t="s">
        <v>4866</v>
      </c>
      <c r="C2668" s="6">
        <v>2.0</v>
      </c>
      <c r="D2668" s="9" t="s">
        <v>4867</v>
      </c>
      <c r="E2668" s="8" t="str">
        <f>IFERROR(__xludf.DUMMYFUNCTION("googletranslate(D2668,""id"",""en"")"),"Ayodong stlh ppkm deh if I go there kdu both his budget stretch")</f>
        <v>Ayodong stlh ppkm deh if I go there kdu both his budget stretch</v>
      </c>
    </row>
    <row r="2669" ht="15.75" customHeight="1">
      <c r="A2669" s="2">
        <v>2668.0</v>
      </c>
      <c r="B2669" s="5" t="s">
        <v>4868</v>
      </c>
      <c r="C2669" s="6">
        <v>3.0</v>
      </c>
      <c r="D2669" s="9" t="s">
        <v>4869</v>
      </c>
      <c r="E2669" s="8" t="str">
        <f>IFERROR(__xludf.DUMMYFUNCTION("googletranslate(D2669,""id"",""en"")"),"The emergency was the right step to control and prevent Lonjakn climb. Especially what we know a lot of new variants from climbs are spread in Indonesia, let's obey Emergency PPKM")</f>
        <v>The emergency was the right step to control and prevent Lonjakn climb. Especially what we know a lot of new variants from climbs are spread in Indonesia, let's obey Emergency PPKM</v>
      </c>
    </row>
    <row r="2670" ht="15.75" customHeight="1">
      <c r="A2670" s="2">
        <v>2669.0</v>
      </c>
      <c r="B2670" s="5" t="s">
        <v>4870</v>
      </c>
      <c r="C2670" s="6">
        <v>1.0</v>
      </c>
      <c r="D2670" s="7" t="s">
        <v>4871</v>
      </c>
      <c r="E2670" s="8" t="str">
        <f>IFERROR(__xludf.DUMMYFUNCTION("googletranslate(D2670,""id"",""en"")"),"Just called a little ppkm has already disbanded the mosque's celebration, what tried to try to be more close to the little people to find money")</f>
        <v>Just called a little ppkm has already disbanded the mosque's celebration, what tried to try to be more close to the little people to find money</v>
      </c>
    </row>
    <row r="2671" ht="15.75" customHeight="1">
      <c r="A2671" s="2">
        <v>2670.0</v>
      </c>
      <c r="B2671" s="5" t="s">
        <v>4872</v>
      </c>
      <c r="C2671" s="6">
        <v>2.0</v>
      </c>
      <c r="D2671" s="10" t="s">
        <v>4873</v>
      </c>
      <c r="E2671" s="8" t="str">
        <f>IFERROR(__xludf.DUMMYFUNCTION("googletranslate(D2671,""id"",""en"")"),"Still PPKM")</f>
        <v>Still PPKM</v>
      </c>
    </row>
    <row r="2672" ht="15.75" customHeight="1">
      <c r="A2672" s="2">
        <v>2671.0</v>
      </c>
      <c r="B2672" s="5" t="s">
        <v>4874</v>
      </c>
      <c r="C2672" s="6">
        <v>1.0</v>
      </c>
      <c r="D2672" s="7" t="s">
        <v>4875</v>
      </c>
      <c r="E2672" s="8" t="str">
        <f>IFERROR(__xludf.DUMMYFUNCTION("googletranslate(D2672,""id"",""en"")"),"Hopefully it will only be until the end of the emergency PPKM O Allah. Wis, it's not strong, where do you know, keep going to be a teacher of the maple, which is complicated because it becomes this homeroom teacher lhooo")</f>
        <v>Hopefully it will only be until the end of the emergency PPKM O Allah. Wis, it's not strong, where do you know, keep going to be a teacher of the maple, which is complicated because it becomes this homeroom teacher lhooo</v>
      </c>
    </row>
    <row r="2673" ht="15.75" customHeight="1">
      <c r="A2673" s="2">
        <v>2672.0</v>
      </c>
      <c r="B2673" s="5" t="s">
        <v>4876</v>
      </c>
      <c r="C2673" s="6">
        <v>3.0</v>
      </c>
      <c r="D2673" s="9" t="s">
        <v>4877</v>
      </c>
      <c r="E2673" s="8" t="str">
        <f>IFERROR(__xludf.DUMMYFUNCTION("googletranslate(D2673,""id"",""en"")"),"Assalamu'alaikum..page .... Monday ... Monday ... still ppkm yes, alright just enjoy it ... good luck always for all ... akiramenai de ... ganbareee")</f>
        <v>Assalamu'alaikum..page .... Monday ... Monday ... still ppkm yes, alright just enjoy it ... good luck always for all ... akiramenai de ... ganbareee</v>
      </c>
    </row>
    <row r="2674" ht="15.75" customHeight="1">
      <c r="A2674" s="2">
        <v>2673.0</v>
      </c>
      <c r="B2674" s="5" t="s">
        <v>4878</v>
      </c>
      <c r="C2674" s="6">
        <v>1.0</v>
      </c>
      <c r="D2674" s="9" t="s">
        <v>4879</v>
      </c>
      <c r="E2674" s="8" t="str">
        <f>IFERROR(__xludf.DUMMYFUNCTION("googletranslate(D2674,""id"",""en"")"),"Emergency PPKM is heavy for many people. Please connect to the solution please. The conscience is used. Everything is also helping a pandemic to obey the proces. Only as simple as using a mask, stay away from the crowd, often wash hands, take a vaccine. A"&amp;"lready. It's not difficult right?")</f>
        <v>Emergency PPKM is heavy for many people. Please connect to the solution please. The conscience is used. Everything is also helping a pandemic to obey the proces. Only as simple as using a mask, stay away from the crowd, often wash hands, take a vaccine. Already. It's not difficult right?</v>
      </c>
    </row>
    <row r="2675" ht="15.75" customHeight="1">
      <c r="A2675" s="2">
        <v>2674.0</v>
      </c>
      <c r="B2675" s="5" t="s">
        <v>4880</v>
      </c>
      <c r="C2675" s="6">
        <v>1.0</v>
      </c>
      <c r="D2675" s="9" t="s">
        <v>4881</v>
      </c>
      <c r="E2675" s="8" t="str">
        <f>IFERROR(__xludf.DUMMYFUNCTION("googletranslate(D2675,""id"",""en"")"),"PPKM instead Klamuran")</f>
        <v>PPKM instead Klamuran</v>
      </c>
    </row>
    <row r="2676" ht="15.75" customHeight="1">
      <c r="A2676" s="2">
        <v>2675.0</v>
      </c>
      <c r="B2676" s="5" t="s">
        <v>4882</v>
      </c>
      <c r="C2676" s="6">
        <v>1.0</v>
      </c>
      <c r="D2676" s="7" t="s">
        <v>4882</v>
      </c>
      <c r="E2676" s="8" t="str">
        <f>IFERROR(__xludf.DUMMYFUNCTION("googletranslate(D2676,""id"",""en"")"),"semester holiday but ppkm, huhu")</f>
        <v>semester holiday but ppkm, huhu</v>
      </c>
    </row>
    <row r="2677" ht="15.75" customHeight="1">
      <c r="A2677" s="2">
        <v>2676.0</v>
      </c>
      <c r="B2677" s="5" t="s">
        <v>4883</v>
      </c>
      <c r="C2677" s="6">
        <v>3.0</v>
      </c>
      <c r="D2677" s="9" t="s">
        <v>4884</v>
      </c>
      <c r="E2677" s="8" t="str">
        <f>IFERROR(__xludf.DUMMYFUNCTION("googletranslate(D2677,""id"",""en"")"),"Success or not the emergency PPKM, depending on all of us in, the emergency PPKM was applyed only to hold the coupled surge. Never abide. Don't ever lachay your drimmen and family, with obedience to prokes and emergency PPKM rules")</f>
        <v>Success or not the emergency PPKM, depending on all of us in, the emergency PPKM was applyed only to hold the coupled surge. Never abide. Don't ever lachay your drimmen and family, with obedience to prokes and emergency PPKM rules</v>
      </c>
    </row>
    <row r="2678" ht="15.75" customHeight="1">
      <c r="A2678" s="2">
        <v>2677.0</v>
      </c>
      <c r="B2678" s="5" t="s">
        <v>4885</v>
      </c>
      <c r="C2678" s="6">
        <v>1.0</v>
      </c>
      <c r="D2678" s="9" t="s">
        <v>4886</v>
      </c>
      <c r="E2678" s="8" t="str">
        <f>IFERROR(__xludf.DUMMYFUNCTION("googletranslate(D2678,""id"",""en"")"),"At the time of PPKM, the non-covid severely illness is completely ignored if it does not do a Rapid Test Antigen. Imagine who is lay will test. Because of the pH of the acid body then reactive and this was referred to the C19 handling hospital, then it wa"&amp;"s booming. The core disease is not treated. And finally ...")</f>
        <v>At the time of PPKM, the non-covid severely illness is completely ignored if it does not do a Rapid Test Antigen. Imagine who is lay will test. Because of the pH of the acid body then reactive and this was referred to the C19 handling hospital, then it was booming. The core disease is not treated. And finally ...</v>
      </c>
    </row>
    <row r="2679" ht="15.75" customHeight="1">
      <c r="A2679" s="2">
        <v>2678.0</v>
      </c>
      <c r="B2679" s="5" t="s">
        <v>4887</v>
      </c>
      <c r="C2679" s="6">
        <v>1.0</v>
      </c>
      <c r="D2679" s="7" t="s">
        <v>4888</v>
      </c>
      <c r="E2679" s="8" t="str">
        <f>IFERROR(__xludf.DUMMYFUNCTION("googletranslate(D2679,""id"",""en"")"),"It's really sad, my parents' order is very little because of PPKM")</f>
        <v>It's really sad, my parents' order is very little because of PPKM</v>
      </c>
    </row>
    <row r="2680" ht="15.75" customHeight="1">
      <c r="A2680" s="2">
        <v>2679.0</v>
      </c>
      <c r="B2680" s="5" t="s">
        <v>4889</v>
      </c>
      <c r="C2680" s="6">
        <v>2.0</v>
      </c>
      <c r="D2680" s="9" t="s">
        <v>4890</v>
      </c>
      <c r="E2680" s="8" t="str">
        <f>IFERROR(__xludf.DUMMYFUNCTION("googletranslate(D2680,""id"",""en"")"),"Many buffers make a play on PPKM, I forget what the real PPKM is what")</f>
        <v>Many buffers make a play on PPKM, I forget what the real PPKM is what</v>
      </c>
    </row>
    <row r="2681" ht="15.75" customHeight="1">
      <c r="A2681" s="2">
        <v>2680.0</v>
      </c>
      <c r="B2681" s="5" t="s">
        <v>4891</v>
      </c>
      <c r="C2681" s="6">
        <v>3.0</v>
      </c>
      <c r="D2681" s="7" t="s">
        <v>4892</v>
      </c>
      <c r="E2681" s="8" t="str">
        <f>IFERROR(__xludf.DUMMYFUNCTION("googletranslate(D2681,""id"",""en"")"),"The enactment of the emergency restrictions on the emergency community (PPKM) on Java and Bali to July, is the right step to reduce the pace of the case and break the chain of Covid-19 transmission.")</f>
        <v>The enactment of the emergency restrictions on the emergency community (PPKM) on Java and Bali to July, is the right step to reduce the pace of the case and break the chain of Covid-19 transmission.</v>
      </c>
    </row>
    <row r="2682" ht="15.75" customHeight="1">
      <c r="A2682" s="2">
        <v>2681.0</v>
      </c>
      <c r="B2682" s="5" t="s">
        <v>4893</v>
      </c>
      <c r="C2682" s="6">
        <v>3.0</v>
      </c>
      <c r="D2682" s="7" t="s">
        <v>4894</v>
      </c>
      <c r="E2682" s="8" t="str">
        <f>IFERROR(__xludf.DUMMYFUNCTION("googletranslate(D2682,""id"",""en"")"),"With our remain discipline to obey Emergency PPKM, we are optimistic, the spread of Covid-19 in Indonesia can be immediately pressed.")</f>
        <v>With our remain discipline to obey Emergency PPKM, we are optimistic, the spread of Covid-19 in Indonesia can be immediately pressed.</v>
      </c>
    </row>
    <row r="2683" ht="15.75" customHeight="1">
      <c r="A2683" s="2">
        <v>2682.0</v>
      </c>
      <c r="B2683" s="5" t="s">
        <v>4895</v>
      </c>
      <c r="C2683" s="6">
        <v>1.0</v>
      </c>
      <c r="D2683" s="9" t="s">
        <v>4895</v>
      </c>
      <c r="E2683" s="8" t="str">
        <f>IFERROR(__xludf.DUMMYFUNCTION("googletranslate(D2683,""id"",""en"")"),"The PPKM officers should be the first example of the Prokes who are right, just renew the people. No instead the mask in the chin then angry in front of the face. Ehh ... Tu Droplet is pushed around. TAUKK Local Ujan")</f>
        <v>The PPKM officers should be the first example of the Prokes who are right, just renew the people. No instead the mask in the chin then angry in front of the face. Ehh ... Tu Droplet is pushed around. TAUKK Local Ujan</v>
      </c>
    </row>
    <row r="2684" ht="15.75" customHeight="1">
      <c r="A2684" s="2">
        <v>2683.0</v>
      </c>
      <c r="B2684" s="5" t="s">
        <v>4896</v>
      </c>
      <c r="C2684" s="6">
        <v>3.0</v>
      </c>
      <c r="D2684" s="9" t="s">
        <v>4897</v>
      </c>
      <c r="E2684" s="8" t="str">
        <f>IFERROR(__xludf.DUMMYFUNCTION("googletranslate(D2684,""id"",""en"")"),"The government is ready to channel assistance to help the economy of the citizens affected at the time of implementing the Emergency PPKM, million families of beneficiaries. JGN only accepts the forefront, compliance with emergency PPKMs must also be the "&amp;"leader.")</f>
        <v>The government is ready to channel assistance to help the economy of the citizens affected at the time of implementing the Emergency PPKM, million families of beneficiaries. JGN only accepts the forefront, compliance with emergency PPKMs must also be the leader.</v>
      </c>
    </row>
    <row r="2685" ht="15.75" customHeight="1">
      <c r="A2685" s="2">
        <v>2684.0</v>
      </c>
      <c r="B2685" s="5" t="s">
        <v>4898</v>
      </c>
      <c r="C2685" s="6">
        <v>1.0</v>
      </c>
      <c r="D2685" s="9" t="s">
        <v>4898</v>
      </c>
      <c r="E2685" s="8" t="str">
        <f>IFERROR(__xludf.DUMMYFUNCTION("googletranslate(D2685,""id"",""en"")"),"This seseless oath clay traders are annoyed. which is a whose trade gives you to the child at the child at home, if it is forced to be at home as long as this PPKM then no income is, how come, forced to death, what do you do?")</f>
        <v>This seseless oath clay traders are annoyed. which is a whose trade gives you to the child at the child at home, if it is forced to be at home as long as this PPKM then no income is, how come, forced to death, what do you do?</v>
      </c>
    </row>
    <row r="2686" ht="15.75" customHeight="1">
      <c r="A2686" s="2">
        <v>2685.0</v>
      </c>
      <c r="B2686" s="5" t="s">
        <v>4899</v>
      </c>
      <c r="C2686" s="6">
        <v>1.0</v>
      </c>
      <c r="D2686" s="7" t="s">
        <v>4900</v>
      </c>
      <c r="E2686" s="8" t="str">
        <f>IFERROR(__xludf.DUMMYFUNCTION("googletranslate(D2686,""id"",""en"")"),"My sister is not WFH, she works the factory still entered even the PPKM was broken through news.")</f>
        <v>My sister is not WFH, she works the factory still entered even the PPKM was broken through news.</v>
      </c>
    </row>
    <row r="2687" ht="15.75" customHeight="1">
      <c r="A2687" s="2">
        <v>2686.0</v>
      </c>
      <c r="B2687" s="5" t="s">
        <v>4901</v>
      </c>
      <c r="C2687" s="6">
        <v>3.0</v>
      </c>
      <c r="D2687" s="9" t="s">
        <v>4902</v>
      </c>
      <c r="E2687" s="8" t="str">
        <f>IFERROR(__xludf.DUMMYFUNCTION("googletranslate(D2687,""id"",""en"")"),"The aim is that the community remains obedient to the prames to the deadline for implementing Emergency PPKM, it consists by being able to take advantage of the time to join the free vaccine which saves life more important than just economical Slumun Slam"&amp;"et")</f>
        <v>The aim is that the community remains obedient to the prames to the deadline for implementing Emergency PPKM, it consists by being able to take advantage of the time to join the free vaccine which saves life more important than just economical Slumun Slamet</v>
      </c>
    </row>
    <row r="2688" ht="15.75" customHeight="1">
      <c r="A2688" s="2">
        <v>2687.0</v>
      </c>
      <c r="B2688" s="5" t="s">
        <v>4903</v>
      </c>
      <c r="C2688" s="6">
        <v>1.0</v>
      </c>
      <c r="D2688" s="7" t="s">
        <v>4904</v>
      </c>
      <c r="E2688" s="8" t="str">
        <f>IFERROR(__xludf.DUMMYFUNCTION("googletranslate(D2688,""id"",""en"")"),"Really sad to see traders &amp; amp; PPKM affected employees ...")</f>
        <v>Really sad to see traders &amp; amp; PPKM affected employees ...</v>
      </c>
    </row>
    <row r="2689" ht="15.75" customHeight="1">
      <c r="A2689" s="2">
        <v>2688.0</v>
      </c>
      <c r="B2689" s="5" t="s">
        <v>4905</v>
      </c>
      <c r="C2689" s="6">
        <v>3.0</v>
      </c>
      <c r="D2689" s="7" t="s">
        <v>4906</v>
      </c>
      <c r="E2689" s="8" t="str">
        <f>IFERROR(__xludf.DUMMYFUNCTION("googletranslate(D2689,""id"",""en"")"),"Italy won the issue of Gaes issue. Keep Kawal PPKM, you must still use your mask.")</f>
        <v>Italy won the issue of Gaes issue. Keep Kawal PPKM, you must still use your mask.</v>
      </c>
    </row>
    <row r="2690" ht="15.75" customHeight="1">
      <c r="A2690" s="2">
        <v>2689.0</v>
      </c>
      <c r="B2690" s="5" t="s">
        <v>4907</v>
      </c>
      <c r="C2690" s="6">
        <v>3.0</v>
      </c>
      <c r="D2690" s="7" t="s">
        <v>4908</v>
      </c>
      <c r="E2690" s="8" t="str">
        <f>IFERROR(__xludf.DUMMYFUNCTION("googletranslate(D2690,""id"",""en"")"),"Social assistance to help the economy during the Emergency Effective PPKM period is given every month of IDR 300 thousand per KPM per month. This is to alleviate the affected community in the implementation of the PPKM.")</f>
        <v>Social assistance to help the economy during the Emergency Effective PPKM period is given every month of IDR 300 thousand per KPM per month. This is to alleviate the affected community in the implementation of the PPKM.</v>
      </c>
    </row>
    <row r="2691" ht="15.75" customHeight="1">
      <c r="A2691" s="2">
        <v>2690.0</v>
      </c>
      <c r="B2691" s="5" t="s">
        <v>4909</v>
      </c>
      <c r="C2691" s="6">
        <v>3.0</v>
      </c>
      <c r="D2691" s="7" t="s">
        <v>4910</v>
      </c>
      <c r="E2691" s="8" t="str">
        <f>IFERROR(__xludf.DUMMYFUNCTION("googletranslate(D2691,""id"",""en"")"),"Emergency PPKM became the right step to decide on the chain of transmission of Covid19.Jadilah the people who helped care, did not even worry.")</f>
        <v>Emergency PPKM became the right step to decide on the chain of transmission of Covid19.Jadilah the people who helped care, did not even worry.</v>
      </c>
    </row>
    <row r="2692" ht="15.75" customHeight="1">
      <c r="A2692" s="2">
        <v>2691.0</v>
      </c>
      <c r="B2692" s="5" t="s">
        <v>4911</v>
      </c>
      <c r="C2692" s="6">
        <v>1.0</v>
      </c>
      <c r="D2692" s="9" t="s">
        <v>4912</v>
      </c>
      <c r="E2692" s="8" t="str">
        <f>IFERROR(__xludf.DUMMYFUNCTION("googletranslate(D2692,""id"",""en"")"),"Ni what example needs to be ingrris ppkm lockdown ,, aya aya wae ,, live more suffering ,, already poor all in limited ,, they have a good dashable country even though I don't know if covid is starting to cry too")</f>
        <v>Ni what example needs to be ingrris ppkm lockdown ,, aya aya wae ,, live more suffering ,, already poor all in limited ,, they have a good dashable country even though I don't know if covid is starting to cry too</v>
      </c>
    </row>
    <row r="2693" ht="15.75" customHeight="1">
      <c r="A2693" s="2">
        <v>2692.0</v>
      </c>
      <c r="B2693" s="5" t="s">
        <v>4906</v>
      </c>
      <c r="C2693" s="6">
        <v>3.0</v>
      </c>
      <c r="D2693" s="7" t="s">
        <v>4906</v>
      </c>
      <c r="E2693" s="8" t="str">
        <f>IFERROR(__xludf.DUMMYFUNCTION("googletranslate(D2693,""id"",""en"")"),"Italy won the issue of Gaes issue. Keep Kawal PPKM, you must still use your mask.")</f>
        <v>Italy won the issue of Gaes issue. Keep Kawal PPKM, you must still use your mask.</v>
      </c>
    </row>
    <row r="2694" ht="15.75" customHeight="1">
      <c r="A2694" s="2">
        <v>2693.0</v>
      </c>
      <c r="B2694" s="5" t="s">
        <v>4913</v>
      </c>
      <c r="C2694" s="6">
        <v>2.0</v>
      </c>
      <c r="D2694" s="9" t="s">
        <v>4914</v>
      </c>
      <c r="E2694" s="8" t="str">
        <f>IFERROR(__xludf.DUMMYFUNCTION("googletranslate(D2694,""id"",""en"")"),"His blood vessels are doing gathering, even though PPKM &amp; amp; Socdis")</f>
        <v>His blood vessels are doing gathering, even though PPKM &amp; amp; Socdis</v>
      </c>
    </row>
    <row r="2695" ht="15.75" customHeight="1">
      <c r="A2695" s="2">
        <v>2694.0</v>
      </c>
      <c r="B2695" s="5" t="s">
        <v>4915</v>
      </c>
      <c r="C2695" s="6">
        <v>2.0</v>
      </c>
      <c r="D2695" s="7" t="s">
        <v>4916</v>
      </c>
      <c r="E2695" s="8" t="str">
        <f>IFERROR(__xludf.DUMMYFUNCTION("googletranslate(D2695,""id"",""en"")"),"What is the meaning of PPKM, Wkwkw")</f>
        <v>What is the meaning of PPKM, Wkwkw</v>
      </c>
    </row>
    <row r="2696" ht="15.75" customHeight="1">
      <c r="A2696" s="2">
        <v>2695.0</v>
      </c>
      <c r="B2696" s="5" t="s">
        <v>4917</v>
      </c>
      <c r="C2696" s="6">
        <v>1.0</v>
      </c>
      <c r="D2696" s="9" t="s">
        <v>4918</v>
      </c>
      <c r="E2696" s="8" t="str">
        <f>IFERROR(__xludf.DUMMYFUNCTION("googletranslate(D2696,""id"",""en"")"),"Guapency can't remind that, why should you use punishment. Dah x See the way they discipline the people when the PPKM but it's a sense of humanity at all. If you really prohibit their love for their sales money for their sales !! Solution woy !!!")</f>
        <v>Guapency can't remind that, why should you use punishment. Dah x See the way they discipline the people when the PPKM but it's a sense of humanity at all. If you really prohibit their love for their sales money for their sales !! Solution woy !!!</v>
      </c>
    </row>
    <row r="2697" ht="15.75" customHeight="1">
      <c r="A2697" s="2">
        <v>2696.0</v>
      </c>
      <c r="B2697" s="5" t="s">
        <v>4919</v>
      </c>
      <c r="C2697" s="6">
        <v>2.0</v>
      </c>
      <c r="D2697" s="9" t="s">
        <v>4920</v>
      </c>
      <c r="E2697" s="8" t="str">
        <f>IFERROR(__xludf.DUMMYFUNCTION("googletranslate(D2697,""id"",""en"")"),"The kiosk was closed from the long time instead he was questioned by the police officer where. Evidently to Kangen Soto What is it. woy pak ppkm holiday first")</f>
        <v>The kiosk was closed from the long time instead he was questioned by the police officer where. Evidently to Kangen Soto What is it. woy pak ppkm holiday first</v>
      </c>
    </row>
    <row r="2698" ht="15.75" customHeight="1">
      <c r="A2698" s="2">
        <v>2697.0</v>
      </c>
      <c r="B2698" s="5" t="s">
        <v>4921</v>
      </c>
      <c r="C2698" s="6">
        <v>1.0</v>
      </c>
      <c r="D2698" s="9" t="s">
        <v>4922</v>
      </c>
      <c r="E2698" s="8" t="str">
        <f>IFERROR(__xludf.DUMMYFUNCTION("googletranslate(D2698,""id"",""en"")"),"The government must make sure the PPKM officers are educated, can communicate well, have empathy and professionals. Don't lose thugs! If so, just asking for people's war ...")</f>
        <v>The government must make sure the PPKM officers are educated, can communicate well, have empathy and professionals. Don't lose thugs! If so, just asking for people's war ...</v>
      </c>
    </row>
    <row r="2699" ht="15.75" customHeight="1">
      <c r="A2699" s="2">
        <v>2698.0</v>
      </c>
      <c r="B2699" s="5" t="s">
        <v>4923</v>
      </c>
      <c r="C2699" s="6">
        <v>1.0</v>
      </c>
      <c r="D2699" s="7" t="s">
        <v>4924</v>
      </c>
      <c r="E2699" s="8" t="str">
        <f>IFERROR(__xludf.DUMMYFUNCTION("googletranslate(D2699,""id"",""en"")"),"I was very disappointed with the actions of the apparatus in the ongoing PPKM operation")</f>
        <v>I was very disappointed with the actions of the apparatus in the ongoing PPKM operation</v>
      </c>
    </row>
    <row r="2700" ht="15.75" customHeight="1">
      <c r="A2700" s="2">
        <v>2699.0</v>
      </c>
      <c r="B2700" s="5" t="s">
        <v>4925</v>
      </c>
      <c r="C2700" s="6">
        <v>1.0</v>
      </c>
      <c r="D2700" s="9" t="s">
        <v>4926</v>
      </c>
      <c r="E2700" s="8" t="str">
        <f>IFERROR(__xludf.DUMMYFUNCTION("googletranslate(D2700,""id"",""en"")"),"What is the solution? Nahan eat until PPKM finished?")</f>
        <v>What is the solution? Nahan eat until PPKM finished?</v>
      </c>
    </row>
    <row r="2701" ht="15.75" customHeight="1">
      <c r="A2701" s="2">
        <v>2700.0</v>
      </c>
      <c r="B2701" s="5" t="s">
        <v>4927</v>
      </c>
      <c r="C2701" s="6">
        <v>1.0</v>
      </c>
      <c r="D2701" s="7" t="s">
        <v>4928</v>
      </c>
      <c r="E2701" s="8" t="str">
        <f>IFERROR(__xludf.DUMMYFUNCTION("googletranslate(D2701,""id"",""en"")"),"How come it's already ppkm")</f>
        <v>How come it's already ppkm</v>
      </c>
    </row>
    <row r="2702" ht="15.75" customHeight="1">
      <c r="A2702" s="2">
        <v>2701.0</v>
      </c>
      <c r="B2702" s="5" t="s">
        <v>4929</v>
      </c>
      <c r="C2702" s="6">
        <v>2.0</v>
      </c>
      <c r="D2702" s="7" t="s">
        <v>4930</v>
      </c>
      <c r="E2702" s="8" t="str">
        <f>IFERROR(__xludf.DUMMYFUNCTION("googletranslate(D2702,""id"",""en"")"),"After Nobar, I said, PPKM - Mancinopung winning weeks didn't want to lose to talking about the mingris victory week")</f>
        <v>After Nobar, I said, PPKM - Mancinopung winning weeks didn't want to lose to talking about the mingris victory week</v>
      </c>
    </row>
    <row r="2703" ht="15.75" customHeight="1">
      <c r="A2703" s="2">
        <v>2702.0</v>
      </c>
      <c r="B2703" s="5" t="s">
        <v>4931</v>
      </c>
      <c r="C2703" s="6">
        <v>1.0</v>
      </c>
      <c r="D2703" s="7" t="s">
        <v>4932</v>
      </c>
      <c r="E2703" s="8" t="str">
        <f>IFERROR(__xludf.DUMMYFUNCTION("googletranslate(D2703,""id"",""en"")"),"Semester holiday but ppkm")</f>
        <v>Semester holiday but ppkm</v>
      </c>
    </row>
    <row r="2704" ht="15.75" customHeight="1">
      <c r="A2704" s="2">
        <v>2703.0</v>
      </c>
      <c r="B2704" s="5" t="s">
        <v>4933</v>
      </c>
      <c r="C2704" s="6">
        <v>3.0</v>
      </c>
      <c r="D2704" s="7" t="s">
        <v>4934</v>
      </c>
      <c r="E2704" s="8" t="str">
        <f>IFERROR(__xludf.DUMMYFUNCTION("googletranslate(D2704,""id"",""en"")"),"Emergency PPKM. Healthy People's PPKM")</f>
        <v>Emergency PPKM. Healthy People's PPKM</v>
      </c>
    </row>
    <row r="2705" ht="15.75" customHeight="1">
      <c r="A2705" s="2">
        <v>2704.0</v>
      </c>
      <c r="B2705" s="5" t="s">
        <v>4935</v>
      </c>
      <c r="C2705" s="6">
        <v>1.0</v>
      </c>
      <c r="D2705" s="7" t="s">
        <v>4936</v>
      </c>
      <c r="E2705" s="8" t="str">
        <f>IFERROR(__xludf.DUMMYFUNCTION("googletranslate(D2705,""id"",""en"")"),"PPKM Macettt Toll Road")</f>
        <v>PPKM Macettt Toll Road</v>
      </c>
    </row>
    <row r="2706" ht="15.75" customHeight="1">
      <c r="A2706" s="2">
        <v>2705.0</v>
      </c>
      <c r="B2706" s="5" t="s">
        <v>4937</v>
      </c>
      <c r="C2706" s="6">
        <v>1.0</v>
      </c>
      <c r="D2706" s="9" t="s">
        <v>4938</v>
      </c>
      <c r="E2706" s="8" t="str">
        <f>IFERROR(__xludf.DUMMYFUNCTION("googletranslate(D2706,""id"",""en"")"),"I don't know the term PPKM, Lockdown, or PSBB, everything is the same as a health quarantine. That means that the state must be sufficient for all the needs of its citizens (according to the Law No. Year). Not just limiting then let his citizens be able t"&amp;"o eat what it doesn't.")</f>
        <v>I don't know the term PPKM, Lockdown, or PSBB, everything is the same as a health quarantine. That means that the state must be sufficient for all the needs of its citizens (according to the Law No. Year). Not just limiting then let his citizens be able to eat what it doesn't.</v>
      </c>
    </row>
    <row r="2707" ht="15.75" customHeight="1">
      <c r="A2707" s="2">
        <v>2706.0</v>
      </c>
      <c r="B2707" s="5" t="s">
        <v>4939</v>
      </c>
      <c r="C2707" s="6">
        <v>1.0</v>
      </c>
      <c r="D2707" s="7" t="s">
        <v>4940</v>
      </c>
      <c r="E2707" s="8" t="str">
        <f>IFERROR(__xludf.DUMMYFUNCTION("googletranslate(D2707,""id"",""en"")"),"When the people have been forced to comply with PPKM regulations, the government must fulfill the rights of fundamental people.")</f>
        <v>When the people have been forced to comply with PPKM regulations, the government must fulfill the rights of fundamental people.</v>
      </c>
    </row>
    <row r="2708" ht="15.75" customHeight="1">
      <c r="A2708" s="2">
        <v>2707.0</v>
      </c>
      <c r="B2708" s="5" t="s">
        <v>4941</v>
      </c>
      <c r="C2708" s="6">
        <v>1.0</v>
      </c>
      <c r="D2708" s="7" t="s">
        <v>4941</v>
      </c>
      <c r="E2708" s="8" t="str">
        <f>IFERROR(__xludf.DUMMYFUNCTION("googletranslate(D2708,""id"",""en"")"),"O Allah plis kind of work again, which can accept the final semester students. Dizziness bgt pay a lot of bills but minimal income. Where else PPKM: "")")</f>
        <v>O Allah plis kind of work again, which can accept the final semester students. Dizziness bgt pay a lot of bills but minimal income. Where else PPKM: ")</v>
      </c>
    </row>
    <row r="2709" ht="15.75" customHeight="1">
      <c r="A2709" s="2">
        <v>2708.0</v>
      </c>
      <c r="B2709" s="5" t="s">
        <v>4942</v>
      </c>
      <c r="C2709" s="6">
        <v>3.0</v>
      </c>
      <c r="D2709" s="7" t="s">
        <v>4943</v>
      </c>
      <c r="E2709" s="8" t="str">
        <f>IFERROR(__xludf.DUMMYFUNCTION("googletranslate(D2709,""id"",""en"")"),"Support the sentence against Rizieq Shihab. Healthy People's PPKM")</f>
        <v>Support the sentence against Rizieq Shihab. Healthy People's PPKM</v>
      </c>
    </row>
    <row r="2710" ht="15.75" customHeight="1">
      <c r="A2710" s="2">
        <v>2709.0</v>
      </c>
      <c r="B2710" s="5" t="s">
        <v>4944</v>
      </c>
      <c r="C2710" s="6">
        <v>2.0</v>
      </c>
      <c r="D2710" s="7" t="s">
        <v>4944</v>
      </c>
      <c r="E2710" s="8" t="str">
        <f>IFERROR(__xludf.DUMMYFUNCTION("googletranslate(D2710,""id"",""en"")"),"Dah ppkm kah batam today?")</f>
        <v>Dah ppkm kah batam today?</v>
      </c>
    </row>
    <row r="2711" ht="15.75" customHeight="1">
      <c r="A2711" s="2">
        <v>2710.0</v>
      </c>
      <c r="B2711" s="5" t="s">
        <v>4945</v>
      </c>
      <c r="C2711" s="6">
        <v>1.0</v>
      </c>
      <c r="D2711" s="7" t="s">
        <v>4946</v>
      </c>
      <c r="E2711" s="8" t="str">
        <f>IFERROR(__xludf.DUMMYFUNCTION("googletranslate(D2711,""id"",""en"")"),"I think now all millennials are average on smart and can filter something in a wise way. It turned out that there were many who were angry with Murkanya because of the PPKM enforcement.")</f>
        <v>I think now all millennials are average on smart and can filter something in a wise way. It turned out that there were many who were angry with Murkanya because of the PPKM enforcement.</v>
      </c>
    </row>
    <row r="2712" ht="15.75" customHeight="1">
      <c r="A2712" s="2">
        <v>2711.0</v>
      </c>
      <c r="B2712" s="5" t="s">
        <v>4947</v>
      </c>
      <c r="C2712" s="6">
        <v>1.0</v>
      </c>
      <c r="D2712" s="7" t="s">
        <v>4948</v>
      </c>
      <c r="E2712" s="8" t="str">
        <f>IFERROR(__xludf.DUMMYFUNCTION("googletranslate(D2712,""id"",""en"")"),"Stop TKA China, we are Emergency PPKM. Hear the voice of the people. Click YouTube Watch Subscribe")</f>
        <v>Stop TKA China, we are Emergency PPKM. Hear the voice of the people. Click YouTube Watch Subscribe</v>
      </c>
    </row>
    <row r="2713" ht="15.75" customHeight="1">
      <c r="A2713" s="2">
        <v>2712.0</v>
      </c>
      <c r="B2713" s="5" t="s">
        <v>4949</v>
      </c>
      <c r="C2713" s="6">
        <v>1.0</v>
      </c>
      <c r="D2713" s="7" t="s">
        <v>4950</v>
      </c>
      <c r="E2713" s="8" t="str">
        <f>IFERROR(__xludf.DUMMYFUNCTION("googletranslate(D2713,""id"",""en"")"),"Halah. Bansos are corrupted. How do you sell the new capital? What are you selling vaccines? Just admit, can't manage the people's tax money. MAKA PPKM, Mr. President, when back?")</f>
        <v>Halah. Bansos are corrupted. How do you sell the new capital? What are you selling vaccines? Just admit, can't manage the people's tax money. MAKA PPKM, Mr. President, when back?</v>
      </c>
    </row>
    <row r="2714" ht="15.75" customHeight="1">
      <c r="A2714" s="2">
        <v>2713.0</v>
      </c>
      <c r="B2714" s="5" t="s">
        <v>4951</v>
      </c>
      <c r="C2714" s="6">
        <v>1.0</v>
      </c>
      <c r="D2714" s="9" t="s">
        <v>4952</v>
      </c>
      <c r="E2714" s="8" t="str">
        <f>IFERROR(__xludf.DUMMYFUNCTION("googletranslate(D2714,""id"",""en"")"),"Geblek, the English uses lockdown, if quarantine is really quarantine. The government there is playing it and not doing the silly thing using the term psbb, ppkm hahahahasatu lg, free mrk vaccine ngk pay. While Indonesia has started towards business. Our "&amp;"government is still far away")</f>
        <v>Geblek, the English uses lockdown, if quarantine is really quarantine. The government there is playing it and not doing the silly thing using the term psbb, ppkm hahahahasatu lg, free mrk vaccine ngk pay. While Indonesia has started towards business. Our government is still far away</v>
      </c>
    </row>
    <row r="2715" ht="15.75" customHeight="1">
      <c r="A2715" s="2">
        <v>2714.0</v>
      </c>
      <c r="B2715" s="5" t="s">
        <v>4953</v>
      </c>
      <c r="C2715" s="6">
        <v>2.0</v>
      </c>
      <c r="D2715" s="7" t="s">
        <v>4954</v>
      </c>
      <c r="E2715" s="8" t="str">
        <f>IFERROR(__xludf.DUMMYFUNCTION("googletranslate(D2715,""id"",""en"")"),"Well, I want to go home again, brother, ppkm wkwk")</f>
        <v>Well, I want to go home again, brother, ppkm wkwk</v>
      </c>
    </row>
    <row r="2716" ht="15.75" customHeight="1">
      <c r="A2716" s="2">
        <v>2715.0</v>
      </c>
      <c r="B2716" s="5" t="s">
        <v>4955</v>
      </c>
      <c r="C2716" s="6">
        <v>2.0</v>
      </c>
      <c r="D2716" s="9" t="s">
        <v>4956</v>
      </c>
      <c r="E2716" s="8" t="str">
        <f>IFERROR(__xludf.DUMMYFUNCTION("googletranslate(D2716,""id"",""en"")"),"lha why is it like this? this is what I know: Pak Anies in Jakarta when the Emergency PPKM, he walked out of the area before the Emergency PPKM for food cooperation. Please correct if I mistakenly greet healthy greetings")</f>
        <v>lha why is it like this? this is what I know: Pak Anies in Jakarta when the Emergency PPKM, he walked out of the area before the Emergency PPKM for food cooperation. Please correct if I mistakenly greet healthy greetings</v>
      </c>
    </row>
    <row r="2717" ht="15.75" customHeight="1">
      <c r="A2717" s="2">
        <v>2716.0</v>
      </c>
      <c r="B2717" s="5" t="s">
        <v>4957</v>
      </c>
      <c r="C2717" s="6">
        <v>2.0</v>
      </c>
      <c r="D2717" s="7" t="s">
        <v>4958</v>
      </c>
      <c r="E2717" s="8" t="str">
        <f>IFERROR(__xludf.DUMMYFUNCTION("googletranslate(D2717,""id"",""en"")"),"ppkm [morning morning miss it]")</f>
        <v>ppkm [morning morning miss it]</v>
      </c>
    </row>
    <row r="2718" ht="15.75" customHeight="1">
      <c r="A2718" s="2">
        <v>2717.0</v>
      </c>
      <c r="B2718" s="5" t="s">
        <v>4959</v>
      </c>
      <c r="C2718" s="6">
        <v>2.0</v>
      </c>
      <c r="D2718" s="7" t="s">
        <v>4960</v>
      </c>
      <c r="E2718" s="8" t="str">
        <f>IFERROR(__xludf.DUMMYFUNCTION("googletranslate(D2718,""id"",""en"")"),"How come it can be here when I ppkm, yesterday morning I wanted to run there just being told to behind")</f>
        <v>How come it can be here when I ppkm, yesterday morning I wanted to run there just being told to behind</v>
      </c>
    </row>
    <row r="2719" ht="15.75" customHeight="1">
      <c r="A2719" s="2">
        <v>2718.0</v>
      </c>
      <c r="B2719" s="5" t="s">
        <v>4961</v>
      </c>
      <c r="C2719" s="6">
        <v>2.0</v>
      </c>
      <c r="D2719" s="9" t="s">
        <v>4962</v>
      </c>
      <c r="E2719" s="8" t="str">
        <f>IFERROR(__xludf.DUMMYFUNCTION("googletranslate(D2719,""id"",""en"")"),"Still on this week, the Teteh MPLS via Yutub, Ujang because the PPKM became the schedule wasn't there. Because new books can be taken after the date.")</f>
        <v>Still on this week, the Teteh MPLS via Yutub, Ujang because the PPKM became the schedule wasn't there. Because new books can be taken after the date.</v>
      </c>
    </row>
    <row r="2720" ht="15.75" customHeight="1">
      <c r="A2720" s="2">
        <v>2719.0</v>
      </c>
      <c r="B2720" s="5" t="s">
        <v>4963</v>
      </c>
      <c r="C2720" s="6">
        <v>1.0</v>
      </c>
      <c r="D2720" s="7" t="s">
        <v>4964</v>
      </c>
      <c r="E2720" s="8" t="str">
        <f>IFERROR(__xludf.DUMMYFUNCTION("googletranslate(D2720,""id"",""en"")"),"Like the extension of the PPKM (Mr. Pres when backwards) ???")</f>
        <v>Like the extension of the PPKM (Mr. Pres when backwards) ???</v>
      </c>
    </row>
    <row r="2721" ht="15.75" customHeight="1">
      <c r="A2721" s="2">
        <v>2720.0</v>
      </c>
      <c r="B2721" s="5" t="s">
        <v>4965</v>
      </c>
      <c r="C2721" s="6">
        <v>2.0</v>
      </c>
      <c r="D2721" s="7" t="s">
        <v>4966</v>
      </c>
      <c r="E2721" s="8" t="str">
        <f>IFERROR(__xludf.DUMMYFUNCTION("googletranslate(D2721,""id"",""en"")"),"Kan again PPKM, ahaha!")</f>
        <v>Kan again PPKM, ahaha!</v>
      </c>
    </row>
    <row r="2722" ht="15.75" customHeight="1">
      <c r="A2722" s="2">
        <v>2721.0</v>
      </c>
      <c r="B2722" s="5" t="s">
        <v>4967</v>
      </c>
      <c r="C2722" s="6">
        <v>1.0</v>
      </c>
      <c r="D2722" s="7" t="s">
        <v>4968</v>
      </c>
      <c r="E2722" s="8" t="str">
        <f>IFERROR(__xludf.DUMMYFUNCTION("googletranslate(D2722,""id"",""en"")"),"Psbb time ... thank you for the money ... when the ppkm (emergency) ... the money has run out mostly melted by people who are not uncivilized..h..masih want to go further")</f>
        <v>Psbb time ... thank you for the money ... when the ppkm (emergency) ... the money has run out mostly melted by people who are not uncivilized..h..masih want to go further</v>
      </c>
    </row>
    <row r="2723" ht="15.75" customHeight="1">
      <c r="A2723" s="2">
        <v>2722.0</v>
      </c>
      <c r="B2723" s="5" t="s">
        <v>4969</v>
      </c>
      <c r="C2723" s="6">
        <v>2.0</v>
      </c>
      <c r="D2723" s="7" t="s">
        <v>4970</v>
      </c>
      <c r="E2723" s="8" t="str">
        <f>IFERROR(__xludf.DUMMYFUNCTION("googletranslate(D2723,""id"",""en"")"),"again my office ppkm ga doesn't intend wfh ??")</f>
        <v>again my office ppkm ga doesn't intend wfh ??</v>
      </c>
    </row>
    <row r="2724" ht="15.75" customHeight="1">
      <c r="A2724" s="2">
        <v>2723.0</v>
      </c>
      <c r="B2724" s="5" t="s">
        <v>4971</v>
      </c>
      <c r="C2724" s="6">
        <v>1.0</v>
      </c>
      <c r="D2724" s="7" t="s">
        <v>4972</v>
      </c>
      <c r="E2724" s="8" t="str">
        <f>IFERROR(__xludf.DUMMYFUNCTION("googletranslate(D2724,""id"",""en"")"),"This polyclinic follows the closed slm ppkm bgt nih")</f>
        <v>This polyclinic follows the closed slm ppkm bgt nih</v>
      </c>
    </row>
    <row r="2725" ht="15.75" customHeight="1">
      <c r="A2725" s="2">
        <v>2724.0</v>
      </c>
      <c r="B2725" s="5" t="s">
        <v>4973</v>
      </c>
      <c r="C2725" s="6">
        <v>2.0</v>
      </c>
      <c r="D2725" s="9" t="s">
        <v>4974</v>
      </c>
      <c r="E2725" s="8" t="str">
        <f>IFERROR(__xludf.DUMMYFUNCTION("googletranslate(D2725,""id"",""en"")"),"PPKM ye bus, but shut up from the front of the mosque, forget the kedalem hahaha")</f>
        <v>PPKM ye bus, but shut up from the front of the mosque, forget the kedalem hahaha</v>
      </c>
    </row>
    <row r="2726" ht="15.75" customHeight="1">
      <c r="A2726" s="2">
        <v>2725.0</v>
      </c>
      <c r="B2726" s="5" t="s">
        <v>4975</v>
      </c>
      <c r="C2726" s="6">
        <v>1.0</v>
      </c>
      <c r="D2726" s="7" t="s">
        <v>4976</v>
      </c>
      <c r="E2726" s="8" t="str">
        <f>IFERROR(__xludf.DUMMYFUNCTION("googletranslate(D2726,""id"",""en"")"),"PPKM is forcibuted by community welfare")</f>
        <v>PPKM is forcibuted by community welfare</v>
      </c>
    </row>
    <row r="2727" ht="15.75" customHeight="1">
      <c r="A2727" s="2">
        <v>2726.0</v>
      </c>
      <c r="B2727" s="5" t="s">
        <v>4977</v>
      </c>
      <c r="C2727" s="6">
        <v>1.0</v>
      </c>
      <c r="D2727" s="7" t="s">
        <v>4978</v>
      </c>
      <c r="E2727" s="8" t="str">
        <f>IFERROR(__xludf.DUMMYFUNCTION("googletranslate(D2727,""id"",""en"")"),"Evidence from the beginning of the pandemic until now, the name PSBB / Prokes / PPKM in Medan Maimun = hoax")</f>
        <v>Evidence from the beginning of the pandemic until now, the name PSBB / Prokes / PPKM in Medan Maimun = hoax</v>
      </c>
    </row>
    <row r="2728" ht="15.75" customHeight="1">
      <c r="A2728" s="2">
        <v>2727.0</v>
      </c>
      <c r="B2728" s="5" t="s">
        <v>4979</v>
      </c>
      <c r="C2728" s="6">
        <v>1.0</v>
      </c>
      <c r="D2728" s="7" t="s">
        <v>4980</v>
      </c>
      <c r="E2728" s="8" t="str">
        <f>IFERROR(__xludf.DUMMYFUNCTION("googletranslate(D2728,""id"",""en"")"),"More gloomy ... the handling of C19 such as PPKM is just making the clashes of apparatus and the people doank")</f>
        <v>More gloomy ... the handling of C19 such as PPKM is just making the clashes of apparatus and the people doank</v>
      </c>
    </row>
    <row r="2729" ht="15.75" customHeight="1">
      <c r="A2729" s="2">
        <v>2728.0</v>
      </c>
      <c r="B2729" s="5" t="s">
        <v>4981</v>
      </c>
      <c r="C2729" s="6">
        <v>2.0</v>
      </c>
      <c r="D2729" s="7" t="s">
        <v>4982</v>
      </c>
      <c r="E2729" s="8" t="str">
        <f>IFERROR(__xludf.DUMMYFUNCTION("googletranslate(D2729,""id"",""en"")"),"Loh? This has been a PPKM Day10 !!! It turns out I'm strong")</f>
        <v>Loh? This has been a PPKM Day10 !!! It turns out I'm strong</v>
      </c>
    </row>
    <row r="2730" ht="15.75" customHeight="1">
      <c r="A2730" s="2">
        <v>2729.0</v>
      </c>
      <c r="B2730" s="5" t="s">
        <v>4983</v>
      </c>
      <c r="C2730" s="6">
        <v>2.0</v>
      </c>
      <c r="D2730" s="10" t="s">
        <v>4984</v>
      </c>
      <c r="E2730" s="8" t="str">
        <f>IFERROR(__xludf.DUMMYFUNCTION("googletranslate(D2730,""id"",""en"")"),"PPKM BLI.")</f>
        <v>PPKM BLI.</v>
      </c>
    </row>
    <row r="2731" ht="15.75" customHeight="1">
      <c r="A2731" s="2">
        <v>2730.0</v>
      </c>
      <c r="B2731" s="5" t="s">
        <v>4985</v>
      </c>
      <c r="C2731" s="6">
        <v>2.0</v>
      </c>
      <c r="D2731" s="10" t="s">
        <v>4986</v>
      </c>
      <c r="E2731" s="8" t="str">
        <f>IFERROR(__xludf.DUMMYFUNCTION("googletranslate(D2731,""id"",""en"")"),"PPKM effect?")</f>
        <v>PPKM effect?</v>
      </c>
    </row>
    <row r="2732" ht="15.75" customHeight="1">
      <c r="A2732" s="2">
        <v>2731.0</v>
      </c>
      <c r="B2732" s="5" t="s">
        <v>4987</v>
      </c>
      <c r="C2732" s="6">
        <v>1.0</v>
      </c>
      <c r="D2732" s="9" t="s">
        <v>4988</v>
      </c>
      <c r="E2732" s="8" t="str">
        <f>IFERROR(__xludf.DUMMYFUNCTION("googletranslate(D2732,""id"",""en"")"),"Shouted ppkm closed there closed here ... but it doesn't give a solution for the people who are hungry ... make the policy but it benefits the rich person who has a fixed income ... the poor? I don't work families. poor..")</f>
        <v>Shouted ppkm closed there closed here ... but it doesn't give a solution for the people who are hungry ... make the policy but it benefits the rich person who has a fixed income ... the poor? I don't work families. poor..</v>
      </c>
    </row>
    <row r="2733" ht="15.75" customHeight="1">
      <c r="A2733" s="2">
        <v>2732.0</v>
      </c>
      <c r="B2733" s="5" t="s">
        <v>4989</v>
      </c>
      <c r="C2733" s="6">
        <v>2.0</v>
      </c>
      <c r="D2733" s="7" t="s">
        <v>4989</v>
      </c>
      <c r="E2733" s="8" t="str">
        <f>IFERROR(__xludf.DUMMYFUNCTION("googletranslate(D2733,""id"",""en"")"),"ppkm bar pingin muncak")</f>
        <v>ppkm bar pingin muncak</v>
      </c>
    </row>
    <row r="2734" ht="15.75" customHeight="1">
      <c r="A2734" s="2">
        <v>2733.0</v>
      </c>
      <c r="B2734" s="5" t="s">
        <v>4990</v>
      </c>
      <c r="C2734" s="6">
        <v>2.0</v>
      </c>
      <c r="D2734" s="7" t="s">
        <v>4991</v>
      </c>
      <c r="E2734" s="8" t="str">
        <f>IFERROR(__xludf.DUMMYFUNCTION("googletranslate(D2734,""id"",""en"")"),"Good ... instead of fitting PPKM invitations can you org? Lg gini pandemic, the problem is definitely thinking about the invitation .....")</f>
        <v>Good ... instead of fitting PPKM invitations can you org? Lg gini pandemic, the problem is definitely thinking about the invitation .....</v>
      </c>
    </row>
    <row r="2735" ht="15.75" customHeight="1">
      <c r="A2735" s="2">
        <v>2734.0</v>
      </c>
      <c r="B2735" s="5" t="s">
        <v>4992</v>
      </c>
      <c r="C2735" s="6">
        <v>1.0</v>
      </c>
      <c r="D2735" s="9" t="s">
        <v>4993</v>
      </c>
      <c r="E2735" s="8" t="str">
        <f>IFERROR(__xludf.DUMMYFUNCTION("googletranslate(D2735,""id"",""en"")"),"Nobody objected to the PPKM was carried out even if Lockdown's choice was taken, with the records of the needs of the community and livestock filled with in accordance with the quarantine law. The state's road could not be able to finance, I think many op"&amp;"tions can be taken by the government, like ...")</f>
        <v>Nobody objected to the PPKM was carried out even if Lockdown's choice was taken, with the records of the needs of the community and livestock filled with in accordance with the quarantine law. The state's road could not be able to finance, I think many options can be taken by the government, like ...</v>
      </c>
    </row>
    <row r="2736" ht="15.75" customHeight="1">
      <c r="A2736" s="2">
        <v>2735.0</v>
      </c>
      <c r="B2736" s="5" t="s">
        <v>4994</v>
      </c>
      <c r="C2736" s="6">
        <v>2.0</v>
      </c>
      <c r="D2736" s="7" t="s">
        <v>4995</v>
      </c>
      <c r="E2736" s="8" t="str">
        <f>IFERROR(__xludf.DUMMYFUNCTION("googletranslate(D2736,""id"",""en"")"),"Mas, already know the fate of the small community when it ppkm?")</f>
        <v>Mas, already know the fate of the small community when it ppkm?</v>
      </c>
    </row>
    <row r="2737" ht="15.75" customHeight="1">
      <c r="A2737" s="2">
        <v>2736.0</v>
      </c>
      <c r="B2737" s="5" t="s">
        <v>4996</v>
      </c>
      <c r="C2737" s="6">
        <v>2.0</v>
      </c>
      <c r="D2737" s="7" t="s">
        <v>4997</v>
      </c>
      <c r="E2737" s="8" t="str">
        <f>IFERROR(__xludf.DUMMYFUNCTION("googletranslate(D2737,""id"",""en"")"),"After the date there is an episode what LG ... is the PPKM method more effective and successful sir ??")</f>
        <v>After the date there is an episode what LG ... is the PPKM method more effective and successful sir ??</v>
      </c>
    </row>
    <row r="2738" ht="15.75" customHeight="1">
      <c r="A2738" s="2">
        <v>2737.0</v>
      </c>
      <c r="B2738" s="5" t="s">
        <v>4998</v>
      </c>
      <c r="C2738" s="6">
        <v>1.0</v>
      </c>
      <c r="D2738" s="9" t="s">
        <v>4999</v>
      </c>
      <c r="E2738" s="8" t="str">
        <f>IFERROR(__xludf.DUMMYFUNCTION("googletranslate(D2738,""id"",""en"")"),"PPKM is a form of rules in which people are HRS obediently. But on the side of the ruler of the relief regime without any fees / assistance.")</f>
        <v>PPKM is a form of rules in which people are HRS obediently. But on the side of the ruler of the relief regime without any fees / assistance.</v>
      </c>
    </row>
    <row r="2739" ht="15.75" customHeight="1">
      <c r="A2739" s="2">
        <v>2738.0</v>
      </c>
      <c r="B2739" s="5" t="s">
        <v>5000</v>
      </c>
      <c r="C2739" s="6">
        <v>2.0</v>
      </c>
      <c r="D2739" s="7" t="s">
        <v>5001</v>
      </c>
      <c r="E2739" s="8" t="str">
        <f>IFERROR(__xludf.DUMMYFUNCTION("googletranslate(D2739,""id"",""en"")"),"PPKPernynah attention later disappeared")</f>
        <v>PPKPernynah attention later disappeared</v>
      </c>
    </row>
    <row r="2740" ht="15.75" customHeight="1">
      <c r="A2740" s="2">
        <v>2739.0</v>
      </c>
      <c r="B2740" s="5" t="s">
        <v>5002</v>
      </c>
      <c r="C2740" s="6">
        <v>1.0</v>
      </c>
      <c r="D2740" s="9" t="s">
        <v>5003</v>
      </c>
      <c r="E2740" s="8" t="str">
        <f>IFERROR(__xludf.DUMMYFUNCTION("googletranslate(D2740,""id"",""en"")"),"I as a merchant's parents felt the impact of the PPKM gini, if you don't sell it can't eat: ""Hopefully this pandemic is getting quickly passed by God:"" (")</f>
        <v>I as a merchant's parents felt the impact of the PPKM gini, if you don't sell it can't eat: "Hopefully this pandemic is getting quickly passed by God:" (</v>
      </c>
    </row>
    <row r="2741" ht="15.75" customHeight="1">
      <c r="A2741" s="2">
        <v>2740.0</v>
      </c>
      <c r="B2741" s="5" t="s">
        <v>5004</v>
      </c>
      <c r="C2741" s="6">
        <v>2.0</v>
      </c>
      <c r="D2741" s="7" t="s">
        <v>5005</v>
      </c>
      <c r="E2741" s="8" t="str">
        <f>IFERROR(__xludf.DUMMYFUNCTION("googletranslate(D2741,""id"",""en"")"),"Ppkm yuk = morning morning cock squirt, help pulse free vcs yuk")</f>
        <v>Ppkm yuk = morning morning cock squirt, help pulse free vcs yuk</v>
      </c>
    </row>
    <row r="2742" ht="15.75" customHeight="1">
      <c r="A2742" s="2">
        <v>2741.0</v>
      </c>
      <c r="B2742" s="5" t="s">
        <v>5006</v>
      </c>
      <c r="C2742" s="6">
        <v>1.0</v>
      </c>
      <c r="D2742" s="7" t="s">
        <v>5007</v>
      </c>
      <c r="E2742" s="8" t="str">
        <f>IFERROR(__xludf.DUMMYFUNCTION("googletranslate(D2742,""id"",""en"")"),"Someone doesn't go home, get ppkm")</f>
        <v>Someone doesn't go home, get ppkm</v>
      </c>
    </row>
    <row r="2743" ht="15.75" customHeight="1">
      <c r="A2743" s="2">
        <v>2742.0</v>
      </c>
      <c r="B2743" s="5" t="s">
        <v>5008</v>
      </c>
      <c r="C2743" s="6">
        <v>2.0</v>
      </c>
      <c r="D2743" s="7" t="s">
        <v>5008</v>
      </c>
      <c r="E2743" s="8" t="str">
        <f>IFERROR(__xludf.DUMMYFUNCTION("googletranslate(D2743,""id"",""en"")"),"PPKM once cared then numb")</f>
        <v>PPKM once cared then numb</v>
      </c>
    </row>
    <row r="2744" ht="15.75" customHeight="1">
      <c r="A2744" s="2">
        <v>2743.0</v>
      </c>
      <c r="B2744" s="5" t="s">
        <v>5009</v>
      </c>
      <c r="C2744" s="6">
        <v>1.0</v>
      </c>
      <c r="D2744" s="7" t="s">
        <v>5010</v>
      </c>
      <c r="E2744" s="8" t="str">
        <f>IFERROR(__xludf.DUMMYFUNCTION("googletranslate(D2744,""id"",""en"")"),"I was a daily worker off, due to the PPKM, almost Sunday did not work ... how can I meet the needs of a month, so I ... ?? BLM LG needs for children's needs and money ... ???")</f>
        <v>I was a daily worker off, due to the PPKM, almost Sunday did not work ... how can I meet the needs of a month, so I ... ?? BLM LG needs for children's needs and money ... ???</v>
      </c>
    </row>
    <row r="2745" ht="15.75" customHeight="1">
      <c r="A2745" s="2">
        <v>2744.0</v>
      </c>
      <c r="B2745" s="5" t="s">
        <v>5011</v>
      </c>
      <c r="C2745" s="6">
        <v>1.0</v>
      </c>
      <c r="D2745" s="9" t="s">
        <v>5012</v>
      </c>
      <c r="E2745" s="8" t="str">
        <f>IFERROR(__xludf.DUMMYFUNCTION("googletranslate(D2745,""id"",""en"")"),"I knew exactly the rotten bgm of the hospital and nakes. Because I plunged around the BDG Hospital - JKT Period PPKM starting from her ICU full of Covid patients even though the ward and empty isolation room were only filled, the coercion of the SBL antig"&amp;"en was given by infusion, referring to all patients to the large hospital")</f>
        <v>I knew exactly the rotten bgm of the hospital and nakes. Because I plunged around the BDG Hospital - JKT Period PPKM starting from her ICU full of Covid patients even though the ward and empty isolation room were only filled, the coercion of the SBL antigen was given by infusion, referring to all patients to the large hospital</v>
      </c>
    </row>
    <row r="2746" ht="15.75" customHeight="1">
      <c r="A2746" s="2">
        <v>2745.0</v>
      </c>
      <c r="B2746" s="5" t="s">
        <v>5013</v>
      </c>
      <c r="C2746" s="6">
        <v>1.0</v>
      </c>
      <c r="D2746" s="9" t="s">
        <v>5014</v>
      </c>
      <c r="E2746" s="8" t="str">
        <f>IFERROR(__xludf.DUMMYFUNCTION("googletranslate(D2746,""id"",""en"")"),"Rete is very cheap, it's been under a million and and almost% lala the prmonya but it's just empty, as long as a pandemic and PSBB is applied then now I can still die slowly, bro, bro, it's not because the corona is dead, but there's no food, it's hard")</f>
        <v>Rete is very cheap, it's been under a million and and almost% lala the prmonya but it's just empty, as long as a pandemic and PSBB is applied then now I can still die slowly, bro, bro, it's not because the corona is dead, but there's no food, it's hard</v>
      </c>
    </row>
    <row r="2747" ht="15.75" customHeight="1">
      <c r="A2747" s="2">
        <v>2746.0</v>
      </c>
      <c r="B2747" s="5" t="s">
        <v>5015</v>
      </c>
      <c r="C2747" s="6">
        <v>1.0</v>
      </c>
      <c r="D2747" s="9" t="s">
        <v>5016</v>
      </c>
      <c r="E2747" s="8" t="str">
        <f>IFERROR(__xludf.DUMMYFUNCTION("googletranslate(D2747,""id"",""en"")"),"It's hard to go far to lockdown, the rule of PPKM but it's not managed aid far away, it's already strange, it's more than there is no progress of Xixixi")</f>
        <v>It's hard to go far to lockdown, the rule of PPKM but it's not managed aid far away, it's already strange, it's more than there is no progress of Xixixi</v>
      </c>
    </row>
    <row r="2748" ht="15.75" customHeight="1">
      <c r="A2748" s="2">
        <v>2747.0</v>
      </c>
      <c r="B2748" s="5" t="s">
        <v>5017</v>
      </c>
      <c r="C2748" s="6">
        <v>2.0</v>
      </c>
      <c r="D2748" s="7" t="s">
        <v>5018</v>
      </c>
      <c r="E2748" s="8" t="str">
        <f>IFERROR(__xludf.DUMMYFUNCTION("googletranslate(D2748,""id"",""en"")"),"PPKM should not be everywhere")</f>
        <v>PPKM should not be everywhere</v>
      </c>
    </row>
    <row r="2749" ht="15.75" customHeight="1">
      <c r="A2749" s="2">
        <v>2748.0</v>
      </c>
      <c r="B2749" s="5" t="s">
        <v>5019</v>
      </c>
      <c r="C2749" s="6">
        <v>3.0</v>
      </c>
      <c r="D2749" s="9" t="s">
        <v>5019</v>
      </c>
      <c r="E2749" s="8" t="str">
        <f>IFERROR(__xludf.DUMMYFUNCTION("googletranslate(D2749,""id"",""en"")"),"I am from the statement, it is a statement forbidden the work of the PPKM, it is precisely I pray, hopefully the SLL is protected by God and the fortune is smooth. But obeying the prames (double mask, distance, washing hands) it's already an obligation, b"&amp;"ut it's angry, try strange, ew")</f>
        <v>I am from the statement, it is a statement forbidden the work of the PPKM, it is precisely I pray, hopefully the SLL is protected by God and the fortune is smooth. But obeying the prames (double mask, distance, washing hands) it's already an obligation, but it's angry, try strange, ew</v>
      </c>
    </row>
    <row r="2750" ht="15.75" customHeight="1">
      <c r="A2750" s="2">
        <v>2749.0</v>
      </c>
      <c r="B2750" s="5" t="s">
        <v>5020</v>
      </c>
      <c r="C2750" s="6">
        <v>1.0</v>
      </c>
      <c r="D2750" s="9" t="s">
        <v>5021</v>
      </c>
      <c r="E2750" s="8" t="str">
        <f>IFERROR(__xludf.DUMMYFUNCTION("googletranslate(D2750,""id"",""en"")"),"After Lebaran Pak Anies to the BBRP of the agricultural area of ​​the region, the rice harvesting to meet the rice needs of DKI residents. When it has not yet been there has been no PPKM")</f>
        <v>After Lebaran Pak Anies to the BBRP of the agricultural area of ​​the region, the rice harvesting to meet the rice needs of DKI residents. When it has not yet been there has been no PPKM</v>
      </c>
    </row>
    <row r="2751" ht="15.75" customHeight="1">
      <c r="A2751" s="2">
        <v>2750.0</v>
      </c>
      <c r="B2751" s="5" t="s">
        <v>5022</v>
      </c>
      <c r="C2751" s="6">
        <v>1.0</v>
      </c>
      <c r="D2751" s="7" t="s">
        <v>5023</v>
      </c>
      <c r="E2751" s="8" t="str">
        <f>IFERROR(__xludf.DUMMYFUNCTION("googletranslate(D2751,""id"",""en"")"),"PPKM taste of military emergency")</f>
        <v>PPKM taste of military emergency</v>
      </c>
    </row>
    <row r="2752" ht="15.75" customHeight="1">
      <c r="A2752" s="2">
        <v>2751.0</v>
      </c>
      <c r="B2752" s="5" t="s">
        <v>5024</v>
      </c>
      <c r="C2752" s="6">
        <v>1.0</v>
      </c>
      <c r="D2752" s="7" t="s">
        <v>5024</v>
      </c>
      <c r="E2752" s="8" t="str">
        <f>IFERROR(__xludf.DUMMYFUNCTION("googletranslate(D2752,""id"",""en"")"),"Today it starts the name PPKM emergency for BKT yauda is up to")</f>
        <v>Today it starts the name PPKM emergency for BKT yauda is up to</v>
      </c>
    </row>
    <row r="2753" ht="15.75" customHeight="1">
      <c r="A2753" s="2">
        <v>2752.0</v>
      </c>
      <c r="B2753" s="5" t="s">
        <v>5025</v>
      </c>
      <c r="C2753" s="6">
        <v>1.0</v>
      </c>
      <c r="D2753" s="9" t="s">
        <v>5025</v>
      </c>
      <c r="E2753" s="8" t="str">
        <f>IFERROR(__xludf.DUMMYFUNCTION("googletranslate(D2753,""id"",""en"")"),"Extended PPKM until August. the one who blames the ngeyel ngeyel, the data is kolot, woi, clay Indian Chinese at entering Indo. relying on one news doang TCK")</f>
        <v>Extended PPKM until August. the one who blames the ngeyel ngeyel, the data is kolot, woi, clay Indian Chinese at entering Indo. relying on one news doang TCK</v>
      </c>
    </row>
    <row r="2754" ht="15.75" customHeight="1">
      <c r="A2754" s="2">
        <v>2753.0</v>
      </c>
      <c r="B2754" s="5" t="s">
        <v>5026</v>
      </c>
      <c r="C2754" s="6">
        <v>2.0</v>
      </c>
      <c r="D2754" s="10" t="s">
        <v>5027</v>
      </c>
      <c r="E2754" s="8" t="str">
        <f>IFERROR(__xludf.DUMMYFUNCTION("googletranslate(D2754,""id"",""en"")"),"Ppkm dear")</f>
        <v>Ppkm dear</v>
      </c>
    </row>
    <row r="2755" ht="15.75" customHeight="1">
      <c r="A2755" s="2">
        <v>2754.0</v>
      </c>
      <c r="B2755" s="5" t="s">
        <v>5028</v>
      </c>
      <c r="C2755" s="6">
        <v>1.0</v>
      </c>
      <c r="D2755" s="9" t="s">
        <v>5029</v>
      </c>
      <c r="E2755" s="8" t="str">
        <f>IFERROR(__xludf.DUMMYFUNCTION("googletranslate(D2755,""id"",""en"")"),"How come it's good, but if it can be financially lacked in groceries or something like that. Want the PPKM forever if the people are guaranteed to be protested.")</f>
        <v>How come it's good, but if it can be financially lacked in groceries or something like that. Want the PPKM forever if the people are guaranteed to be protested.</v>
      </c>
    </row>
    <row r="2756" ht="15.75" customHeight="1">
      <c r="A2756" s="2">
        <v>2755.0</v>
      </c>
      <c r="B2756" s="5" t="s">
        <v>5030</v>
      </c>
      <c r="C2756" s="6">
        <v>1.0</v>
      </c>
      <c r="D2756" s="9" t="s">
        <v>5031</v>
      </c>
      <c r="E2756" s="8" t="str">
        <f>IFERROR(__xludf.DUMMYFUNCTION("googletranslate(D2756,""id"",""en"")"),"I don't understand the ppkm, what's not, but the first day, I want the item, it's also in Shopee, now you use Sicepat and I've been really sad, I'm the DOM Kalimantan BTW Peu,")</f>
        <v>I don't understand the ppkm, what's not, but the first day, I want the item, it's also in Shopee, now you use Sicepat and I've been really sad, I'm the DOM Kalimantan BTW Peu,</v>
      </c>
    </row>
    <row r="2757" ht="15.75" customHeight="1">
      <c r="A2757" s="2">
        <v>2756.0</v>
      </c>
      <c r="B2757" s="5" t="s">
        <v>5032</v>
      </c>
      <c r="C2757" s="6">
        <v>1.0</v>
      </c>
      <c r="D2757" s="9" t="s">
        <v>5033</v>
      </c>
      <c r="E2757" s="8" t="str">
        <f>IFERROR(__xludf.DUMMYFUNCTION("googletranslate(D2757,""id"",""en"")"),"SCH! Now if the PPKM is extended until mid-August, how about the fate of the KSN-P child? Will it be delayed? Trivia: Orographic rain is a rain that occurs in mountainous areas.")</f>
        <v>SCH! Now if the PPKM is extended until mid-August, how about the fate of the KSN-P child? Will it be delayed? Trivia: Orographic rain is a rain that occurs in mountainous areas.</v>
      </c>
    </row>
    <row r="2758" ht="15.75" customHeight="1">
      <c r="A2758" s="2">
        <v>2757.0</v>
      </c>
      <c r="B2758" s="5" t="s">
        <v>5034</v>
      </c>
      <c r="C2758" s="6">
        <v>1.0</v>
      </c>
      <c r="D2758" s="9" t="s">
        <v>5035</v>
      </c>
      <c r="E2758" s="8" t="str">
        <f>IFERROR(__xludf.DUMMYFUNCTION("googletranslate(D2758,""id"",""en"")"),"if the ppkm is really extended until Sunday or again")</f>
        <v>if the ppkm is really extended until Sunday or again</v>
      </c>
    </row>
    <row r="2759" ht="15.75" customHeight="1">
      <c r="A2759" s="2">
        <v>2758.0</v>
      </c>
      <c r="B2759" s="5" t="s">
        <v>5036</v>
      </c>
      <c r="C2759" s="6">
        <v>2.0</v>
      </c>
      <c r="D2759" s="7" t="s">
        <v>5037</v>
      </c>
      <c r="E2759" s="8" t="str">
        <f>IFERROR(__xludf.DUMMYFUNCTION("googletranslate(D2759,""id"",""en"")"),"ohiya ppkm ... just fortunately my house is close to the jdi mosque every prayer meeting hehehehe")</f>
        <v>ohiya ppkm ... just fortunately my house is close to the jdi mosque every prayer meeting hehehehe</v>
      </c>
    </row>
    <row r="2760" ht="15.75" customHeight="1">
      <c r="A2760" s="2">
        <v>2759.0</v>
      </c>
      <c r="B2760" s="5" t="s">
        <v>5038</v>
      </c>
      <c r="C2760" s="6">
        <v>1.0</v>
      </c>
      <c r="D2760" s="9" t="s">
        <v>5039</v>
      </c>
      <c r="E2760" s="8" t="str">
        <f>IFERROR(__xludf.DUMMYFUNCTION("googletranslate(D2760,""id"",""en"")"),"Wkwk Gatau I KLU Here. Check in IG Try. But if here it seems because it's not really tight that the PPKM is not a maximum of all the ttup, the most blast.")</f>
        <v>Wkwk Gatau I KLU Here. Check in IG Try. But if here it seems because it's not really tight that the PPKM is not a maximum of all the ttup, the most blast.</v>
      </c>
    </row>
    <row r="2761" ht="15.75" customHeight="1">
      <c r="A2761" s="2">
        <v>2760.0</v>
      </c>
      <c r="B2761" s="5" t="s">
        <v>5040</v>
      </c>
      <c r="C2761" s="6">
        <v>2.0</v>
      </c>
      <c r="D2761" s="7" t="s">
        <v>5041</v>
      </c>
      <c r="E2761" s="8" t="str">
        <f>IFERROR(__xludf.DUMMYFUNCTION("googletranslate(D2761,""id"",""en"")"),"Good morning PPKM 3rd week")</f>
        <v>Good morning PPKM 3rd week</v>
      </c>
    </row>
    <row r="2762" ht="15.75" customHeight="1">
      <c r="A2762" s="2">
        <v>2761.0</v>
      </c>
      <c r="B2762" s="5" t="s">
        <v>5042</v>
      </c>
      <c r="C2762" s="6">
        <v>2.0</v>
      </c>
      <c r="D2762" s="7" t="s">
        <v>5043</v>
      </c>
      <c r="E2762" s="8" t="str">
        <f>IFERROR(__xludf.DUMMYFUNCTION("googletranslate(D2762,""id"",""en"")"),"Preparation for welcoming PPKM week plan ....")</f>
        <v>Preparation for welcoming PPKM week plan ....</v>
      </c>
    </row>
    <row r="2763" ht="15.75" customHeight="1">
      <c r="A2763" s="2">
        <v>2762.0</v>
      </c>
      <c r="B2763" s="5" t="s">
        <v>5044</v>
      </c>
      <c r="C2763" s="6">
        <v>1.0</v>
      </c>
      <c r="D2763" s="7" t="s">
        <v>5045</v>
      </c>
      <c r="E2763" s="8" t="str">
        <f>IFERROR(__xludf.DUMMYFUNCTION("googletranslate(D2763,""id"",""en"")"),"Since the micro ppkm just ordered it was lonely added darurot want to extend? Matowaites")</f>
        <v>Since the micro ppkm just ordered it was lonely added darurot want to extend? Matowaites</v>
      </c>
    </row>
    <row r="2764" ht="15.75" customHeight="1">
      <c r="A2764" s="2">
        <v>2763.0</v>
      </c>
      <c r="B2764" s="5" t="s">
        <v>5046</v>
      </c>
      <c r="C2764" s="6">
        <v>1.0</v>
      </c>
      <c r="D2764" s="7" t="s">
        <v>5047</v>
      </c>
      <c r="E2764" s="8" t="str">
        <f>IFERROR(__xludf.DUMMYFUNCTION("googletranslate(D2764,""id"",""en"")"),"""I know why you can make it in our small people who are looking for eating by trading, because you get a monthly salary, we are even to eat tomorrow, still have to slam bone, who will you eat our wife's child?"" Emergency PPKM")</f>
        <v>"I know why you can make it in our small people who are looking for eating by trading, because you get a monthly salary, we are even to eat tomorrow, still have to slam bone, who will you eat our wife's child?" Emergency PPKM</v>
      </c>
    </row>
    <row r="2765" ht="15.75" customHeight="1">
      <c r="A2765" s="2">
        <v>2764.0</v>
      </c>
      <c r="B2765" s="5" t="s">
        <v>5048</v>
      </c>
      <c r="C2765" s="6">
        <v>1.0</v>
      </c>
      <c r="D2765" s="7" t="s">
        <v>5049</v>
      </c>
      <c r="E2765" s="8" t="str">
        <f>IFERROR(__xludf.DUMMYFUNCTION("googletranslate(D2765,""id"",""en"")"),"Ppkm: my morning matured morning")</f>
        <v>Ppkm: my morning matured morning</v>
      </c>
    </row>
    <row r="2766" ht="15.75" customHeight="1">
      <c r="A2766" s="2">
        <v>2765.0</v>
      </c>
      <c r="B2766" s="5" t="s">
        <v>5050</v>
      </c>
      <c r="C2766" s="6">
        <v>1.0</v>
      </c>
      <c r="D2766" s="7" t="s">
        <v>5051</v>
      </c>
      <c r="E2766" s="8" t="str">
        <f>IFERROR(__xludf.DUMMYFUNCTION("googletranslate(D2766,""id"",""en"")"),"The micro ppkm hrus does not make a lot of victims for the people of Indonesia for the area that apply PPKM. But back again, the existing budget is ready for the people? Reflect again, neighboring countries Deficit Krna Anggran The country used for the pe"&amp;"ople JD is not Sengkra Amad.")</f>
        <v>The micro ppkm hrus does not make a lot of victims for the people of Indonesia for the area that apply PPKM. But back again, the existing budget is ready for the people? Reflect again, neighboring countries Deficit Krna Anggran The country used for the people JD is not Sengkra Amad.</v>
      </c>
    </row>
    <row r="2767" ht="15.75" customHeight="1">
      <c r="A2767" s="2">
        <v>2766.0</v>
      </c>
      <c r="B2767" s="5" t="s">
        <v>5052</v>
      </c>
      <c r="C2767" s="6">
        <v>1.0</v>
      </c>
      <c r="D2767" s="7" t="s">
        <v>5052</v>
      </c>
      <c r="E2767" s="8" t="str">
        <f>IFERROR(__xludf.DUMMYFUNCTION("googletranslate(D2767,""id"",""en"")"),"Ppkm = slowly getting mentally")</f>
        <v>Ppkm = slowly getting mentally</v>
      </c>
    </row>
    <row r="2768" ht="15.75" customHeight="1">
      <c r="A2768" s="2">
        <v>2767.0</v>
      </c>
      <c r="B2768" s="5" t="s">
        <v>5053</v>
      </c>
      <c r="C2768" s="6">
        <v>1.0</v>
      </c>
      <c r="D2768" s="7" t="s">
        <v>5053</v>
      </c>
      <c r="E2768" s="8" t="str">
        <f>IFERROR(__xludf.DUMMYFUNCTION("googletranslate(D2768,""id"",""en"")"),"ppkm instead of inviting ngirit but instead invited be wasteful -_-")</f>
        <v>ppkm instead of inviting ngirit but instead invited be wasteful -_-</v>
      </c>
    </row>
    <row r="2769" ht="15.75" customHeight="1">
      <c r="A2769" s="2">
        <v>2768.0</v>
      </c>
      <c r="B2769" s="5" t="s">
        <v>5054</v>
      </c>
      <c r="C2769" s="6">
        <v>2.0</v>
      </c>
      <c r="D2769" s="7" t="s">
        <v>5055</v>
      </c>
      <c r="E2769" s="8" t="str">
        <f>IFERROR(__xludf.DUMMYFUNCTION("googletranslate(D2769,""id"",""en"")"),"During the PPKM, keep opening?")</f>
        <v>During the PPKM, keep opening?</v>
      </c>
    </row>
    <row r="2770" ht="15.75" customHeight="1">
      <c r="A2770" s="2">
        <v>2769.0</v>
      </c>
      <c r="B2770" s="5" t="s">
        <v>5056</v>
      </c>
      <c r="C2770" s="6">
        <v>1.0</v>
      </c>
      <c r="D2770" s="7" t="s">
        <v>5057</v>
      </c>
      <c r="E2770" s="8" t="str">
        <f>IFERROR(__xludf.DUMMYFUNCTION("googletranslate(D2770,""id"",""en"")"),"Yes, it's not healthy, ppkm eh mlh corruption. Let alone corruption of social assistance funds")</f>
        <v>Yes, it's not healthy, ppkm eh mlh corruption. Let alone corruption of social assistance funds</v>
      </c>
    </row>
    <row r="2771" ht="15.75" customHeight="1">
      <c r="A2771" s="2">
        <v>2770.0</v>
      </c>
      <c r="B2771" s="5" t="s">
        <v>5058</v>
      </c>
      <c r="C2771" s="6">
        <v>2.0</v>
      </c>
      <c r="D2771" s="7" t="s">
        <v>5059</v>
      </c>
      <c r="E2771" s="8" t="str">
        <f>IFERROR(__xludf.DUMMYFUNCTION("googletranslate(D2771,""id"",""en"")"),"criticism can obey ttp mandatory ... what are you obedient to prokes, vaccines and ppkm rules?")</f>
        <v>criticism can obey ttp mandatory ... what are you obedient to prokes, vaccines and ppkm rules?</v>
      </c>
    </row>
    <row r="2772" ht="15.75" customHeight="1">
      <c r="A2772" s="2">
        <v>2771.0</v>
      </c>
      <c r="B2772" s="5" t="s">
        <v>5060</v>
      </c>
      <c r="C2772" s="6">
        <v>2.0</v>
      </c>
      <c r="D2772" s="7" t="s">
        <v>5060</v>
      </c>
      <c r="E2772" s="8" t="str">
        <f>IFERROR(__xludf.DUMMYFUNCTION("googletranslate(D2772,""id"",""en"")"),"Hopefully this PPKM will be up to Huhu soon")</f>
        <v>Hopefully this PPKM will be up to Huhu soon</v>
      </c>
    </row>
    <row r="2773" ht="15.75" customHeight="1">
      <c r="A2773" s="2">
        <v>2772.0</v>
      </c>
      <c r="B2773" s="5" t="s">
        <v>5061</v>
      </c>
      <c r="C2773" s="6">
        <v>1.0</v>
      </c>
      <c r="D2773" s="7" t="s">
        <v>5062</v>
      </c>
      <c r="E2773" s="8" t="str">
        <f>IFERROR(__xludf.DUMMYFUNCTION("googletranslate(D2773,""id"",""en"")"),"Yesterday PT was hit by a PPKM inspection, now the rules are getting tougher. So riweuuhhh yeah")</f>
        <v>Yesterday PT was hit by a PPKM inspection, now the rules are getting tougher. So riweuuhhh yeah</v>
      </c>
    </row>
    <row r="2774" ht="15.75" customHeight="1">
      <c r="A2774" s="2">
        <v>2773.0</v>
      </c>
      <c r="B2774" s="5" t="s">
        <v>5063</v>
      </c>
      <c r="C2774" s="6">
        <v>1.0</v>
      </c>
      <c r="D2774" s="7" t="s">
        <v>5064</v>
      </c>
      <c r="E2774" s="8" t="str">
        <f>IFERROR(__xludf.DUMMYFUNCTION("googletranslate(D2774,""id"",""en"")"),"PPKM was extended to the next Sunday (elementary July further July to August) Waow, then the people carik eat it? All your way to close all? Is the installments of home school vehicles etc. You pay? Think, just focus on being sick and vaccine")</f>
        <v>PPKM was extended to the next Sunday (elementary July further July to August) Waow, then the people carik eat it? All your way to close all? Is the installments of home school vehicles etc. You pay? Think, just focus on being sick and vaccine</v>
      </c>
    </row>
    <row r="2775" ht="15.75" customHeight="1">
      <c r="A2775" s="2">
        <v>2774.0</v>
      </c>
      <c r="B2775" s="5" t="s">
        <v>5065</v>
      </c>
      <c r="C2775" s="6">
        <v>1.0</v>
      </c>
      <c r="D2775" s="9" t="s">
        <v>5066</v>
      </c>
      <c r="E2775" s="8" t="str">
        <f>IFERROR(__xludf.DUMMYFUNCTION("googletranslate(D2775,""id"",""en"")"),"w whose day doesn't come out even now buy food outside ... it's not shopping for tbtb ppkm again hadeh")</f>
        <v>w whose day doesn't come out even now buy food outside ... it's not shopping for tbtb ppkm again hadeh</v>
      </c>
    </row>
    <row r="2776" ht="15.75" customHeight="1">
      <c r="A2776" s="2">
        <v>2775.0</v>
      </c>
      <c r="B2776" s="5" t="s">
        <v>5067</v>
      </c>
      <c r="C2776" s="6">
        <v>1.0</v>
      </c>
      <c r="D2776" s="7" t="s">
        <v>5068</v>
      </c>
      <c r="E2776" s="8" t="str">
        <f>IFERROR(__xludf.DUMMYFUNCTION("googletranslate(D2776,""id"",""en"")"),"S7. Swami jd g work slma ppkm. G work can get money. Eat it every day. Puyeng dah.")</f>
        <v>S7. Swami jd g work slma ppkm. G work can get money. Eat it every day. Puyeng dah.</v>
      </c>
    </row>
    <row r="2777" ht="15.75" customHeight="1">
      <c r="A2777" s="2">
        <v>2776.0</v>
      </c>
      <c r="B2777" s="5" t="s">
        <v>5069</v>
      </c>
      <c r="C2777" s="6">
        <v>1.0</v>
      </c>
      <c r="D2777" s="9" t="s">
        <v>5069</v>
      </c>
      <c r="E2777" s="8" t="str">
        <f>IFERROR(__xludf.DUMMYFUNCTION("googletranslate(D2777,""id"",""en"")"),"Honestly Kasian if ppkm gini, a food stall that can't be dine in. Must take away. Yes if there is? If it's not there?")</f>
        <v>Honestly Kasian if ppkm gini, a food stall that can't be dine in. Must take away. Yes if there is? If it's not there?</v>
      </c>
    </row>
    <row r="2778" ht="15.75" customHeight="1">
      <c r="A2778" s="2">
        <v>2777.0</v>
      </c>
      <c r="B2778" s="5" t="s">
        <v>5070</v>
      </c>
      <c r="C2778" s="6">
        <v>1.0</v>
      </c>
      <c r="D2778" s="9" t="s">
        <v>5071</v>
      </c>
      <c r="E2778" s="8" t="str">
        <f>IFERROR(__xludf.DUMMYFUNCTION("googletranslate(D2778,""id"",""en"")"),"Mr. Jokowi who is respectable in my personally as a small people if the BPK extends the Emergency PPKM of the people will get worse ... Disbursed funds to the regional government or the Bansos are not the right solution ...")</f>
        <v>Mr. Jokowi who is respectable in my personally as a small people if the BPK extends the Emergency PPKM of the people will get worse ... Disbursed funds to the regional government or the Bansos are not the right solution ...</v>
      </c>
    </row>
    <row r="2779" ht="15.75" customHeight="1">
      <c r="A2779" s="2">
        <v>2778.0</v>
      </c>
      <c r="B2779" s="5" t="s">
        <v>5072</v>
      </c>
      <c r="C2779" s="6">
        <v>1.0</v>
      </c>
      <c r="D2779" s="7" t="s">
        <v>5073</v>
      </c>
      <c r="E2779" s="8" t="str">
        <f>IFERROR(__xludf.DUMMYFUNCTION("googletranslate(D2779,""id"",""en"")"),"EMAIANGGANG ... Rame, what are you thinking about the case of malem hours, the cafee that is dine in, the mask gapake org even wise is no wise and wisdom. The poor are more worried because the PPKM applies only for those who actually guaranteed safely")</f>
        <v>EMAIANGGANG ... Rame, what are you thinking about the case of malem hours, the cafee that is dine in, the mask gapake org even wise is no wise and wisdom. The poor are more worried because the PPKM applies only for those who actually guaranteed safely</v>
      </c>
    </row>
    <row r="2780" ht="15.75" customHeight="1">
      <c r="A2780" s="2">
        <v>2779.0</v>
      </c>
      <c r="B2780" s="5" t="s">
        <v>5074</v>
      </c>
      <c r="C2780" s="6">
        <v>2.0</v>
      </c>
      <c r="D2780" s="7" t="s">
        <v>5075</v>
      </c>
      <c r="E2780" s="8" t="str">
        <f>IFERROR(__xludf.DUMMYFUNCTION("googletranslate(D2780,""id"",""en"")"),"fess nasi uduk saffira gerel during ppkm not open huh?")</f>
        <v>fess nasi uduk saffira gerel during ppkm not open huh?</v>
      </c>
    </row>
    <row r="2781" ht="15.75" customHeight="1">
      <c r="A2781" s="2">
        <v>2780.0</v>
      </c>
      <c r="B2781" s="5" t="s">
        <v>5076</v>
      </c>
      <c r="C2781" s="6">
        <v>1.0</v>
      </c>
      <c r="D2781" s="7" t="s">
        <v>5076</v>
      </c>
      <c r="E2781" s="8" t="str">
        <f>IFERROR(__xludf.DUMMYFUNCTION("googletranslate(D2781,""id"",""en"")"),"Ppkm, slowly we slowly poorly wkwkk")</f>
        <v>Ppkm, slowly we slowly poorly wkwkk</v>
      </c>
    </row>
    <row r="2782" ht="15.75" customHeight="1">
      <c r="A2782" s="2">
        <v>2781.0</v>
      </c>
      <c r="B2782" s="5" t="s">
        <v>5077</v>
      </c>
      <c r="C2782" s="6">
        <v>2.0</v>
      </c>
      <c r="D2782" s="7" t="s">
        <v>5078</v>
      </c>
      <c r="E2782" s="8" t="str">
        <f>IFERROR(__xludf.DUMMYFUNCTION("googletranslate(D2782,""id"",""en"")"),"delicious buy in the original offline shop but again PPKM")</f>
        <v>delicious buy in the original offline shop but again PPKM</v>
      </c>
    </row>
    <row r="2783" ht="15.75" customHeight="1">
      <c r="A2783" s="2">
        <v>2782.0</v>
      </c>
      <c r="B2783" s="5" t="s">
        <v>5079</v>
      </c>
      <c r="C2783" s="6">
        <v>3.0</v>
      </c>
      <c r="D2783" s="7" t="s">
        <v>5080</v>
      </c>
      <c r="E2783" s="8" t="str">
        <f>IFERROR(__xludf.DUMMYFUNCTION("googletranslate(D2783,""id"",""en"")"),"""PPKM"" only closes road access, sea and air, believe me .. God will continue to open our sustenance access from all directions. Amen.")</f>
        <v>"PPKM" only closes road access, sea and air, believe me .. God will continue to open our sustenance access from all directions. Amen.</v>
      </c>
    </row>
    <row r="2784" ht="15.75" customHeight="1">
      <c r="A2784" s="2">
        <v>2783.0</v>
      </c>
      <c r="B2784" s="5" t="s">
        <v>5081</v>
      </c>
      <c r="C2784" s="6">
        <v>1.0</v>
      </c>
      <c r="D2784" s="7" t="s">
        <v>5082</v>
      </c>
      <c r="E2784" s="8" t="str">
        <f>IFERROR(__xludf.DUMMYFUNCTION("googletranslate(D2784,""id"",""en"")"),"Emergency PPKM for $ NUCTER $ week is run to hold the spread of Covid-19 cases. Community mobility is expected to decrease significantly, said Sri Mulyani. The kind of he has a capacity. Please what your own value said.")</f>
        <v>Emergency PPKM for $ NUCTER $ week is run to hold the spread of Covid-19 cases. Community mobility is expected to decrease significantly, said Sri Mulyani. The kind of he has a capacity. Please what your own value said.</v>
      </c>
    </row>
    <row r="2785" ht="15.75" customHeight="1">
      <c r="A2785" s="2">
        <v>2784.0</v>
      </c>
      <c r="B2785" s="5" t="s">
        <v>5083</v>
      </c>
      <c r="C2785" s="6">
        <v>2.0</v>
      </c>
      <c r="D2785" s="9" t="s">
        <v>5084</v>
      </c>
      <c r="E2785" s="8" t="str">
        <f>IFERROR(__xludf.DUMMYFUNCTION("googletranslate(D2785,""id"",""en"")"),"les it online until the PPKM finished, if the PPKM has only been offline")</f>
        <v>les it online until the PPKM finished, if the PPKM has only been offline</v>
      </c>
    </row>
    <row r="2786" ht="15.75" customHeight="1">
      <c r="A2786" s="2">
        <v>2785.0</v>
      </c>
      <c r="B2786" s="5" t="s">
        <v>5085</v>
      </c>
      <c r="C2786" s="6">
        <v>1.0</v>
      </c>
      <c r="D2786" s="9" t="s">
        <v>5086</v>
      </c>
      <c r="E2786" s="8" t="str">
        <f>IFERROR(__xludf.DUMMYFUNCTION("googletranslate(D2786,""id"",""en"")"),"PSBB, PPKM, especially Lockdown, it will be suitable to be applied in Indonesia ... see the characteristics of the community and the area that is wide ...")</f>
        <v>PSBB, PPKM, especially Lockdown, it will be suitable to be applied in Indonesia ... see the characteristics of the community and the area that is wide ...</v>
      </c>
    </row>
    <row r="2787" ht="15.75" customHeight="1">
      <c r="A2787" s="2">
        <v>2786.0</v>
      </c>
      <c r="B2787" s="5" t="s">
        <v>5087</v>
      </c>
      <c r="C2787" s="6">
        <v>3.0</v>
      </c>
      <c r="D2787" s="9" t="s">
        <v>5088</v>
      </c>
      <c r="E2787" s="8" t="str">
        <f>IFERROR(__xludf.DUMMYFUNCTION("googletranslate(D2787,""id"",""en"")"),"I don't daddy if it's still the case for many times the PPKM period is stopped")</f>
        <v>I don't daddy if it's still the case for many times the PPKM period is stopped</v>
      </c>
    </row>
    <row r="2788" ht="15.75" customHeight="1">
      <c r="A2788" s="2">
        <v>2787.0</v>
      </c>
      <c r="B2788" s="5" t="s">
        <v>5089</v>
      </c>
      <c r="C2788" s="6">
        <v>1.0</v>
      </c>
      <c r="D2788" s="7" t="s">
        <v>5090</v>
      </c>
      <c r="E2788" s="8" t="str">
        <f>IFERROR(__xludf.DUMMYFUNCTION("googletranslate(D2788,""id"",""en"")"),"Extension of PPKM Sunday means the extension of entering the Chinese army / TKA to support the regime ..")</f>
        <v>Extension of PPKM Sunday means the extension of entering the Chinese army / TKA to support the regime ..</v>
      </c>
    </row>
    <row r="2789" ht="15.75" customHeight="1">
      <c r="A2789" s="2">
        <v>2788.0</v>
      </c>
      <c r="B2789" s="5" t="s">
        <v>5091</v>
      </c>
      <c r="C2789" s="6">
        <v>2.0</v>
      </c>
      <c r="D2789" s="7" t="s">
        <v>5092</v>
      </c>
      <c r="E2789" s="8" t="str">
        <f>IFERROR(__xludf.DUMMYFUNCTION("googletranslate(D2789,""id"",""en"")"),"since the emergency ppkm chat wa my friend random once")</f>
        <v>since the emergency ppkm chat wa my friend random once</v>
      </c>
    </row>
    <row r="2790" ht="15.75" customHeight="1">
      <c r="A2790" s="2">
        <v>2789.0</v>
      </c>
      <c r="B2790" s="5" t="s">
        <v>5093</v>
      </c>
      <c r="C2790" s="6">
        <v>1.0</v>
      </c>
      <c r="D2790" s="9" t="s">
        <v>5094</v>
      </c>
      <c r="E2790" s="8" t="str">
        <f>IFERROR(__xludf.DUMMYFUNCTION("googletranslate(D2790,""id"",""en"")"),"No matter how long there is a PPKM problem as long as there is a policy also stating all the needs of the people borne, taxes and installments are dismissed. A year also I'm Jabanin Ni PPKM. For the sake of Indonesia's healthy again (but the people are li"&amp;"ved so that they don't die hunger)")</f>
        <v>No matter how long there is a PPKM problem as long as there is a policy also stating all the needs of the people borne, taxes and installments are dismissed. A year also I'm Jabanin Ni PPKM. For the sake of Indonesia's healthy again (but the people are lived so that they don't die hunger)</v>
      </c>
    </row>
    <row r="2791" ht="15.75" customHeight="1">
      <c r="A2791" s="2">
        <v>2790.0</v>
      </c>
      <c r="B2791" s="5" t="s">
        <v>5095</v>
      </c>
      <c r="C2791" s="6">
        <v>1.0</v>
      </c>
      <c r="D2791" s="7" t="s">
        <v>5096</v>
      </c>
      <c r="E2791" s="8" t="str">
        <f>IFERROR(__xludf.DUMMYFUNCTION("googletranslate(D2791,""id"",""en"")"),"Day PPKM, Ntah Will Be Damaged Again with Users Road Again AP Not")</f>
        <v>Day PPKM, Ntah Will Be Damaged Again with Users Road Again AP Not</v>
      </c>
    </row>
    <row r="2792" ht="15.75" customHeight="1">
      <c r="A2792" s="2">
        <v>2791.0</v>
      </c>
      <c r="B2792" s="5" t="s">
        <v>5097</v>
      </c>
      <c r="C2792" s="6">
        <v>1.0</v>
      </c>
      <c r="D2792" s="9" t="s">
        <v>5098</v>
      </c>
      <c r="E2792" s="8" t="str">
        <f>IFERROR(__xludf.DUMMYFUNCTION("googletranslate(D2792,""id"",""en"")"),"ppkm stay diruma gakeluar2 even wasteful")</f>
        <v>ppkm stay diruma gakeluar2 even wasteful</v>
      </c>
    </row>
    <row r="2793" ht="15.75" customHeight="1">
      <c r="A2793" s="2">
        <v>2792.0</v>
      </c>
      <c r="B2793" s="5" t="s">
        <v>5099</v>
      </c>
      <c r="C2793" s="6">
        <v>1.0</v>
      </c>
      <c r="D2793" s="9" t="s">
        <v>5100</v>
      </c>
      <c r="E2793" s="8" t="str">
        <f>IFERROR(__xludf.DUMMYFUNCTION("googletranslate(D2793,""id"",""en"")"),"if there is a big day, there must be a ppkm again ngab. but if there is free election ngab")</f>
        <v>if there is a big day, there must be a ppkm again ngab. but if there is free election ngab</v>
      </c>
    </row>
    <row r="2794" ht="15.75" customHeight="1">
      <c r="A2794" s="2">
        <v>2793.0</v>
      </c>
      <c r="B2794" s="5" t="s">
        <v>5101</v>
      </c>
      <c r="C2794" s="6">
        <v>1.0</v>
      </c>
      <c r="D2794" s="9" t="s">
        <v>5102</v>
      </c>
      <c r="E2794" s="8" t="str">
        <f>IFERROR(__xludf.DUMMYFUNCTION("googletranslate(D2794,""id"",""en"")"),"Until Agts said the SMI. The more crushed. Brbe many will lay off? What do you go bankrupt can get up after PPKM? Which business is using puisbar debt money? Many entrepreneurs who debt you. The money is getting dragged. Just wait for the people's time wi"&amp;"ll fight")</f>
        <v>Until Agts said the SMI. The more crushed. Brbe many will lay off? What do you go bankrupt can get up after PPKM? Which business is using puisbar debt money? Many entrepreneurs who debt you. The money is getting dragged. Just wait for the people's time will fight</v>
      </c>
    </row>
    <row r="2795" ht="15.75" customHeight="1">
      <c r="A2795" s="2">
        <v>2794.0</v>
      </c>
      <c r="B2795" s="5" t="s">
        <v>5103</v>
      </c>
      <c r="C2795" s="6">
        <v>1.0</v>
      </c>
      <c r="D2795" s="9" t="s">
        <v>5104</v>
      </c>
      <c r="E2795" s="8" t="str">
        <f>IFERROR(__xludf.DUMMYFUNCTION("googletranslate(D2795,""id"",""en"")"),"Ppkm .. plunder plongo koyo munyuk .. wkwwkwk")</f>
        <v>Ppkm .. plunder plongo koyo munyuk .. wkwwkwk</v>
      </c>
    </row>
    <row r="2796" ht="15.75" customHeight="1">
      <c r="A2796" s="2">
        <v>2795.0</v>
      </c>
      <c r="B2796" s="5" t="s">
        <v>5105</v>
      </c>
      <c r="C2796" s="6">
        <v>1.0</v>
      </c>
      <c r="D2796" s="7" t="s">
        <v>5106</v>
      </c>
      <c r="E2796" s="8" t="str">
        <f>IFERROR(__xludf.DUMMYFUNCTION("googletranslate(D2796,""id"",""en"")"),"I still have the same edition of the Effect of PPKM, it's the same as the building driver who is expelled because it doesn't use a mask")</f>
        <v>I still have the same edition of the Effect of PPKM, it's the same as the building driver who is expelled because it doesn't use a mask</v>
      </c>
    </row>
    <row r="2797" ht="15.75" customHeight="1">
      <c r="A2797" s="2">
        <v>2796.0</v>
      </c>
      <c r="B2797" s="5" t="s">
        <v>5107</v>
      </c>
      <c r="C2797" s="6">
        <v>1.0</v>
      </c>
      <c r="D2797" s="7" t="s">
        <v>5108</v>
      </c>
      <c r="E2797" s="8" t="str">
        <f>IFERROR(__xludf.DUMMYFUNCTION("googletranslate(D2797,""id"",""en"")"),"PPKM is only on the main road, sajadijalan2 small people are lazy using masks")</f>
        <v>PPKM is only on the main road, sajadijalan2 small people are lazy using masks</v>
      </c>
    </row>
    <row r="2798" ht="15.75" customHeight="1">
      <c r="A2798" s="2">
        <v>2797.0</v>
      </c>
      <c r="B2798" s="5" t="s">
        <v>5109</v>
      </c>
      <c r="C2798" s="6">
        <v>1.0</v>
      </c>
      <c r="D2798" s="7" t="s">
        <v>5110</v>
      </c>
      <c r="E2798" s="8" t="str">
        <f>IFERROR(__xludf.DUMMYFUNCTION("googletranslate(D2798,""id"",""en"")"),"This PPKM is more stringent than PSBB yesterday, severe. But how come the case is like this, but one side of pity is also selling on the road")</f>
        <v>This PPKM is more stringent than PSBB yesterday, severe. But how come the case is like this, but one side of pity is also selling on the road</v>
      </c>
    </row>
    <row r="2799" ht="15.75" customHeight="1">
      <c r="A2799" s="2">
        <v>2798.0</v>
      </c>
      <c r="B2799" s="5" t="s">
        <v>5111</v>
      </c>
      <c r="C2799" s="6">
        <v>2.0</v>
      </c>
      <c r="D2799" s="7" t="s">
        <v>5112</v>
      </c>
      <c r="E2799" s="8" t="str">
        <f>IFERROR(__xludf.DUMMYFUNCTION("googletranslate(D2799,""id"",""en"")"),"PPKM Mas, go home morning at Malem.")</f>
        <v>PPKM Mas, go home morning at Malem.</v>
      </c>
    </row>
    <row r="2800" ht="15.75" customHeight="1">
      <c r="A2800" s="2">
        <v>2799.0</v>
      </c>
      <c r="B2800" s="5" t="s">
        <v>5113</v>
      </c>
      <c r="C2800" s="6">
        <v>1.0</v>
      </c>
      <c r="D2800" s="9" t="s">
        <v>5114</v>
      </c>
      <c r="E2800" s="8" t="str">
        <f>IFERROR(__xludf.DUMMYFUNCTION("googletranslate(D2800,""id"",""en"")"),"Don't just get a few days a few ppkm mom, I want to be brkt and go home from work, keep going because the road is blocked there, there are many trucks that can't go")</f>
        <v>Don't just get a few days a few ppkm mom, I want to be brkt and go home from work, keep going because the road is blocked there, there are many trucks that can't go</v>
      </c>
    </row>
    <row r="2801" ht="15.75" customHeight="1">
      <c r="A2801" s="2">
        <v>2800.0</v>
      </c>
      <c r="B2801" s="5" t="s">
        <v>5115</v>
      </c>
      <c r="C2801" s="6">
        <v>1.0</v>
      </c>
      <c r="D2801" s="7" t="s">
        <v>5116</v>
      </c>
      <c r="E2801" s="8" t="str">
        <f>IFERROR(__xludf.DUMMYFUNCTION("googletranslate(D2801,""id"",""en"")"),"Jeng Bond has penetrated so the determinant of the PPKM policy, the more overlapping, actually the right to determine the extension of the PPKM, the president? Lord? Gauze? What is Jeng Bond? It's not understanding, talk according to the tupoks, don't ove"&amp;"rlapp, the people are confused")</f>
        <v>Jeng Bond has penetrated so the determinant of the PPKM policy, the more overlapping, actually the right to determine the extension of the PPKM, the president? Lord? Gauze? What is Jeng Bond? It's not understanding, talk according to the tupoks, don't overlapp, the people are confused</v>
      </c>
    </row>
    <row r="2802" ht="15.75" customHeight="1">
      <c r="A2802" s="2">
        <v>2801.0</v>
      </c>
      <c r="B2802" s="5" t="s">
        <v>5117</v>
      </c>
      <c r="C2802" s="6">
        <v>1.0</v>
      </c>
      <c r="D2802" s="9" t="s">
        <v>5118</v>
      </c>
      <c r="E2802" s="8" t="str">
        <f>IFERROR(__xludf.DUMMYFUNCTION("googletranslate(D2802,""id"",""en"")"),"The virus is clearly the main mastermind, but PPKM also tortures. I already know from the PSBB era, it doesn't have a solution at all, this is even the PPKM ...")</f>
        <v>The virus is clearly the main mastermind, but PPKM also tortures. I already know from the PSBB era, it doesn't have a solution at all, this is even the PPKM ...</v>
      </c>
    </row>
    <row r="2803" ht="15.75" customHeight="1">
      <c r="A2803" s="2">
        <v>2802.0</v>
      </c>
      <c r="B2803" s="5" t="s">
        <v>5119</v>
      </c>
      <c r="C2803" s="6">
        <v>1.0</v>
      </c>
      <c r="D2803" s="9" t="s">
        <v>5120</v>
      </c>
      <c r="E2803" s="8" t="str">
        <f>IFERROR(__xludf.DUMMYFUNCTION("googletranslate(D2803,""id"",""en"")"),"The effect of fear of lockdown from the start and afraid of love to eat the people themselves. Even now there is more money ... and who takes profit? Psbb and ppkm ... finally protracted ... plus the immune decreases because of nutritional intake, minimal"&amp;" assistance but must eat")</f>
        <v>The effect of fear of lockdown from the start and afraid of love to eat the people themselves. Even now there is more money ... and who takes profit? Psbb and ppkm ... finally protracted ... plus the immune decreases because of nutritional intake, minimal assistance but must eat</v>
      </c>
    </row>
    <row r="2804" ht="15.75" customHeight="1">
      <c r="A2804" s="2">
        <v>2803.0</v>
      </c>
      <c r="B2804" s="5" t="s">
        <v>5121</v>
      </c>
      <c r="C2804" s="6">
        <v>1.0</v>
      </c>
      <c r="D2804" s="7" t="s">
        <v>5122</v>
      </c>
      <c r="E2804" s="8" t="str">
        <f>IFERROR(__xludf.DUMMYFUNCTION("googletranslate(D2804,""id"",""en"")"),"The point is that you want the ppkm, you can't, you think it's the need for someone who has an impact")</f>
        <v>The point is that you want the ppkm, you can't, you think it's the need for someone who has an impact</v>
      </c>
    </row>
    <row r="2805" ht="15.75" customHeight="1">
      <c r="A2805" s="2">
        <v>2804.0</v>
      </c>
      <c r="B2805" s="5" t="s">
        <v>5123</v>
      </c>
      <c r="C2805" s="6">
        <v>2.0</v>
      </c>
      <c r="D2805" s="7" t="s">
        <v>5124</v>
      </c>
      <c r="E2805" s="8" t="str">
        <f>IFERROR(__xludf.DUMMYFUNCTION("googletranslate(D2805,""id"",""en"")"),"PPKM: morning morning for a whole")</f>
        <v>PPKM: morning morning for a whole</v>
      </c>
    </row>
    <row r="2806" ht="15.75" customHeight="1">
      <c r="A2806" s="2">
        <v>2805.0</v>
      </c>
      <c r="B2806" s="5" t="s">
        <v>5125</v>
      </c>
      <c r="C2806" s="6">
        <v>1.0</v>
      </c>
      <c r="D2806" s="9" t="s">
        <v>5126</v>
      </c>
      <c r="E2806" s="8" t="str">
        <f>IFERROR(__xludf.DUMMYFUNCTION("googletranslate(D2806,""id"",""en"")"),"wonder if emergency ppkm in reality in the field there is no change the same as the previous policy")</f>
        <v>wonder if emergency ppkm in reality in the field there is no change the same as the previous policy</v>
      </c>
    </row>
    <row r="2807" ht="15.75" customHeight="1">
      <c r="A2807" s="2">
        <v>2806.0</v>
      </c>
      <c r="B2807" s="5" t="s">
        <v>5127</v>
      </c>
      <c r="C2807" s="6">
        <v>1.0</v>
      </c>
      <c r="D2807" s="7" t="s">
        <v>5128</v>
      </c>
      <c r="E2807" s="8" t="str">
        <f>IFERROR(__xludf.DUMMYFUNCTION("googletranslate(D2807,""id"",""en"")"),"Ppkm: slowly we die slowly")</f>
        <v>Ppkm: slowly we die slowly</v>
      </c>
    </row>
    <row r="2808" ht="15.75" customHeight="1">
      <c r="A2808" s="2">
        <v>2807.0</v>
      </c>
      <c r="B2808" s="5" t="s">
        <v>5129</v>
      </c>
      <c r="C2808" s="6">
        <v>2.0</v>
      </c>
      <c r="D2808" s="9" t="s">
        <v>5129</v>
      </c>
      <c r="E2808" s="8" t="str">
        <f>IFERROR(__xludf.DUMMYFUNCTION("googletranslate(D2808,""id"",""en"")"),"If you are still single, maybe your soul mate is exposed to the PPKM time to go to your heart.")</f>
        <v>If you are still single, maybe your soul mate is exposed to the PPKM time to go to your heart.</v>
      </c>
    </row>
    <row r="2809" ht="15.75" customHeight="1">
      <c r="A2809" s="2">
        <v>2808.0</v>
      </c>
      <c r="B2809" s="5" t="s">
        <v>5130</v>
      </c>
      <c r="C2809" s="6">
        <v>1.0</v>
      </c>
      <c r="D2809" s="9" t="s">
        <v>5131</v>
      </c>
      <c r="E2809" s="8" t="str">
        <f>IFERROR(__xludf.DUMMYFUNCTION("googletranslate(D2809,""id"",""en"")"),"The family economy is increasingly PPKM too (slowly we die) ...")</f>
        <v>The family economy is increasingly PPKM too (slowly we die) ...</v>
      </c>
    </row>
    <row r="2810" ht="15.75" customHeight="1">
      <c r="A2810" s="2">
        <v>2809.0</v>
      </c>
      <c r="B2810" s="5" t="s">
        <v>5132</v>
      </c>
      <c r="C2810" s="6">
        <v>2.0</v>
      </c>
      <c r="D2810" s="7" t="s">
        <v>5133</v>
      </c>
      <c r="E2810" s="8" t="str">
        <f>IFERROR(__xludf.DUMMYFUNCTION("googletranslate(D2810,""id"",""en"")"),"Just wait while waiting for the ppkm to finish. You don't want my account suddenly the error is again. 3up gusti")</f>
        <v>Just wait while waiting for the ppkm to finish. You don't want my account suddenly the error is again. 3up gusti</v>
      </c>
    </row>
    <row r="2811" ht="15.75" customHeight="1">
      <c r="A2811" s="2">
        <v>2810.0</v>
      </c>
      <c r="B2811" s="5" t="s">
        <v>5134</v>
      </c>
      <c r="C2811" s="6">
        <v>1.0</v>
      </c>
      <c r="D2811" s="9" t="s">
        <v>5135</v>
      </c>
      <c r="E2811" s="8" t="str">
        <f>IFERROR(__xludf.DUMMYFUNCTION("googletranslate(D2811,""id"",""en"")"),"There is a PPKM discourse to be up to six weeks ... if you tell the ppkm, it can't be able to eat small people for six weeks, just kasimati, just tell it ... it's crazy?")</f>
        <v>There is a PPKM discourse to be up to six weeks ... if you tell the ppkm, it can't be able to eat small people for six weeks, just kasimati, just tell it ... it's crazy?</v>
      </c>
    </row>
    <row r="2812" ht="15.75" customHeight="1">
      <c r="A2812" s="2">
        <v>2811.0</v>
      </c>
      <c r="B2812" s="5" t="s">
        <v>5136</v>
      </c>
      <c r="C2812" s="6">
        <v>1.0</v>
      </c>
      <c r="D2812" s="9" t="s">
        <v>5137</v>
      </c>
      <c r="E2812" s="8" t="str">
        <f>IFERROR(__xludf.DUMMYFUNCTION("googletranslate(D2812,""id"",""en"")"),"Wahh PPKM has a fatal consequence of singles")</f>
        <v>Wahh PPKM has a fatal consequence of singles</v>
      </c>
    </row>
    <row r="2813" ht="15.75" customHeight="1">
      <c r="A2813" s="2">
        <v>2812.0</v>
      </c>
      <c r="B2813" s="5" t="s">
        <v>5138</v>
      </c>
      <c r="C2813" s="6">
        <v>1.0</v>
      </c>
      <c r="D2813" s="7" t="s">
        <v>5139</v>
      </c>
      <c r="E2813" s="8" t="str">
        <f>IFERROR(__xludf.DUMMYFUNCTION("googletranslate(D2813,""id"",""en"")"),"Ppkm just submitted to someone else, because I don't want to be able to be able to be able ??")</f>
        <v>Ppkm just submitted to someone else, because I don't want to be able to be able to be able ??</v>
      </c>
    </row>
    <row r="2814" ht="15.75" customHeight="1">
      <c r="A2814" s="2">
        <v>2813.0</v>
      </c>
      <c r="B2814" s="5" t="s">
        <v>5140</v>
      </c>
      <c r="C2814" s="6">
        <v>2.0</v>
      </c>
      <c r="D2814" s="9" t="s">
        <v>5141</v>
      </c>
      <c r="E2814" s="8" t="str">
        <f>IFERROR(__xludf.DUMMYFUNCTION("googletranslate(D2814,""id"",""en"")"),"Do you want to ask Dong Trans Royal during the PPKM or not through Blok M Cibubur huh? Because it's on Monday (3 days PPKM / 5juli) stunned in deprived")</f>
        <v>Do you want to ask Dong Trans Royal during the PPKM or not through Blok M Cibubur huh? Because it's on Monday (3 days PPKM / 5juli) stunned in deprived</v>
      </c>
    </row>
    <row r="2815" ht="15.75" customHeight="1">
      <c r="A2815" s="2">
        <v>2814.0</v>
      </c>
      <c r="B2815" s="5" t="s">
        <v>5142</v>
      </c>
      <c r="C2815" s="6">
        <v>1.0</v>
      </c>
      <c r="D2815" s="9" t="s">
        <v>5143</v>
      </c>
      <c r="E2815" s="8" t="str">
        <f>IFERROR(__xludf.DUMMYFUNCTION("googletranslate(D2815,""id"",""en"")"),"Bani ebong plays, the case of the buckle of Louis also for the transfer of the issue of TKA who entered during the PPKM.")</f>
        <v>Bani ebong plays, the case of the buckle of Louis also for the transfer of the issue of TKA who entered during the PPKM.</v>
      </c>
    </row>
    <row r="2816" ht="15.75" customHeight="1">
      <c r="A2816" s="2">
        <v>2815.0</v>
      </c>
      <c r="B2816" s="5" t="s">
        <v>5144</v>
      </c>
      <c r="C2816" s="6">
        <v>1.0</v>
      </c>
      <c r="D2816" s="7" t="s">
        <v>5145</v>
      </c>
      <c r="E2816" s="8" t="str">
        <f>IFERROR(__xludf.DUMMYFUNCTION("googletranslate(D2816,""id"",""en"")"),"In fact, I am sorry for the small community who fought his life on the road. The rule of the government stated that the Java-Bali Emergency PPKM, it was good to reduce transmission, but without seeing the difficult life for Masy. small.")</f>
        <v>In fact, I am sorry for the small community who fought his life on the road. The rule of the government stated that the Java-Bali Emergency PPKM, it was good to reduce transmission, but without seeing the difficult life for Masy. small.</v>
      </c>
    </row>
    <row r="2817" ht="15.75" customHeight="1">
      <c r="A2817" s="2">
        <v>2816.0</v>
      </c>
      <c r="B2817" s="5" t="s">
        <v>5146</v>
      </c>
      <c r="C2817" s="6">
        <v>1.0</v>
      </c>
      <c r="D2817" s="7" t="s">
        <v>5147</v>
      </c>
      <c r="E2817" s="8" t="str">
        <f>IFERROR(__xludf.DUMMYFUNCTION("googletranslate(D2817,""id"",""en"")"),"PPKM, we slowly slowly poorly")</f>
        <v>PPKM, we slowly slowly poorly</v>
      </c>
    </row>
    <row r="2818" ht="15.75" customHeight="1">
      <c r="A2818" s="2">
        <v>2817.0</v>
      </c>
      <c r="B2818" s="5" t="s">
        <v>5148</v>
      </c>
      <c r="C2818" s="6">
        <v>1.0</v>
      </c>
      <c r="D2818" s="7" t="s">
        <v>5149</v>
      </c>
      <c r="E2818" s="8" t="str">
        <f>IFERROR(__xludf.DUMMYFUNCTION("googletranslate(D2818,""id"",""en"")"),"Fed up with PPKM oath, plus there is a rumor the issue extended to week. This government wants it? Cuan kahnya?")</f>
        <v>Fed up with PPKM oath, plus there is a rumor the issue extended to week. This government wants it? Cuan kahnya?</v>
      </c>
    </row>
    <row r="2819" ht="15.75" customHeight="1">
      <c r="A2819" s="2">
        <v>2818.0</v>
      </c>
      <c r="B2819" s="5" t="s">
        <v>5150</v>
      </c>
      <c r="C2819" s="6">
        <v>1.0</v>
      </c>
      <c r="D2819" s="7" t="s">
        <v>5151</v>
      </c>
      <c r="E2819" s="8" t="str">
        <f>IFERROR(__xludf.DUMMYFUNCTION("googletranslate(D2819,""id"",""en"")"),"PPKM Marai slowly softly gave up")</f>
        <v>PPKM Marai slowly softly gave up</v>
      </c>
    </row>
    <row r="2820" ht="15.75" customHeight="1">
      <c r="A2820" s="2">
        <v>2819.0</v>
      </c>
      <c r="B2820" s="5" t="s">
        <v>5152</v>
      </c>
      <c r="C2820" s="6">
        <v>2.0</v>
      </c>
      <c r="D2820" s="7" t="s">
        <v>5153</v>
      </c>
      <c r="E2820" s="8" t="str">
        <f>IFERROR(__xludf.DUMMYFUNCTION("googletranslate(D2820,""id"",""en"")"),"ppkm mo is extended week again")</f>
        <v>ppkm mo is extended week again</v>
      </c>
    </row>
    <row r="2821" ht="15.75" customHeight="1">
      <c r="A2821" s="2">
        <v>2820.0</v>
      </c>
      <c r="B2821" s="5" t="s">
        <v>5154</v>
      </c>
      <c r="C2821" s="6">
        <v>2.0</v>
      </c>
      <c r="D2821" s="7" t="s">
        <v>5155</v>
      </c>
      <c r="E2821" s="8" t="str">
        <f>IFERROR(__xludf.DUMMYFUNCTION("googletranslate(D2821,""id"",""en"")"),"Ppkm deck, marriage e online wae wkwkw")</f>
        <v>Ppkm deck, marriage e online wae wkwkw</v>
      </c>
    </row>
    <row r="2822" ht="15.75" customHeight="1">
      <c r="A2822" s="2">
        <v>2821.0</v>
      </c>
      <c r="B2822" s="5" t="s">
        <v>5156</v>
      </c>
      <c r="C2822" s="6">
        <v>1.0</v>
      </c>
      <c r="D2822" s="7" t="s">
        <v>5157</v>
      </c>
      <c r="E2822" s="8" t="str">
        <f>IFERROR(__xludf.DUMMYFUNCTION("googletranslate(D2822,""id"",""en"")"),"Ppkm is not extended the plis")</f>
        <v>Ppkm is not extended the plis</v>
      </c>
    </row>
    <row r="2823" ht="15.75" customHeight="1">
      <c r="A2823" s="2">
        <v>2822.0</v>
      </c>
      <c r="B2823" s="5" t="s">
        <v>5158</v>
      </c>
      <c r="C2823" s="6">
        <v>3.0</v>
      </c>
      <c r="D2823" s="9" t="s">
        <v>5159</v>
      </c>
      <c r="E2823" s="8" t="str">
        <f>IFERROR(__xludf.DUMMYFUNCTION("googletranslate(D2823,""id"",""en"")"),"Stay strong when emergency ppkm with us opponents Pandemi remains calm and obeying the reserved health protocol keeps health care to take care of your family guard and take care of others")</f>
        <v>Stay strong when emergency ppkm with us opponents Pandemi remains calm and obeying the reserved health protocol keeps health care to take care of your family guard and take care of others</v>
      </c>
    </row>
    <row r="2824" ht="15.75" customHeight="1">
      <c r="A2824" s="2">
        <v>2823.0</v>
      </c>
      <c r="B2824" s="5" t="s">
        <v>5160</v>
      </c>
      <c r="C2824" s="6">
        <v>2.0</v>
      </c>
      <c r="D2824" s="7" t="s">
        <v>5160</v>
      </c>
      <c r="E2824" s="8" t="str">
        <f>IFERROR(__xludf.DUMMYFUNCTION("googletranslate(D2824,""id"",""en"")"),"Good morning Indonesia which is PPKM")</f>
        <v>Good morning Indonesia which is PPKM</v>
      </c>
    </row>
    <row r="2825" ht="15.75" customHeight="1">
      <c r="A2825" s="2">
        <v>2824.0</v>
      </c>
      <c r="B2825" s="5" t="s">
        <v>5161</v>
      </c>
      <c r="C2825" s="6">
        <v>1.0</v>
      </c>
      <c r="D2825" s="9" t="s">
        <v>5162</v>
      </c>
      <c r="E2825" s="8" t="str">
        <f>IFERROR(__xludf.DUMMYFUNCTION("googletranslate(D2825,""id"",""en"")"),"So JNG PPKM, Lockdown all, surely the people in the face at home ... because if the government lockdown is obligatory to eat all the lifeless creatures, but if the PPKM people are told to be at home but look for yourself ... it's hard ...")</f>
        <v>So JNG PPKM, Lockdown all, surely the people in the face at home ... because if the government lockdown is obligatory to eat all the lifeless creatures, but if the PPKM people are told to be at home but look for yourself ... it's hard ...</v>
      </c>
    </row>
    <row r="2826" ht="15.75" customHeight="1">
      <c r="A2826" s="2">
        <v>2825.0</v>
      </c>
      <c r="B2826" s="5" t="s">
        <v>5163</v>
      </c>
      <c r="C2826" s="6">
        <v>1.0</v>
      </c>
      <c r="D2826" s="7" t="s">
        <v>5164</v>
      </c>
      <c r="E2826" s="8" t="str">
        <f>IFERROR(__xludf.DUMMYFUNCTION("googletranslate(D2826,""id"",""en"")"),"RUWET GUS RUWET ... PPKM is not emergency,")</f>
        <v>RUWET GUS RUWET ... PPKM is not emergency,</v>
      </c>
    </row>
    <row r="2827" ht="15.75" customHeight="1">
      <c r="A2827" s="2">
        <v>2826.0</v>
      </c>
      <c r="B2827" s="5" t="s">
        <v>5165</v>
      </c>
      <c r="C2827" s="6">
        <v>1.0</v>
      </c>
      <c r="D2827" s="7" t="s">
        <v>5166</v>
      </c>
      <c r="E2827" s="8" t="str">
        <f>IFERROR(__xludf.DUMMYFUNCTION("googletranslate(D2827,""id"",""en"")"),"My package that bought it until it was on yesterday's date. PPKM TP TP SAMSEK GA MOVING")</f>
        <v>My package that bought it until it was on yesterday's date. PPKM TP TP SAMSEK GA MOVING</v>
      </c>
    </row>
    <row r="2828" ht="15.75" customHeight="1">
      <c r="A2828" s="2">
        <v>2827.0</v>
      </c>
      <c r="B2828" s="5" t="s">
        <v>5167</v>
      </c>
      <c r="C2828" s="6">
        <v>1.0</v>
      </c>
      <c r="D2828" s="9" t="s">
        <v>5168</v>
      </c>
      <c r="E2828" s="8" t="str">
        <f>IFERROR(__xludf.DUMMYFUNCTION("googletranslate(D2828,""id"",""en"")"),"I have the best JOBDESC Satpol PP Running Competition with Bencong, I have just done this PPKM, it still looks for personal fortuneness")</f>
        <v>I have the best JOBDESC Satpol PP Running Competition with Bencong, I have just done this PPKM, it still looks for personal fortuneness</v>
      </c>
    </row>
    <row r="2829" ht="15.75" customHeight="1">
      <c r="A2829" s="2">
        <v>2828.0</v>
      </c>
      <c r="B2829" s="5" t="s">
        <v>5169</v>
      </c>
      <c r="C2829" s="6">
        <v>1.0</v>
      </c>
      <c r="D2829" s="7" t="s">
        <v>5170</v>
      </c>
      <c r="E2829" s="8" t="str">
        <f>IFERROR(__xludf.DUMMYFUNCTION("googletranslate(D2829,""id"",""en"")"),"Use the term PSBB, the Camouflage PPKM from the Health Quarantine Law just ngeles running away from responsibility")</f>
        <v>Use the term PSBB, the Camouflage PPKM from the Health Quarantine Law just ngeles running away from responsibility</v>
      </c>
    </row>
    <row r="2830" ht="15.75" customHeight="1">
      <c r="A2830" s="2">
        <v>2829.0</v>
      </c>
      <c r="B2830" s="5" t="s">
        <v>5171</v>
      </c>
      <c r="C2830" s="6">
        <v>2.0</v>
      </c>
      <c r="D2830" s="7" t="s">
        <v>5172</v>
      </c>
      <c r="E2830" s="8" t="str">
        <f>IFERROR(__xludf.DUMMYFUNCTION("googletranslate(D2830,""id"",""en"")"),"Lahh gas agendakan abis ppkm")</f>
        <v>Lahh gas agendakan abis ppkm</v>
      </c>
    </row>
    <row r="2831" ht="15.75" customHeight="1">
      <c r="A2831" s="2">
        <v>2830.0</v>
      </c>
      <c r="B2831" s="5" t="s">
        <v>5173</v>
      </c>
      <c r="C2831" s="6">
        <v>2.0</v>
      </c>
      <c r="D2831" s="9" t="s">
        <v>5174</v>
      </c>
      <c r="E2831" s="8" t="str">
        <f>IFERROR(__xludf.DUMMYFUNCTION("googletranslate(D2831,""id"",""en"")"),"I don't know, he said, wait for PPKM to finish")</f>
        <v>I don't know, he said, wait for PPKM to finish</v>
      </c>
    </row>
    <row r="2832" ht="15.75" customHeight="1">
      <c r="A2832" s="2">
        <v>2831.0</v>
      </c>
      <c r="B2832" s="5" t="s">
        <v>5175</v>
      </c>
      <c r="C2832" s="6">
        <v>1.0</v>
      </c>
      <c r="D2832" s="7" t="s">
        <v>5176</v>
      </c>
      <c r="E2832" s="8" t="str">
        <f>IFERROR(__xludf.DUMMYFUNCTION("googletranslate(D2832,""id"",""en"")"),"Not the yellow provider of mbak, this ppkm for a long gift, it really comes. This is it, it's gapake, I'm not a dollar mbak?")</f>
        <v>Not the yellow provider of mbak, this ppkm for a long gift, it really comes. This is it, it's gapake, I'm not a dollar mbak?</v>
      </c>
    </row>
    <row r="2833" ht="15.75" customHeight="1">
      <c r="A2833" s="2">
        <v>2832.0</v>
      </c>
      <c r="B2833" s="5" t="s">
        <v>5177</v>
      </c>
      <c r="C2833" s="6">
        <v>1.0</v>
      </c>
      <c r="D2833" s="7" t="s">
        <v>5178</v>
      </c>
      <c r="E2833" s="8" t="str">
        <f>IFERROR(__xludf.DUMMYFUNCTION("googletranslate(D2833,""id"",""en"")"),"Be careful with the implementation of second volume Emergency PPKM ...... political mounts")</f>
        <v>Be careful with the implementation of second volume Emergency PPKM ...... political mounts</v>
      </c>
    </row>
    <row r="2834" ht="15.75" customHeight="1">
      <c r="A2834" s="2">
        <v>2833.0</v>
      </c>
      <c r="B2834" s="5" t="s">
        <v>5179</v>
      </c>
      <c r="C2834" s="6">
        <v>3.0</v>
      </c>
      <c r="D2834" s="7" t="s">
        <v>5180</v>
      </c>
      <c r="E2834" s="8" t="str">
        <f>IFERROR(__xludf.DUMMYFUNCTION("googletranslate(D2834,""id"",""en"")"),"Mustsss BIAR PPKM Safe Bark Wkkksss")</f>
        <v>Mustsss BIAR PPKM Safe Bark Wkkksss</v>
      </c>
    </row>
    <row r="2835" ht="15.75" customHeight="1">
      <c r="A2835" s="2">
        <v>2834.0</v>
      </c>
      <c r="B2835" s="5" t="s">
        <v>5181</v>
      </c>
      <c r="C2835" s="6">
        <v>1.0</v>
      </c>
      <c r="D2835" s="7" t="s">
        <v>5182</v>
      </c>
      <c r="E2835" s="8" t="str">
        <f>IFERROR(__xludf.DUMMYFUNCTION("googletranslate(D2835,""id"",""en"")"),"Sri Mulyani leak: Emergency PPKM scenario extended S.D Minggunamun was on the sight of another spokesman Luhut said it was not true. Which is true aka hoaxyang ???")</f>
        <v>Sri Mulyani leak: Emergency PPKM scenario extended S.D Minggunamun was on the sight of another spokesman Luhut said it was not true. Which is true aka hoaxyang ???</v>
      </c>
    </row>
    <row r="2836" ht="15.75" customHeight="1">
      <c r="A2836" s="2">
        <v>2835.0</v>
      </c>
      <c r="B2836" s="5" t="s">
        <v>5183</v>
      </c>
      <c r="C2836" s="6">
        <v>1.0</v>
      </c>
      <c r="D2836" s="7" t="s">
        <v>5184</v>
      </c>
      <c r="E2836" s="8" t="str">
        <f>IFERROR(__xludf.DUMMYFUNCTION("googletranslate(D2836,""id"",""en"")"),"Sri Mulyani said Emergency PPKM would be extended to six weeks ahead of whether you want to underestimate the cost of living people?")</f>
        <v>Sri Mulyani said Emergency PPKM would be extended to six weeks ahead of whether you want to underestimate the cost of living people?</v>
      </c>
    </row>
    <row r="2837" ht="15.75" customHeight="1">
      <c r="A2837" s="2">
        <v>2836.0</v>
      </c>
      <c r="B2837" s="5" t="s">
        <v>5185</v>
      </c>
      <c r="C2837" s="6">
        <v>2.0</v>
      </c>
      <c r="D2837" s="7" t="s">
        <v>5186</v>
      </c>
      <c r="E2837" s="8" t="str">
        <f>IFERROR(__xludf.DUMMYFUNCTION("googletranslate(D2837,""id"",""en"")"),"It turns out it's not just the government that applies your PPKKkmkku jugapahahahahahahahahah later it disappears")</f>
        <v>It turns out it's not just the government that applies your PPKKkmkku jugapahahahahahahahahah later it disappears</v>
      </c>
    </row>
    <row r="2838" ht="15.75" customHeight="1">
      <c r="A2838" s="2">
        <v>2837.0</v>
      </c>
      <c r="B2838" s="5" t="s">
        <v>5187</v>
      </c>
      <c r="C2838" s="6">
        <v>1.0</v>
      </c>
      <c r="D2838" s="7" t="s">
        <v>5188</v>
      </c>
      <c r="E2838" s="8" t="str">
        <f>IFERROR(__xludf.DUMMYFUNCTION("googletranslate(D2838,""id"",""en"")"),"ppkm day, huhu surfes it feels like someone is ganjel")</f>
        <v>ppkm day, huhu surfes it feels like someone is ganjel</v>
      </c>
    </row>
    <row r="2839" ht="15.75" customHeight="1">
      <c r="A2839" s="2">
        <v>2838.0</v>
      </c>
      <c r="B2839" s="5" t="s">
        <v>5189</v>
      </c>
      <c r="C2839" s="6">
        <v>1.0</v>
      </c>
      <c r="D2839" s="7" t="s">
        <v>5189</v>
      </c>
      <c r="E2839" s="8" t="str">
        <f>IFERROR(__xludf.DUMMYFUNCTION("googletranslate(D2839,""id"",""en"")"),"Gokil ya tv indonesia, still the morning has been given criminal news, covid, ppkm gitu who is on track or good news from this country, is there already no? Is there no money? Who knows. I was told to be at home, at the house was still feared by WKWK")</f>
        <v>Gokil ya tv indonesia, still the morning has been given criminal news, covid, ppkm gitu who is on track or good news from this country, is there already no? Is there no money? Who knows. I was told to be at home, at the house was still feared by WKWK</v>
      </c>
    </row>
    <row r="2840" ht="15.75" customHeight="1">
      <c r="A2840" s="2">
        <v>2839.0</v>
      </c>
      <c r="B2840" s="5" t="s">
        <v>5190</v>
      </c>
      <c r="C2840" s="6">
        <v>1.0</v>
      </c>
      <c r="D2840" s="7" t="s">
        <v>5191</v>
      </c>
      <c r="E2840" s="8" t="str">
        <f>IFERROR(__xludf.DUMMYFUNCTION("googletranslate(D2840,""id"",""en"")"),"Ha ha ha ha. Just road insulation in town already strange. Weve Less morals that make this PPKM rule.")</f>
        <v>Ha ha ha ha. Just road insulation in town already strange. Weve Less morals that make this PPKM rule.</v>
      </c>
    </row>
    <row r="2841" ht="15.75" customHeight="1">
      <c r="A2841" s="2">
        <v>2840.0</v>
      </c>
      <c r="B2841" s="5" t="s">
        <v>5192</v>
      </c>
      <c r="C2841" s="6">
        <v>2.0</v>
      </c>
      <c r="D2841" s="7" t="s">
        <v>5192</v>
      </c>
      <c r="E2841" s="8" t="str">
        <f>IFERROR(__xludf.DUMMYFUNCTION("googletranslate(D2841,""id"",""en"")"),"oyi ppkm gini doctor in chemistry farma ijen what open practice huh? LG Needs BGT Because")</f>
        <v>oyi ppkm gini doctor in chemistry farma ijen what open practice huh? LG Needs BGT Because</v>
      </c>
    </row>
    <row r="2842" ht="15.75" customHeight="1">
      <c r="A2842" s="2">
        <v>2841.0</v>
      </c>
      <c r="B2842" s="5" t="s">
        <v>5193</v>
      </c>
      <c r="C2842" s="6">
        <v>1.0</v>
      </c>
      <c r="D2842" s="7" t="s">
        <v>5194</v>
      </c>
      <c r="E2842" s="8" t="str">
        <f>IFERROR(__xludf.DUMMYFUNCTION("googletranslate(D2842,""id"",""en"")"),"Kok PPKM Demo")</f>
        <v>Kok PPKM Demo</v>
      </c>
    </row>
    <row r="2843" ht="15.75" customHeight="1">
      <c r="A2843" s="2">
        <v>2842.0</v>
      </c>
      <c r="B2843" s="5" t="s">
        <v>5195</v>
      </c>
      <c r="C2843" s="6">
        <v>2.0</v>
      </c>
      <c r="D2843" s="7" t="s">
        <v>5196</v>
      </c>
      <c r="E2843" s="8" t="str">
        <f>IFERROR(__xludf.DUMMYFUNCTION("googletranslate(D2843,""id"",""en"")"),"Have you started working? Kam is still PPKM")</f>
        <v>Have you started working? Kam is still PPKM</v>
      </c>
    </row>
    <row r="2844" ht="15.75" customHeight="1">
      <c r="A2844" s="2">
        <v>2843.0</v>
      </c>
      <c r="B2844" s="5" t="s">
        <v>5197</v>
      </c>
      <c r="C2844" s="6">
        <v>1.0</v>
      </c>
      <c r="D2844" s="9" t="s">
        <v>5198</v>
      </c>
      <c r="E2844" s="8" t="str">
        <f>IFERROR(__xludf.DUMMYFUNCTION("googletranslate(D2844,""id"",""en"")"),"PPKM is extended? Let's get a stack, keep crying together.")</f>
        <v>PPKM is extended? Let's get a stack, keep crying together.</v>
      </c>
    </row>
    <row r="2845" ht="15.75" customHeight="1">
      <c r="A2845" s="2">
        <v>2844.0</v>
      </c>
      <c r="B2845" s="5" t="s">
        <v>5199</v>
      </c>
      <c r="C2845" s="6">
        <v>2.0</v>
      </c>
      <c r="D2845" s="7" t="s">
        <v>5200</v>
      </c>
      <c r="E2845" s="8" t="str">
        <f>IFERROR(__xludf.DUMMYFUNCTION("googletranslate(D2845,""id"",""en"")"),"I found it, bro. There is PPKM. Let's Make Meme Memories After PPKM")</f>
        <v>I found it, bro. There is PPKM. Let's Make Meme Memories After PPKM</v>
      </c>
    </row>
    <row r="2846" ht="15.75" customHeight="1">
      <c r="A2846" s="2">
        <v>2845.0</v>
      </c>
      <c r="B2846" s="5" t="s">
        <v>5201</v>
      </c>
      <c r="C2846" s="6">
        <v>1.0</v>
      </c>
      <c r="D2846" s="7" t="s">
        <v>5202</v>
      </c>
      <c r="E2846" s="8" t="str">
        <f>IFERROR(__xludf.DUMMYFUNCTION("googletranslate(D2846,""id"",""en"")"),"Yeah this is how ... the government must be responsible ... giving a need during PPKM")</f>
        <v>Yeah this is how ... the government must be responsible ... giving a need during PPKM</v>
      </c>
    </row>
    <row r="2847" ht="15.75" customHeight="1">
      <c r="A2847" s="2">
        <v>2846.0</v>
      </c>
      <c r="B2847" s="5" t="s">
        <v>5203</v>
      </c>
      <c r="C2847" s="6">
        <v>1.0</v>
      </c>
      <c r="D2847" s="7" t="s">
        <v>5203</v>
      </c>
      <c r="E2847" s="8" t="str">
        <f>IFERROR(__xludf.DUMMYFUNCTION("googletranslate(D2847,""id"",""en"")"),"Ppkm just bother ihh")</f>
        <v>Ppkm just bother ihh</v>
      </c>
    </row>
    <row r="2848" ht="15.75" customHeight="1">
      <c r="A2848" s="2">
        <v>2847.0</v>
      </c>
      <c r="B2848" s="5" t="s">
        <v>5204</v>
      </c>
      <c r="C2848" s="6">
        <v>1.0</v>
      </c>
      <c r="D2848" s="9" t="s">
        <v>5205</v>
      </c>
      <c r="E2848" s="8" t="str">
        <f>IFERROR(__xludf.DUMMYFUNCTION("googletranslate(D2848,""id"",""en"")"),"The government must improve the Supply Chain for free vaccine management so that all residents can access. The harm of BUMN KL took profits from the vaccine when the pandemic and PPKM above the people's suffering.")</f>
        <v>The government must improve the Supply Chain for free vaccine management so that all residents can access. The harm of BUMN KL took profits from the vaccine when the pandemic and PPKM above the people's suffering.</v>
      </c>
    </row>
    <row r="2849" ht="15.75" customHeight="1">
      <c r="A2849" s="2">
        <v>2848.0</v>
      </c>
      <c r="B2849" s="5" t="s">
        <v>5206</v>
      </c>
      <c r="C2849" s="6">
        <v>2.0</v>
      </c>
      <c r="D2849" s="9" t="s">
        <v>5207</v>
      </c>
      <c r="E2849" s="8" t="str">
        <f>IFERROR(__xludf.DUMMYFUNCTION("googletranslate(D2849,""id"",""en"")"),"Hi good morning Mimin and announcer. Last yesterday before the PPKM because the house was near the beach. Want to request the beautiful painted song - Rizky Febian, Ziva Magnolya. Puterin yaa hehe, thankyou")</f>
        <v>Hi good morning Mimin and announcer. Last yesterday before the PPKM because the house was near the beach. Want to request the beautiful painted song - Rizky Febian, Ziva Magnolya. Puterin yaa hehe, thankyou</v>
      </c>
    </row>
    <row r="2850" ht="15.75" customHeight="1">
      <c r="A2850" s="2">
        <v>2849.0</v>
      </c>
      <c r="B2850" s="5" t="s">
        <v>5208</v>
      </c>
      <c r="C2850" s="6">
        <v>1.0</v>
      </c>
      <c r="D2850" s="9" t="s">
        <v>5209</v>
      </c>
      <c r="E2850" s="8" t="str">
        <f>IFERROR(__xludf.DUMMYFUNCTION("googletranslate(D2850,""id"",""en"")"),"Warung on the roadside is dissolved, no compensation! PPKM which only makes traders difficult, better terminated")</f>
        <v>Warung on the roadside is dissolved, no compensation! PPKM which only makes traders difficult, better terminated</v>
      </c>
    </row>
    <row r="2851" ht="15.75" customHeight="1">
      <c r="A2851" s="2">
        <v>2850.0</v>
      </c>
      <c r="B2851" s="5" t="s">
        <v>5210</v>
      </c>
      <c r="C2851" s="6">
        <v>1.0</v>
      </c>
      <c r="D2851" s="9" t="s">
        <v>5211</v>
      </c>
      <c r="E2851" s="8" t="str">
        <f>IFERROR(__xludf.DUMMYFUNCTION("googletranslate(D2851,""id"",""en"")"),"This stupid reason. If you want to speed up the vaccine, double the location of the vaccine. BKN with paid. CBA imagine a company employee or rich individual who capable of paying it uses the money for a vaccine for the poor people who don't work because "&amp;"of PPKM. Pstl lbh is good")</f>
        <v>This stupid reason. If you want to speed up the vaccine, double the location of the vaccine. BKN with paid. CBA imagine a company employee or rich individual who capable of paying it uses the money for a vaccine for the poor people who don't work because of PPKM. Pstl lbh is good</v>
      </c>
    </row>
    <row r="2852" ht="15.75" customHeight="1">
      <c r="A2852" s="2">
        <v>2851.0</v>
      </c>
      <c r="B2852" s="5" t="s">
        <v>5212</v>
      </c>
      <c r="C2852" s="6">
        <v>3.0</v>
      </c>
      <c r="D2852" s="9" t="s">
        <v>5213</v>
      </c>
      <c r="E2852" s="8" t="str">
        <f>IFERROR(__xludf.DUMMYFUNCTION("googletranslate(D2852,""id"",""en"")"),"Alhamdulillah ... it deserves SJ hasty in the account of the account, it is also a manifestation of the governance of healthy greetings always for &amp; amp; Keljg for all cadres including the management of the discipline of PPKM &amp; amp; Prokes")</f>
        <v>Alhamdulillah ... it deserves SJ hasty in the account of the account, it is also a manifestation of the governance of healthy greetings always for &amp; amp; Keljg for all cadres including the management of the discipline of PPKM &amp; amp; Prokes</v>
      </c>
    </row>
    <row r="2853" ht="15.75" customHeight="1">
      <c r="A2853" s="2">
        <v>2852.0</v>
      </c>
      <c r="B2853" s="5" t="s">
        <v>5214</v>
      </c>
      <c r="C2853" s="6">
        <v>2.0</v>
      </c>
      <c r="D2853" s="10" t="s">
        <v>5215</v>
      </c>
      <c r="E2853" s="8" t="str">
        <f>IFERROR(__xludf.DUMMYFUNCTION("googletranslate(D2853,""id"",""en"")"),"This is due to the PPKM.")</f>
        <v>This is due to the PPKM.</v>
      </c>
    </row>
    <row r="2854" ht="15.75" customHeight="1">
      <c r="A2854" s="2">
        <v>2853.0</v>
      </c>
      <c r="B2854" s="5" t="s">
        <v>5216</v>
      </c>
      <c r="C2854" s="6">
        <v>2.0</v>
      </c>
      <c r="D2854" s="9" t="s">
        <v>5217</v>
      </c>
      <c r="E2854" s="8" t="str">
        <f>IFERROR(__xludf.DUMMYFUNCTION("googletranslate(D2854,""id"",""en"")"),"Nnti aj sayank, klou dh sin cpkm, trusna if I installed wifi. I'm Kabarin")</f>
        <v>Nnti aj sayank, klou dh sin cpkm, trusna if I installed wifi. I'm Kabarin</v>
      </c>
    </row>
    <row r="2855" ht="15.75" customHeight="1">
      <c r="A2855" s="2">
        <v>2854.0</v>
      </c>
      <c r="B2855" s="5" t="s">
        <v>5218</v>
      </c>
      <c r="C2855" s="6">
        <v>2.0</v>
      </c>
      <c r="D2855" s="9" t="s">
        <v>5219</v>
      </c>
      <c r="E2855" s="8" t="str">
        <f>IFERROR(__xludf.DUMMYFUNCTION("googletranslate(D2855,""id"",""en"")"),"Don't forget PPKM ""Morning Morning Having Sun"" Jakarta, Indonesia")</f>
        <v>Don't forget PPKM "Morning Morning Having Sun" Jakarta, Indonesia</v>
      </c>
    </row>
    <row r="2856" ht="15.75" customHeight="1">
      <c r="A2856" s="2">
        <v>2855.0</v>
      </c>
      <c r="B2856" s="5" t="s">
        <v>5220</v>
      </c>
      <c r="C2856" s="6">
        <v>3.0</v>
      </c>
      <c r="D2856" s="7" t="s">
        <v>5221</v>
      </c>
      <c r="E2856" s="8" t="str">
        <f>IFERROR(__xludf.DUMMYFUNCTION("googletranslate(D2856,""id"",""en"")"),"Stop widening hoax, obey the prokes, immediately vaccines for residents who can indeed be vaccinated so we can protect people who are unable to vaccine. So that Herd Immunity is immediately formed, we can side with Covid SPT other countries. Capek PPKM co"&amp;"ntinues.")</f>
        <v>Stop widening hoax, obey the prokes, immediately vaccines for residents who can indeed be vaccinated so we can protect people who are unable to vaccine. So that Herd Immunity is immediately formed, we can side with Covid SPT other countries. Capek PPKM continues.</v>
      </c>
    </row>
    <row r="2857" ht="15.75" customHeight="1">
      <c r="A2857" s="2">
        <v>2856.0</v>
      </c>
      <c r="B2857" s="5" t="s">
        <v>5222</v>
      </c>
      <c r="C2857" s="6">
        <v>2.0</v>
      </c>
      <c r="D2857" s="7" t="s">
        <v>5223</v>
      </c>
      <c r="E2857" s="8" t="str">
        <f>IFERROR(__xludf.DUMMYFUNCTION("googletranslate(D2857,""id"",""en"")"),"Min, there are drivers who pickup my sales (via Tokopedia), but when delivering the package to be rejected by the buyer's complex because the PPKM complex is closed at night. He has returned the item to me but the application must not work. I wonder how ?")</f>
        <v>Min, there are drivers who pickup my sales (via Tokopedia), but when delivering the package to be rejected by the buyer's complex because the PPKM complex is closed at night. He has returned the item to me but the application must not work. I wonder how ?</v>
      </c>
    </row>
    <row r="2858" ht="15.75" customHeight="1">
      <c r="A2858" s="2">
        <v>2857.0</v>
      </c>
      <c r="B2858" s="5" t="s">
        <v>5224</v>
      </c>
      <c r="C2858" s="6">
        <v>1.0</v>
      </c>
      <c r="D2858" s="9" t="s">
        <v>5225</v>
      </c>
      <c r="E2858" s="8" t="str">
        <f>IFERROR(__xludf.DUMMYFUNCTION("googletranslate(D2858,""id"",""en"")"),"PPKM and the road closed the correlation What tried?! The construction sector remains% WFO, but the road access is closed late, this is the road to go on the way")</f>
        <v>PPKM and the road closed the correlation What tried?! The construction sector remains% WFO, but the road access is closed late, this is the road to go on the way</v>
      </c>
    </row>
    <row r="2859" ht="15.75" customHeight="1">
      <c r="A2859" s="2">
        <v>2858.0</v>
      </c>
      <c r="B2859" s="5" t="s">
        <v>5226</v>
      </c>
      <c r="C2859" s="6">
        <v>1.0</v>
      </c>
      <c r="D2859" s="9" t="s">
        <v>5227</v>
      </c>
      <c r="E2859" s="8" t="str">
        <f>IFERROR(__xludf.DUMMYFUNCTION("googletranslate(D2859,""id"",""en"")"),"Mr. Is this proof that a controlled pandemic? Many people are starving because they are prohibited from leaving home. Do not be charged to the people due to the negative from PPKM, use Law No.6 / 2018 as quarantine reference.")</f>
        <v>Mr. Is this proof that a controlled pandemic? Many people are starving because they are prohibited from leaving home. Do not be charged to the people due to the negative from PPKM, use Law No.6 / 2018 as quarantine reference.</v>
      </c>
    </row>
    <row r="2860" ht="15.75" customHeight="1">
      <c r="A2860" s="2">
        <v>2859.0</v>
      </c>
      <c r="B2860" s="5" t="s">
        <v>5228</v>
      </c>
      <c r="C2860" s="6">
        <v>1.0</v>
      </c>
      <c r="D2860" s="7" t="s">
        <v>5229</v>
      </c>
      <c r="E2860" s="8" t="str">
        <f>IFERROR(__xludf.DUMMYFUNCTION("googletranslate(D2860,""id"",""en"")"),"Emergency PPKM ngak need to be extended ... enough to date unless the government guarantees the rental of the place of business. Paying salaries of employees3.Menjamin the need for living during the Emergency PPKM, all people can stress not because of cov"&amp;"id but because there is no work and capital")</f>
        <v>Emergency PPKM ngak need to be extended ... enough to date unless the government guarantees the rental of the place of business. Paying salaries of employees3.Menjamin the need for living during the Emergency PPKM, all people can stress not because of covid but because there is no work and capital</v>
      </c>
    </row>
    <row r="2861" ht="15.75" customHeight="1">
      <c r="A2861" s="2">
        <v>2860.0</v>
      </c>
      <c r="B2861" s="5" t="s">
        <v>5230</v>
      </c>
      <c r="C2861" s="6">
        <v>1.0</v>
      </c>
      <c r="D2861" s="7" t="s">
        <v>5231</v>
      </c>
      <c r="E2861" s="8" t="str">
        <f>IFERROR(__xludf.DUMMYFUNCTION("googletranslate(D2861,""id"",""en"")"),"PPKM: Plintat Plintut Kaga Think")</f>
        <v>PPKM: Plintat Plintut Kaga Think</v>
      </c>
    </row>
    <row r="2862" ht="15.75" customHeight="1">
      <c r="A2862" s="2">
        <v>2861.0</v>
      </c>
      <c r="B2862" s="5" t="s">
        <v>5232</v>
      </c>
      <c r="C2862" s="6">
        <v>1.0</v>
      </c>
      <c r="D2862" s="7" t="s">
        <v>5232</v>
      </c>
      <c r="E2862" s="8" t="str">
        <f>IFERROR(__xludf.DUMMYFUNCTION("googletranslate(D2862,""id"",""en"")"),"Morning morning UDH On Rp. Really PPKM makes Gabut Men")</f>
        <v>Morning morning UDH On Rp. Really PPKM makes Gabut Men</v>
      </c>
    </row>
    <row r="2863" ht="15.75" customHeight="1">
      <c r="A2863" s="2">
        <v>2862.0</v>
      </c>
      <c r="B2863" s="5" t="s">
        <v>5233</v>
      </c>
      <c r="C2863" s="6">
        <v>1.0</v>
      </c>
      <c r="D2863" s="9" t="s">
        <v>5234</v>
      </c>
      <c r="E2863" s="8" t="str">
        <f>IFERROR(__xludf.DUMMYFUNCTION("googletranslate(D2863,""id"",""en"")"),"All jobs will be essential if the affection is stomach. Moreover, those who work for eating that day too, the problem is some people who got the impact of the ""bad side"" of PPKM were those people.")</f>
        <v>All jobs will be essential if the affection is stomach. Moreover, those who work for eating that day too, the problem is some people who got the impact of the "bad side" of PPKM were those people.</v>
      </c>
    </row>
    <row r="2864" ht="15.75" customHeight="1">
      <c r="A2864" s="2">
        <v>2863.0</v>
      </c>
      <c r="B2864" s="5" t="s">
        <v>5235</v>
      </c>
      <c r="C2864" s="6">
        <v>1.0</v>
      </c>
      <c r="D2864" s="7" t="s">
        <v>5236</v>
      </c>
      <c r="E2864" s="8" t="str">
        <f>IFERROR(__xludf.DUMMYFUNCTION("googletranslate(D2864,""id"",""en"")"),"Yakali PPKM added")</f>
        <v>Yakali PPKM added</v>
      </c>
    </row>
    <row r="2865" ht="15.75" customHeight="1">
      <c r="A2865" s="2">
        <v>2864.0</v>
      </c>
      <c r="B2865" s="5" t="s">
        <v>5237</v>
      </c>
      <c r="C2865" s="6">
        <v>1.0</v>
      </c>
      <c r="D2865" s="9" t="s">
        <v>5238</v>
      </c>
      <c r="E2865" s="8" t="str">
        <f>IFERROR(__xludf.DUMMYFUNCTION("googletranslate(D2865,""id"",""en"")"),"Troubleshooting without a PSBB solution is replaced by the PPKM already, the vaccine process is asking for forgiveness")</f>
        <v>Troubleshooting without a PSBB solution is replaced by the PPKM already, the vaccine process is asking for forgiveness</v>
      </c>
    </row>
    <row r="2866" ht="15.75" customHeight="1">
      <c r="A2866" s="2">
        <v>2865.0</v>
      </c>
      <c r="B2866" s="5" t="s">
        <v>5239</v>
      </c>
      <c r="C2866" s="6">
        <v>1.0</v>
      </c>
      <c r="D2866" s="7" t="s">
        <v>5240</v>
      </c>
      <c r="E2866" s="8" t="str">
        <f>IFERROR(__xludf.DUMMYFUNCTION("googletranslate(D2866,""id"",""en"")"),"it's difficult for the ppkm gini miss the life of SM TMEN2")</f>
        <v>it's difficult for the ppkm gini miss the life of SM TMEN2</v>
      </c>
    </row>
    <row r="2867" ht="15.75" customHeight="1">
      <c r="A2867" s="2">
        <v>2866.0</v>
      </c>
      <c r="B2867" s="5" t="s">
        <v>5241</v>
      </c>
      <c r="C2867" s="6">
        <v>1.0</v>
      </c>
      <c r="D2867" s="9" t="s">
        <v>5242</v>
      </c>
      <c r="E2867" s="8" t="str">
        <f>IFERROR(__xludf.DUMMYFUNCTION("googletranslate(D2867,""id"",""en"")"),"Lha yes PPKM was applied but the bansos did not go down. Then the people told to eat the wind ???")</f>
        <v>Lha yes PPKM was applied but the bansos did not go down. Then the people told to eat the wind ???</v>
      </c>
    </row>
    <row r="2868" ht="15.75" customHeight="1">
      <c r="A2868" s="2">
        <v>2867.0</v>
      </c>
      <c r="B2868" s="5" t="s">
        <v>5243</v>
      </c>
      <c r="C2868" s="6">
        <v>1.0</v>
      </c>
      <c r="D2868" s="9" t="s">
        <v>5244</v>
      </c>
      <c r="E2868" s="8" t="str">
        <f>IFERROR(__xludf.DUMMYFUNCTION("googletranslate(D2868,""id"",""en"")"),"Returning to Submitting the Heart Let me often meet, eh hit PPKM so still feels LDR. More nyesek if the LDR is close but can't meet it than when it's really really really yes ... the best croissant everrr")</f>
        <v>Returning to Submitting the Heart Let me often meet, eh hit PPKM so still feels LDR. More nyesek if the LDR is close but can't meet it than when it's really really really yes ... the best croissant everrr</v>
      </c>
    </row>
    <row r="2869" ht="15.75" customHeight="1">
      <c r="A2869" s="2">
        <v>2868.0</v>
      </c>
      <c r="B2869" s="5" t="s">
        <v>5245</v>
      </c>
      <c r="C2869" s="6">
        <v>2.0</v>
      </c>
      <c r="D2869" s="7" t="s">
        <v>5246</v>
      </c>
      <c r="E2869" s="8" t="str">
        <f>IFERROR(__xludf.DUMMYFUNCTION("googletranslate(D2869,""id"",""en"")"),"Met Morning Friends, Met Together with PPKM Activities Here we can still breathe freely on the edge of the river ..")</f>
        <v>Met Morning Friends, Met Together with PPKM Activities Here we can still breathe freely on the edge of the river ..</v>
      </c>
    </row>
    <row r="2870" ht="15.75" customHeight="1">
      <c r="A2870" s="2">
        <v>2869.0</v>
      </c>
      <c r="B2870" s="5" t="s">
        <v>5247</v>
      </c>
      <c r="C2870" s="6">
        <v>1.0</v>
      </c>
      <c r="D2870" s="9" t="s">
        <v>5248</v>
      </c>
      <c r="E2870" s="8" t="str">
        <f>IFERROR(__xludf.DUMMYFUNCTION("googletranslate(D2870,""id"",""en"")"),"The policy isn't really true. Silop which is in the field even though it only runs the task at least it can vulnerable, it's hard to taste the most prokes and most PPKM. It's hard to snapped people who are looking for daily money, right, but every month B"&amp;"rother is also paid")</f>
        <v>The policy isn't really true. Silop which is in the field even though it only runs the task at least it can vulnerable, it's hard to taste the most prokes and most PPKM. It's hard to snapped people who are looking for daily money, right, but every month Brother is also paid</v>
      </c>
    </row>
    <row r="2871" ht="15.75" customHeight="1">
      <c r="A2871" s="2">
        <v>2870.0</v>
      </c>
      <c r="B2871" s="5" t="s">
        <v>5249</v>
      </c>
      <c r="C2871" s="6">
        <v>1.0</v>
      </c>
      <c r="D2871" s="7" t="s">
        <v>5250</v>
      </c>
      <c r="E2871" s="8" t="str">
        <f>IFERROR(__xludf.DUMMYFUNCTION("googletranslate(D2871,""id"",""en"")"),"Controlled but apply Emergency PPKM ?????")</f>
        <v>Controlled but apply Emergency PPKM ?????</v>
      </c>
    </row>
    <row r="2872" ht="15.75" customHeight="1">
      <c r="A2872" s="2">
        <v>2871.0</v>
      </c>
      <c r="B2872" s="5" t="s">
        <v>5251</v>
      </c>
      <c r="C2872" s="6">
        <v>1.0</v>
      </c>
      <c r="D2872" s="9" t="s">
        <v>5252</v>
      </c>
      <c r="E2872" s="8" t="str">
        <f>IFERROR(__xludf.DUMMYFUNCTION("googletranslate(D2872,""id"",""en"")"),"Wow if it's extended, PPKM (we slowly die)")</f>
        <v>Wow if it's extended, PPKM (we slowly die)</v>
      </c>
    </row>
    <row r="2873" ht="15.75" customHeight="1">
      <c r="A2873" s="2">
        <v>2872.0</v>
      </c>
      <c r="B2873" s="5" t="s">
        <v>5253</v>
      </c>
      <c r="C2873" s="6">
        <v>1.0</v>
      </c>
      <c r="D2873" s="7" t="s">
        <v>5254</v>
      </c>
      <c r="E2873" s="8" t="str">
        <f>IFERROR(__xludf.DUMMYFUNCTION("googletranslate(D2873,""id"",""en"")"),"Sunday PPKM is increasingly crazy about policy. Week, it's already morally marited the week asw lh")</f>
        <v>Sunday PPKM is increasingly crazy about policy. Week, it's already morally marited the week asw lh</v>
      </c>
    </row>
    <row r="2874" ht="15.75" customHeight="1">
      <c r="A2874" s="2">
        <v>2873.0</v>
      </c>
      <c r="B2874" s="5" t="s">
        <v>5255</v>
      </c>
      <c r="C2874" s="6">
        <v>1.0</v>
      </c>
      <c r="D2874" s="9" t="s">
        <v>5256</v>
      </c>
      <c r="E2874" s="8" t="str">
        <f>IFERROR(__xludf.DUMMYFUNCTION("googletranslate(D2874,""id"",""en"")"),"if the handle is like this, if you take care of the climber, it's just someone ... MAO is extended, the middle school is still the result of the top number of climb problems, the solution follows the way Singapore responds to the climit. Starting from the"&amp;" district of which is still green so on the smp smw district")</f>
        <v>if the handle is like this, if you take care of the climber, it's just someone ... MAO is extended, the middle school is still the result of the top number of climb problems, the solution follows the way Singapore responds to the climit. Starting from the district of which is still green so on the smp smw district</v>
      </c>
    </row>
    <row r="2875" ht="15.75" customHeight="1">
      <c r="A2875" s="2">
        <v>2874.0</v>
      </c>
      <c r="B2875" s="5" t="s">
        <v>5257</v>
      </c>
      <c r="C2875" s="6">
        <v>1.0</v>
      </c>
      <c r="D2875" s="9" t="s">
        <v>5258</v>
      </c>
      <c r="E2875" s="8" t="str">
        <f>IFERROR(__xludf.DUMMYFUNCTION("googletranslate(D2875,""id"",""en"")"),"Basically the people did not question PPKM / Lockdown extended to anytime the government guarantees the livelihoods and lives of all its people")</f>
        <v>Basically the people did not question PPKM / Lockdown extended to anytime the government guarantees the livelihoods and lives of all its people</v>
      </c>
    </row>
    <row r="2876" ht="15.75" customHeight="1">
      <c r="A2876" s="2">
        <v>2875.0</v>
      </c>
      <c r="B2876" s="5" t="s">
        <v>5259</v>
      </c>
      <c r="C2876" s="6">
        <v>2.0</v>
      </c>
      <c r="D2876" s="7" t="s">
        <v>5260</v>
      </c>
      <c r="E2876" s="8" t="str">
        <f>IFERROR(__xludf.DUMMYFUNCTION("googletranslate(D2876,""id"",""en"")"),"Good morning min ..mau asked for disbursement of BPJSKEFER in the PPKM now whether you can directly come to the office or FIA online, bro ..thx")</f>
        <v>Good morning min ..mau asked for disbursement of BPJSKEFER in the PPKM now whether you can directly come to the office or FIA online, bro ..thx</v>
      </c>
    </row>
    <row r="2877" ht="15.75" customHeight="1">
      <c r="A2877" s="2">
        <v>2876.0</v>
      </c>
      <c r="B2877" s="5" t="s">
        <v>5261</v>
      </c>
      <c r="C2877" s="6">
        <v>1.0</v>
      </c>
      <c r="D2877" s="7" t="s">
        <v>5261</v>
      </c>
      <c r="E2877" s="8" t="str">
        <f>IFERROR(__xludf.DUMMYFUNCTION("googletranslate(D2877,""id"",""en"")"),"It doesn't work if the PPKM is extended, huuuaaa I want to walk")</f>
        <v>It doesn't work if the PPKM is extended, huuuaaa I want to walk</v>
      </c>
    </row>
    <row r="2878" ht="15.75" customHeight="1">
      <c r="A2878" s="2">
        <v>2877.0</v>
      </c>
      <c r="B2878" s="5" t="s">
        <v>5262</v>
      </c>
      <c r="C2878" s="6">
        <v>1.0</v>
      </c>
      <c r="D2878" s="7" t="s">
        <v>5263</v>
      </c>
      <c r="E2878" s="8" t="str">
        <f>IFERROR(__xludf.DUMMYFUNCTION("googletranslate(D2878,""id"",""en"")"),"Testing is still low sir, the position of the positivity rate even rises percent from the initial PPKM period.")</f>
        <v>Testing is still low sir, the position of the positivity rate even rises percent from the initial PPKM period.</v>
      </c>
    </row>
    <row r="2879" ht="15.75" customHeight="1">
      <c r="A2879" s="2">
        <v>2878.0</v>
      </c>
      <c r="B2879" s="5" t="s">
        <v>5264</v>
      </c>
      <c r="C2879" s="6">
        <v>1.0</v>
      </c>
      <c r="D2879" s="9" t="s">
        <v>5265</v>
      </c>
      <c r="E2879" s="8" t="str">
        <f>IFERROR(__xludf.DUMMYFUNCTION("googletranslate(D2879,""id"",""en"")"),"With the government's record of the government, it can guarantee the fulfillment of the daily needs of residents affected by PPKM, doctors, so that they can live normally and be healthy, without the need to leave the house to work, without it all the same"&amp;" as strangling the people to death")</f>
        <v>With the government's record of the government, it can guarantee the fulfillment of the daily needs of residents affected by PPKM, doctors, so that they can live normally and be healthy, without the need to leave the house to work, without it all the same as strangling the people to death</v>
      </c>
    </row>
    <row r="2880" ht="15.75" customHeight="1">
      <c r="A2880" s="2">
        <v>2879.0</v>
      </c>
      <c r="B2880" s="5" t="s">
        <v>5266</v>
      </c>
      <c r="C2880" s="6">
        <v>1.0</v>
      </c>
      <c r="D2880" s="7" t="s">
        <v>5267</v>
      </c>
      <c r="E2880" s="8" t="str">
        <f>IFERROR(__xludf.DUMMYFUNCTION("googletranslate(D2880,""id"",""en"")"),"Dear, sir tiredly listen to the sad news every day. Emergency PPKM stop, Jalanin Karantina Region, live in its citizens while at home. You ask for PPKM, but you also ask us to work, not to make a living, but looking for disease. Sad me, sir.")</f>
        <v>Dear, sir tiredly listen to the sad news every day. Emergency PPKM stop, Jalanin Karantina Region, live in its citizens while at home. You ask for PPKM, but you also ask us to work, not to make a living, but looking for disease. Sad me, sir.</v>
      </c>
    </row>
    <row r="2881" ht="15.75" customHeight="1">
      <c r="A2881" s="2">
        <v>2880.0</v>
      </c>
      <c r="B2881" s="5" t="s">
        <v>5268</v>
      </c>
      <c r="C2881" s="6">
        <v>2.0</v>
      </c>
      <c r="D2881" s="7" t="s">
        <v>5269</v>
      </c>
      <c r="E2881" s="8" t="str">
        <f>IFERROR(__xludf.DUMMYFUNCTION("googletranslate(D2881,""id"",""en"")"),"Djanur multiply the internal game during the PPKM")</f>
        <v>Djanur multiply the internal game during the PPKM</v>
      </c>
    </row>
    <row r="2882" ht="15.75" customHeight="1">
      <c r="A2882" s="2">
        <v>2881.0</v>
      </c>
      <c r="B2882" s="5" t="s">
        <v>5270</v>
      </c>
      <c r="C2882" s="6">
        <v>2.0</v>
      </c>
      <c r="D2882" s="7" t="s">
        <v>5271</v>
      </c>
      <c r="E2882" s="8" t="str">
        <f>IFERROR(__xludf.DUMMYFUNCTION("googletranslate(D2882,""id"",""en"")"),"PPKM will be extended until Aug")</f>
        <v>PPKM will be extended until Aug</v>
      </c>
    </row>
    <row r="2883" ht="15.75" customHeight="1">
      <c r="A2883" s="2">
        <v>2882.0</v>
      </c>
      <c r="B2883" s="5" t="s">
        <v>5272</v>
      </c>
      <c r="C2883" s="6">
        <v>2.0</v>
      </c>
      <c r="D2883" s="7" t="s">
        <v>5273</v>
      </c>
      <c r="E2883" s="8" t="str">
        <f>IFERROR(__xludf.DUMMYFUNCTION("googletranslate(D2883,""id"",""en"")"),"Ppkm discount there is no?")</f>
        <v>Ppkm discount there is no?</v>
      </c>
    </row>
    <row r="2884" ht="15.75" customHeight="1">
      <c r="A2884" s="2">
        <v>2883.0</v>
      </c>
      <c r="B2884" s="5" t="s">
        <v>5274</v>
      </c>
      <c r="C2884" s="6">
        <v>3.0</v>
      </c>
      <c r="D2884" s="7" t="s">
        <v>5275</v>
      </c>
      <c r="E2884" s="8" t="str">
        <f>IFERROR(__xludf.DUMMYFUNCTION("googletranslate(D2884,""id"",""en"")"),"Ppkmpanlan soft minggatamiin corona")</f>
        <v>Ppkmpanlan soft minggatamiin corona</v>
      </c>
    </row>
    <row r="2885" ht="15.75" customHeight="1">
      <c r="A2885" s="2">
        <v>2884.0</v>
      </c>
      <c r="B2885" s="5" t="s">
        <v>5276</v>
      </c>
      <c r="C2885" s="6">
        <v>1.0</v>
      </c>
      <c r="D2885" s="7" t="s">
        <v>5277</v>
      </c>
      <c r="E2885" s="8" t="str">
        <f>IFERROR(__xludf.DUMMYFUNCTION("googletranslate(D2885,""id"",""en"")"),"The mafia is not holiday even though ppkm")</f>
        <v>The mafia is not holiday even though ppkm</v>
      </c>
    </row>
    <row r="2886" ht="15.75" customHeight="1">
      <c r="A2886" s="2">
        <v>2885.0</v>
      </c>
      <c r="B2886" s="5" t="s">
        <v>5278</v>
      </c>
      <c r="C2886" s="6">
        <v>1.0</v>
      </c>
      <c r="D2886" s="9" t="s">
        <v>5279</v>
      </c>
      <c r="E2886" s="8" t="str">
        <f>IFERROR(__xludf.DUMMYFUNCTION("googletranslate(D2886,""id"",""en"")"),"To the President of Indonesia Sangt worsen it")</f>
        <v>To the President of Indonesia Sangt worsen it</v>
      </c>
    </row>
    <row r="2887" ht="15.75" customHeight="1">
      <c r="A2887" s="2">
        <v>2886.0</v>
      </c>
      <c r="B2887" s="5" t="s">
        <v>5280</v>
      </c>
      <c r="C2887" s="6">
        <v>2.0</v>
      </c>
      <c r="D2887" s="7" t="s">
        <v>5281</v>
      </c>
      <c r="E2887" s="8" t="str">
        <f>IFERROR(__xludf.DUMMYFUNCTION("googletranslate(D2887,""id"",""en"")"),"Right when the ppkm is snack here but it is obliged to take away, there is no one who eats there ... it's quiet at that time it was wakwak")</f>
        <v>Right when the ppkm is snack here but it is obliged to take away, there is no one who eats there ... it's quiet at that time it was wakwak</v>
      </c>
    </row>
    <row r="2888" ht="15.75" customHeight="1">
      <c r="A2888" s="2">
        <v>2887.0</v>
      </c>
      <c r="B2888" s="5" t="s">
        <v>5282</v>
      </c>
      <c r="C2888" s="6">
        <v>1.0</v>
      </c>
      <c r="D2888" s="9" t="s">
        <v>5283</v>
      </c>
      <c r="E2888" s="8" t="str">
        <f>IFERROR(__xludf.DUMMYFUNCTION("googletranslate(D2888,""id"",""en"")"),"Don't play easily, just asked why I still came out, if I couldn't eat it, I was given to eat, if I was to pay the home installments, it was paid or the bank was asked not to add it during the PPKM.")</f>
        <v>Don't play easily, just asked why I still came out, if I couldn't eat it, I was given to eat, if I was to pay the home installments, it was paid or the bank was asked not to add it during the PPKM.</v>
      </c>
    </row>
    <row r="2889" ht="15.75" customHeight="1">
      <c r="A2889" s="2">
        <v>2888.0</v>
      </c>
      <c r="B2889" s="5" t="s">
        <v>5284</v>
      </c>
      <c r="C2889" s="6">
        <v>1.0</v>
      </c>
      <c r="D2889" s="7" t="s">
        <v>5285</v>
      </c>
      <c r="E2889" s="8" t="str">
        <f>IFERROR(__xludf.DUMMYFUNCTION("googletranslate(D2889,""id"",""en"")"),"It is said that the PPKM will be worked on, it will continue to have help for men who are far from the wife who can't turn home?")</f>
        <v>It is said that the PPKM will be worked on, it will continue to have help for men who are far from the wife who can't turn home?</v>
      </c>
    </row>
    <row r="2890" ht="15.75" customHeight="1">
      <c r="A2890" s="2">
        <v>2889.0</v>
      </c>
      <c r="B2890" s="5" t="s">
        <v>5286</v>
      </c>
      <c r="C2890" s="6">
        <v>1.0</v>
      </c>
      <c r="D2890" s="7" t="s">
        <v>5287</v>
      </c>
      <c r="E2890" s="8" t="str">
        <f>IFERROR(__xludf.DUMMYFUNCTION("googletranslate(D2890,""id"",""en"")"),"Don't get ppkm, it's confused, I'm confused about you want.")</f>
        <v>Don't get ppkm, it's confused, I'm confused about you want.</v>
      </c>
    </row>
    <row r="2891" ht="15.75" customHeight="1">
      <c r="A2891" s="2">
        <v>2890.0</v>
      </c>
      <c r="B2891" s="5" t="s">
        <v>5288</v>
      </c>
      <c r="C2891" s="6">
        <v>2.0</v>
      </c>
      <c r="D2891" s="7" t="s">
        <v>5288</v>
      </c>
      <c r="E2891" s="8" t="str">
        <f>IFERROR(__xludf.DUMMYFUNCTION("googletranslate(D2891,""id"",""en"")"),"Leccline of the ppkm, huh?")</f>
        <v>Leccline of the ppkm, huh?</v>
      </c>
    </row>
    <row r="2892" ht="15.75" customHeight="1">
      <c r="A2892" s="2">
        <v>2891.0</v>
      </c>
      <c r="B2892" s="5" t="s">
        <v>5289</v>
      </c>
      <c r="C2892" s="6">
        <v>2.0</v>
      </c>
      <c r="D2892" s="7" t="s">
        <v>5290</v>
      </c>
      <c r="E2892" s="8" t="str">
        <f>IFERROR(__xludf.DUMMYFUNCTION("googletranslate(D2892,""id"",""en"")"),"want ppkm and km kk ahahah")</f>
        <v>want ppkm and km kk ahahah</v>
      </c>
    </row>
    <row r="2893" ht="15.75" customHeight="1">
      <c r="A2893" s="2">
        <v>2892.0</v>
      </c>
      <c r="B2893" s="5" t="s">
        <v>5291</v>
      </c>
      <c r="C2893" s="6">
        <v>1.0</v>
      </c>
      <c r="D2893" s="9" t="s">
        <v>5292</v>
      </c>
      <c r="E2893" s="8" t="str">
        <f>IFERROR(__xludf.DUMMYFUNCTION("googletranslate(D2893,""id"",""en"")"),"The government is really in difficult and wrong situations. PPKM was tightened by many who protested about the economy TP on the other hand the same group proposed Lockdown as a solution of the issue packed in the PPKM extension (HOAX). The goal is to bur"&amp;"n anxiety.")</f>
        <v>The government is really in difficult and wrong situations. PPKM was tightened by many who protested about the economy TP on the other hand the same group proposed Lockdown as a solution of the issue packed in the PPKM extension (HOAX). The goal is to burn anxiety.</v>
      </c>
    </row>
    <row r="2894" ht="15.75" customHeight="1">
      <c r="A2894" s="2">
        <v>2893.0</v>
      </c>
      <c r="B2894" s="5" t="s">
        <v>5293</v>
      </c>
      <c r="C2894" s="6">
        <v>2.0</v>
      </c>
      <c r="D2894" s="7" t="s">
        <v>5293</v>
      </c>
      <c r="E2894" s="8" t="str">
        <f>IFERROR(__xludf.DUMMYFUNCTION("googletranslate(D2894,""id"",""en"")"),"New ppkm parte huh?")</f>
        <v>New ppkm parte huh?</v>
      </c>
    </row>
    <row r="2895" ht="15.75" customHeight="1">
      <c r="A2895" s="2">
        <v>2894.0</v>
      </c>
      <c r="B2895" s="5" t="s">
        <v>5294</v>
      </c>
      <c r="C2895" s="6">
        <v>1.0</v>
      </c>
      <c r="D2895" s="7" t="s">
        <v>5295</v>
      </c>
      <c r="E2895" s="8" t="str">
        <f>IFERROR(__xludf.DUMMYFUNCTION("googletranslate(D2895,""id"",""en"")"),"The PPKM is only a road insulation .. The more difficult society to find food ..tka just entered the NKRI .. If what will be obtained from this PPKM doc?")</f>
        <v>The PPKM is only a road insulation .. The more difficult society to find food ..tka just entered the NKRI .. If what will be obtained from this PPKM doc?</v>
      </c>
    </row>
    <row r="2896" ht="15.75" customHeight="1">
      <c r="A2896" s="2">
        <v>2895.0</v>
      </c>
      <c r="B2896" s="5" t="s">
        <v>5296</v>
      </c>
      <c r="C2896" s="6">
        <v>1.0</v>
      </c>
      <c r="D2896" s="7" t="s">
        <v>5297</v>
      </c>
      <c r="E2896" s="8" t="str">
        <f>IFERROR(__xludf.DUMMYFUNCTION("googletranslate(D2896,""id"",""en"")"),"Start bored with routines every day, need renewal but now again PPKM")</f>
        <v>Start bored with routines every day, need renewal but now again PPKM</v>
      </c>
    </row>
    <row r="2897" ht="15.75" customHeight="1">
      <c r="A2897" s="2">
        <v>2896.0</v>
      </c>
      <c r="B2897" s="5" t="s">
        <v>5298</v>
      </c>
      <c r="C2897" s="6">
        <v>1.0</v>
      </c>
      <c r="D2897" s="7" t="s">
        <v>5299</v>
      </c>
      <c r="E2897" s="8" t="str">
        <f>IFERROR(__xludf.DUMMYFUNCTION("googletranslate(D2897,""id"",""en"")"),"Imports of Thousand Tons of Liquid Oxygen, Luhut: It's better to guard the last direction PPKM gave birth to a new import policy")</f>
        <v>Imports of Thousand Tons of Liquid Oxygen, Luhut: It's better to guard the last direction PPKM gave birth to a new import policy</v>
      </c>
    </row>
    <row r="2898" ht="15.75" customHeight="1">
      <c r="A2898" s="2">
        <v>2897.0</v>
      </c>
      <c r="B2898" s="5" t="s">
        <v>5300</v>
      </c>
      <c r="C2898" s="6">
        <v>2.0</v>
      </c>
      <c r="D2898" s="7" t="s">
        <v>5300</v>
      </c>
      <c r="E2898" s="8" t="str">
        <f>IFERROR(__xludf.DUMMYFUNCTION("googletranslate(D2898,""id"",""en"")"),"Iri really the same that dating continues to hang out every time it's just when the ppkm is gini, eh")</f>
        <v>Iri really the same that dating continues to hang out every time it's just when the ppkm is gini, eh</v>
      </c>
    </row>
    <row r="2899" ht="15.75" customHeight="1">
      <c r="A2899" s="2">
        <v>2898.0</v>
      </c>
      <c r="B2899" s="5" t="s">
        <v>5301</v>
      </c>
      <c r="C2899" s="6">
        <v>2.0</v>
      </c>
      <c r="D2899" s="7" t="s">
        <v>5302</v>
      </c>
      <c r="E2899" s="8" t="str">
        <f>IFERROR(__xludf.DUMMYFUNCTION("googletranslate(D2899,""id"",""en"")"),"We have time constraints for the FLS2N SMK short film competition when this PPKM, a participant colleague is ""Isoman"". Hopefully there is an extension of the time of vocational time")</f>
        <v>We have time constraints for the FLS2N SMK short film competition when this PPKM, a participant colleague is "Isoman". Hopefully there is an extension of the time of vocational time</v>
      </c>
    </row>
    <row r="2900" ht="15.75" customHeight="1">
      <c r="A2900" s="2">
        <v>2899.0</v>
      </c>
      <c r="B2900" s="5" t="s">
        <v>5303</v>
      </c>
      <c r="C2900" s="6">
        <v>3.0</v>
      </c>
      <c r="D2900" s="9" t="s">
        <v>5304</v>
      </c>
      <c r="E2900" s="8" t="str">
        <f>IFERROR(__xludf.DUMMYFUNCTION("googletranslate(D2900,""id"",""en"")"),"Good morning everything ... hopefully during this PPKM your primary needs are fulfilled, and also hopefully your soul and body are always healthy ... Aamiin")</f>
        <v>Good morning everything ... hopefully during this PPKM your primary needs are fulfilled, and also hopefully your soul and body are always healthy ... Aamiin</v>
      </c>
    </row>
    <row r="2901" ht="15.75" customHeight="1">
      <c r="A2901" s="2">
        <v>2900.0</v>
      </c>
      <c r="B2901" s="5" t="s">
        <v>5305</v>
      </c>
      <c r="C2901" s="6">
        <v>1.0</v>
      </c>
      <c r="D2901" s="7" t="s">
        <v>5306</v>
      </c>
      <c r="E2901" s="8" t="str">
        <f>IFERROR(__xludf.DUMMYFUNCTION("googletranslate(D2901,""id"",""en"")"),"Arul () Tweeted: Hrs. The Government of SPT, not only can it limit trade and work, but also to provide compensation, not to the people to choose to die or not obey PPKM to death too ()")</f>
        <v>Arul () Tweeted: Hrs. The Government of SPT, not only can it limit trade and work, but also to provide compensation, not to the people to choose to die or not obey PPKM to death too ()</v>
      </c>
    </row>
    <row r="2902" ht="15.75" customHeight="1">
      <c r="A2902" s="2">
        <v>2901.0</v>
      </c>
      <c r="B2902" s="5" t="s">
        <v>5307</v>
      </c>
      <c r="C2902" s="6">
        <v>1.0</v>
      </c>
      <c r="D2902" s="7" t="s">
        <v>5308</v>
      </c>
      <c r="E2902" s="8" t="str">
        <f>IFERROR(__xludf.DUMMYFUNCTION("googletranslate(D2902,""id"",""en"")"),"The issue of the PPKM extended until August, but it was denied by the government finished")</f>
        <v>The issue of the PPKM extended until August, but it was denied by the government finished</v>
      </c>
    </row>
    <row r="2903" ht="15.75" customHeight="1">
      <c r="A2903" s="2">
        <v>2902.0</v>
      </c>
      <c r="B2903" s="5" t="s">
        <v>5309</v>
      </c>
      <c r="C2903" s="6">
        <v>1.0</v>
      </c>
      <c r="D2903" s="9" t="s">
        <v>5310</v>
      </c>
      <c r="E2903" s="8" t="str">
        <f>IFERROR(__xludf.DUMMYFUNCTION("googletranslate(D2903,""id"",""en"")"),"The capital of PPKM letter, then the officer snapped, forbade the small people to find livelihoods. The state officer is proud he remains paid from the people of the people who are oppressed. While a lot of budget will be a lot of Corona.")</f>
        <v>The capital of PPKM letter, then the officer snapped, forbade the small people to find livelihoods. The state officer is proud he remains paid from the people of the people who are oppressed. While a lot of budget will be a lot of Corona.</v>
      </c>
    </row>
    <row r="2904" ht="15.75" customHeight="1">
      <c r="A2904" s="2">
        <v>2903.0</v>
      </c>
      <c r="B2904" s="5" t="s">
        <v>5311</v>
      </c>
      <c r="C2904" s="6">
        <v>1.0</v>
      </c>
      <c r="D2904" s="7" t="s">
        <v>5312</v>
      </c>
      <c r="E2904" s="8" t="str">
        <f>IFERROR(__xludf.DUMMYFUNCTION("googletranslate(D2904,""id"",""en"")"),"All prepare the grave land that many people fit PPKM finished your people starving")</f>
        <v>All prepare the grave land that many people fit PPKM finished your people starving</v>
      </c>
    </row>
    <row r="2905" ht="15.75" customHeight="1">
      <c r="A2905" s="2">
        <v>2904.0</v>
      </c>
      <c r="B2905" s="5" t="s">
        <v>5313</v>
      </c>
      <c r="C2905" s="6">
        <v>1.0</v>
      </c>
      <c r="D2905" s="9" t="s">
        <v>5313</v>
      </c>
      <c r="E2905" s="8" t="str">
        <f>IFERROR(__xludf.DUMMYFUNCTION("googletranslate(D2905,""id"",""en"")"),"Again, the PPKM period is that there is a mob of a convoy bike, getting into a quick lane, and escorted isilop. Special")</f>
        <v>Again, the PPKM period is that there is a mob of a convoy bike, getting into a quick lane, and escorted isilop. Special</v>
      </c>
    </row>
    <row r="2906" ht="15.75" customHeight="1">
      <c r="A2906" s="2">
        <v>2905.0</v>
      </c>
      <c r="B2906" s="5" t="s">
        <v>5314</v>
      </c>
      <c r="C2906" s="6">
        <v>1.0</v>
      </c>
      <c r="D2906" s="7" t="s">
        <v>5315</v>
      </c>
      <c r="E2906" s="8" t="str">
        <f>IFERROR(__xludf.DUMMYFUNCTION("googletranslate(D2906,""id"",""en"")"),"Emergency PPKM is really happy with a common people dying")</f>
        <v>Emergency PPKM is really happy with a common people dying</v>
      </c>
    </row>
    <row r="2907" ht="15.75" customHeight="1">
      <c r="A2907" s="2">
        <v>2906.0</v>
      </c>
      <c r="B2907" s="5" t="s">
        <v>5316</v>
      </c>
      <c r="C2907" s="6">
        <v>1.0</v>
      </c>
      <c r="D2907" s="7" t="s">
        <v>5317</v>
      </c>
      <c r="E2907" s="8" t="str">
        <f>IFERROR(__xludf.DUMMYFUNCTION("googletranslate(D2907,""id"",""en"")"),"How come it's not sensitive, a post like this at the time of Emergency PPKM. Not sensitive. Too bad")</f>
        <v>How come it's not sensitive, a post like this at the time of Emergency PPKM. Not sensitive. Too bad</v>
      </c>
    </row>
    <row r="2908" ht="15.75" customHeight="1">
      <c r="A2908" s="2">
        <v>2907.0</v>
      </c>
      <c r="B2908" s="5" t="s">
        <v>5318</v>
      </c>
      <c r="C2908" s="6">
        <v>1.0</v>
      </c>
      <c r="D2908" s="9" t="s">
        <v>5319</v>
      </c>
      <c r="E2908" s="8" t="str">
        <f>IFERROR(__xludf.DUMMYFUNCTION("googletranslate(D2908,""id"",""en"")"),"Yes, how come the PPKM makes it crazy if it's not strong, it can be stodged by the RSJ")</f>
        <v>Yes, how come the PPKM makes it crazy if it's not strong, it can be stodged by the RSJ</v>
      </c>
    </row>
    <row r="2909" ht="15.75" customHeight="1">
      <c r="A2909" s="2">
        <v>2908.0</v>
      </c>
      <c r="B2909" s="5" t="s">
        <v>5320</v>
      </c>
      <c r="C2909" s="6">
        <v>2.0</v>
      </c>
      <c r="D2909" s="9" t="s">
        <v>5321</v>
      </c>
      <c r="E2909" s="8" t="str">
        <f>IFERROR(__xludf.DUMMYFUNCTION("googletranslate(D2909,""id"",""en"")"),"this is because I use the local government uniform or how come, how come I don't have a PPKM letter to me")</f>
        <v>this is because I use the local government uniform or how come, how come I don't have a PPKM letter to me</v>
      </c>
    </row>
    <row r="2910" ht="15.75" customHeight="1">
      <c r="A2910" s="2">
        <v>2909.0</v>
      </c>
      <c r="B2910" s="5" t="s">
        <v>5322</v>
      </c>
      <c r="C2910" s="6">
        <v>1.0</v>
      </c>
      <c r="D2910" s="9" t="s">
        <v>5323</v>
      </c>
      <c r="E2910" s="8" t="str">
        <f>IFERROR(__xludf.DUMMYFUNCTION("googletranslate(D2910,""id"",""en"")"),"The longev for the PPKM can fold the finer outcome, it's pretty good than Lockdown more profit PPKM")</f>
        <v>The longev for the PPKM can fold the finer outcome, it's pretty good than Lockdown more profit PPKM</v>
      </c>
    </row>
    <row r="2911" ht="15.75" customHeight="1">
      <c r="A2911" s="2">
        <v>2910.0</v>
      </c>
      <c r="B2911" s="5" t="s">
        <v>5324</v>
      </c>
      <c r="C2911" s="6">
        <v>3.0</v>
      </c>
      <c r="D2911" s="7" t="s">
        <v>5325</v>
      </c>
      <c r="E2911" s="8" t="str">
        <f>IFERROR(__xludf.DUMMYFUNCTION("googletranslate(D2911,""id"",""en"")"),"Stop Provocation HOAK let's believe all of them on the government we are vaccine and obey PPKM and obey prokes")</f>
        <v>Stop Provocation HOAK let's believe all of them on the government we are vaccine and obey PPKM and obey prokes</v>
      </c>
    </row>
    <row r="2912" ht="15.75" customHeight="1">
      <c r="A2912" s="2">
        <v>2911.0</v>
      </c>
      <c r="B2912" s="5" t="s">
        <v>5326</v>
      </c>
      <c r="C2912" s="6">
        <v>1.0</v>
      </c>
      <c r="D2912" s="9" t="s">
        <v>5327</v>
      </c>
      <c r="E2912" s="8" t="str">
        <f>IFERROR(__xludf.DUMMYFUNCTION("googletranslate(D2912,""id"",""en"")"),"Really, it's really out of Kos Kmren Wkwkw. Ppkm gini bgt, just want to come out using confused + panic")</f>
        <v>Really, it's really out of Kos Kmren Wkwkw. Ppkm gini bgt, just want to come out using confused + panic</v>
      </c>
    </row>
    <row r="2913" ht="15.75" customHeight="1">
      <c r="A2913" s="2">
        <v>2912.0</v>
      </c>
      <c r="B2913" s="5" t="s">
        <v>5328</v>
      </c>
      <c r="C2913" s="6">
        <v>2.0</v>
      </c>
      <c r="D2913" s="9" t="s">
        <v>5328</v>
      </c>
      <c r="E2913" s="8" t="str">
        <f>IFERROR(__xludf.DUMMYFUNCTION("googletranslate(D2913,""id"",""en"")"),"It doesn't feel like I don't feel the PPKM hehe")</f>
        <v>It doesn't feel like I don't feel the PPKM hehe</v>
      </c>
    </row>
    <row r="2914" ht="15.75" customHeight="1">
      <c r="A2914" s="2">
        <v>2913.0</v>
      </c>
      <c r="B2914" s="5" t="s">
        <v>5329</v>
      </c>
      <c r="C2914" s="6">
        <v>1.0</v>
      </c>
      <c r="D2914" s="7" t="s">
        <v>5330</v>
      </c>
      <c r="E2914" s="8" t="str">
        <f>IFERROR(__xludf.DUMMYFUNCTION("googletranslate(D2914,""id"",""en"")"),"We run out of rice ... what can I ask for the Father ... how to be provoked until the PPKM is complete")</f>
        <v>We run out of rice ... what can I ask for the Father ... how to be provoked until the PPKM is complete</v>
      </c>
    </row>
    <row r="2915" ht="15.75" customHeight="1">
      <c r="A2915" s="2">
        <v>2914.0</v>
      </c>
      <c r="B2915" s="5" t="s">
        <v>5331</v>
      </c>
      <c r="C2915" s="6">
        <v>1.0</v>
      </c>
      <c r="D2915" s="9" t="s">
        <v>5332</v>
      </c>
      <c r="E2915" s="8" t="str">
        <f>IFERROR(__xludf.DUMMYFUNCTION("googletranslate(D2915,""id"",""en"")"),"PPKM, it's been a long time ago, don't you know? The end can pay employee salaries. If you have a government, what can you help? After all, there are still many foreigners in the nth for what they are slanted ... wonder just")</f>
        <v>PPKM, it's been a long time ago, don't you know? The end can pay employee salaries. If you have a government, what can you help? After all, there are still many foreigners in the nth for what they are slanted ... wonder just</v>
      </c>
    </row>
    <row r="2916" ht="15.75" customHeight="1">
      <c r="A2916" s="2">
        <v>2915.0</v>
      </c>
      <c r="B2916" s="5" t="s">
        <v>5333</v>
      </c>
      <c r="C2916" s="6">
        <v>1.0</v>
      </c>
      <c r="D2916" s="7" t="s">
        <v>5333</v>
      </c>
      <c r="E2916" s="8" t="str">
        <f>IFERROR(__xludf.DUMMYFUNCTION("googletranslate(D2916,""id"",""en"")"),"Actually the gausah exchanges are bother making PPKM regulations and giving bansos to org2, but many are not obedient like it's useless. so it's better to use herd just let the org2 do anything to do it to be hit by a virus and death too, it's gpp, it's a"&amp;" population of the diindo wkwk")</f>
        <v>Actually the gausah exchanges are bother making PPKM regulations and giving bansos to org2, but many are not obedient like it's useless. so it's better to use herd just let the org2 do anything to do it to be hit by a virus and death too, it's gpp, it's a population of the diindo wkwk</v>
      </c>
    </row>
    <row r="2917" ht="15.75" customHeight="1">
      <c r="A2917" s="2">
        <v>2916.0</v>
      </c>
      <c r="B2917" s="5" t="s">
        <v>5334</v>
      </c>
      <c r="C2917" s="6">
        <v>3.0</v>
      </c>
      <c r="D2917" s="9" t="s">
        <v>5335</v>
      </c>
      <c r="E2917" s="8" t="str">
        <f>IFERROR(__xludf.DUMMYFUNCTION("googletranslate(D2917,""id"",""en"")"),"It's hard to be narrow-minded. Ppkm for safety with bro. Later if all are vaccines, please be free.")</f>
        <v>It's hard to be narrow-minded. Ppkm for safety with bro. Later if all are vaccines, please be free.</v>
      </c>
    </row>
    <row r="2918" ht="15.75" customHeight="1">
      <c r="A2918" s="2">
        <v>2917.0</v>
      </c>
      <c r="B2918" s="5" t="s">
        <v>5336</v>
      </c>
      <c r="C2918" s="6">
        <v>3.0</v>
      </c>
      <c r="D2918" s="9" t="s">
        <v>5337</v>
      </c>
      <c r="E2918" s="8" t="str">
        <f>IFERROR(__xludf.DUMMYFUNCTION("googletranslate(D2918,""id"",""en"")"),"Waah ... amazing ... it's easy for my family sustenance in this pandemic. Moreover PPKM")</f>
        <v>Waah ... amazing ... it's easy for my family sustenance in this pandemic. Moreover PPKM</v>
      </c>
    </row>
    <row r="2919" ht="15.75" customHeight="1">
      <c r="A2919" s="2">
        <v>2918.0</v>
      </c>
      <c r="B2919" s="5" t="s">
        <v>5338</v>
      </c>
      <c r="C2919" s="6">
        <v>1.0</v>
      </c>
      <c r="D2919" s="7" t="s">
        <v>5338</v>
      </c>
      <c r="E2919" s="8" t="str">
        <f>IFERROR(__xludf.DUMMYFUNCTION("googletranslate(D2919,""id"",""en"")"),"Ppkm = murder program to humans / society")</f>
        <v>Ppkm = murder program to humans / society</v>
      </c>
    </row>
    <row r="2920" ht="15.75" customHeight="1">
      <c r="A2920" s="2">
        <v>2919.0</v>
      </c>
      <c r="B2920" s="5" t="s">
        <v>5339</v>
      </c>
      <c r="C2920" s="6">
        <v>1.0</v>
      </c>
      <c r="D2920" s="9" t="s">
        <v>5340</v>
      </c>
      <c r="E2920" s="8" t="str">
        <f>IFERROR(__xludf.DUMMYFUNCTION("googletranslate(D2920,""id"",""en"")"),"Kolo is controlled why must you have to use PPKM all sir ... Kolo Uda at the Covid PPKM, I immediately lost sir")</f>
        <v>Kolo is controlled why must you have to use PPKM all sir ... Kolo Uda at the Covid PPKM, I immediately lost sir</v>
      </c>
    </row>
    <row r="2921" ht="15.75" customHeight="1">
      <c r="A2921" s="2">
        <v>2920.0</v>
      </c>
      <c r="B2921" s="5" t="s">
        <v>5341</v>
      </c>
      <c r="C2921" s="6">
        <v>1.0</v>
      </c>
      <c r="D2921" s="7" t="s">
        <v>5342</v>
      </c>
      <c r="E2921" s="8" t="str">
        <f>IFERROR(__xludf.DUMMYFUNCTION("googletranslate(D2921,""id"",""en"")"),"Useless people forced PPKM, forced this, forced the vaccine KL source of disease was brought in")</f>
        <v>Useless people forced PPKM, forced this, forced the vaccine KL source of disease was brought in</v>
      </c>
    </row>
    <row r="2922" ht="15.75" customHeight="1">
      <c r="A2922" s="2">
        <v>2921.0</v>
      </c>
      <c r="B2922" s="5" t="s">
        <v>5343</v>
      </c>
      <c r="C2922" s="6">
        <v>2.0</v>
      </c>
      <c r="D2922" s="7" t="s">
        <v>5343</v>
      </c>
      <c r="E2922" s="8" t="str">
        <f>IFERROR(__xludf.DUMMYFUNCTION("googletranslate(D2922,""id"",""en"")"),"PPKM ... have troubled then regret ,,,,")</f>
        <v>PPKM ... have troubled then regret ,,,,</v>
      </c>
    </row>
    <row r="2923" ht="15.75" customHeight="1">
      <c r="A2923" s="2">
        <v>2922.0</v>
      </c>
      <c r="B2923" s="5" t="s">
        <v>5344</v>
      </c>
      <c r="C2923" s="6">
        <v>3.0</v>
      </c>
      <c r="D2923" s="9" t="s">
        <v>5344</v>
      </c>
      <c r="E2923" s="8" t="str">
        <f>IFERROR(__xludf.DUMMYFUNCTION("googletranslate(D2923,""id"",""en"")"),"PPKM is of course intended to take mass death and not worked on the victims exposed. Fear of policy makers is far above the average ordinary people. It must be appreciated. No need and never suspicious, industration and capitalization of problems.")</f>
        <v>PPKM is of course intended to take mass death and not worked on the victims exposed. Fear of policy makers is far above the average ordinary people. It must be appreciated. No need and never suspicious, industration and capitalization of problems.</v>
      </c>
    </row>
    <row r="2924" ht="15.75" customHeight="1">
      <c r="A2924" s="2">
        <v>2923.0</v>
      </c>
      <c r="B2924" s="5" t="s">
        <v>5345</v>
      </c>
      <c r="C2924" s="6">
        <v>3.0</v>
      </c>
      <c r="D2924" s="9" t="s">
        <v>5346</v>
      </c>
      <c r="E2924" s="8" t="str">
        <f>IFERROR(__xludf.DUMMYFUNCTION("googletranslate(D2924,""id"",""en"")"),"This is just a good example while providing a solution in implementing an emergency PPKM ala Jokowi..utk officers in the field if you run out of money, ask the KSP team, Inshaallah their salary is ready to be donated during this outbreak yet")</f>
        <v>This is just a good example while providing a solution in implementing an emergency PPKM ala Jokowi..utk officers in the field if you run out of money, ask the KSP team, Inshaallah their salary is ready to be donated during this outbreak yet</v>
      </c>
    </row>
    <row r="2925" ht="15.75" customHeight="1">
      <c r="A2925" s="2">
        <v>2924.0</v>
      </c>
      <c r="B2925" s="5" t="s">
        <v>5347</v>
      </c>
      <c r="C2925" s="6">
        <v>2.0</v>
      </c>
      <c r="D2925" s="7" t="s">
        <v>5348</v>
      </c>
      <c r="E2925" s="8" t="str">
        <f>IFERROR(__xludf.DUMMYFUNCTION("googletranslate(D2925,""id"",""en"")"),"No more typo, sir? Ngetweet PPKM extended ??")</f>
        <v>No more typo, sir? Ngetweet PPKM extended ??</v>
      </c>
    </row>
    <row r="2926" ht="15.75" customHeight="1">
      <c r="A2926" s="2">
        <v>2925.0</v>
      </c>
      <c r="B2926" s="5" t="s">
        <v>5349</v>
      </c>
      <c r="C2926" s="6">
        <v>3.0</v>
      </c>
      <c r="D2926" s="7" t="s">
        <v>5350</v>
      </c>
      <c r="E2926" s="8" t="str">
        <f>IFERROR(__xludf.DUMMYFUNCTION("googletranslate(D2926,""id"",""en"")"),"Woww Cool, the PPKM succeeded")</f>
        <v>Woww Cool, the PPKM succeeded</v>
      </c>
    </row>
    <row r="2927" ht="15.75" customHeight="1">
      <c r="A2927" s="2">
        <v>2926.0</v>
      </c>
      <c r="B2927" s="5" t="s">
        <v>5351</v>
      </c>
      <c r="C2927" s="6">
        <v>3.0</v>
      </c>
      <c r="D2927" s="9" t="s">
        <v>5352</v>
      </c>
      <c r="E2927" s="8" t="str">
        <f>IFERROR(__xludf.DUMMYFUNCTION("googletranslate(D2927,""id"",""en"")"),"Cash Bansos Receiver Can 'Bonus' Rice When Emergency PPKM Protects Families")</f>
        <v>Cash Bansos Receiver Can 'Bonus' Rice When Emergency PPKM Protects Families</v>
      </c>
    </row>
    <row r="2928" ht="15.75" customHeight="1">
      <c r="A2928" s="2">
        <v>2927.0</v>
      </c>
      <c r="B2928" s="5" t="s">
        <v>5353</v>
      </c>
      <c r="C2928" s="6">
        <v>1.0</v>
      </c>
      <c r="D2928" s="7" t="s">
        <v>5354</v>
      </c>
      <c r="E2928" s="8" t="str">
        <f>IFERROR(__xludf.DUMMYFUNCTION("googletranslate(D2928,""id"",""en"")"),"Do not imagine MRK that is restricted to trade and employment of adequate compensation, do not only have to prohibit DG emergency ppkm")</f>
        <v>Do not imagine MRK that is restricted to trade and employment of adequate compensation, do not only have to prohibit DG emergency ppkm</v>
      </c>
    </row>
    <row r="2929" ht="15.75" customHeight="1">
      <c r="A2929" s="2">
        <v>2928.0</v>
      </c>
      <c r="B2929" s="5" t="s">
        <v>5355</v>
      </c>
      <c r="C2929" s="6">
        <v>2.0</v>
      </c>
      <c r="D2929" s="9" t="s">
        <v>5356</v>
      </c>
      <c r="E2929" s="8" t="str">
        <f>IFERROR(__xludf.DUMMYFUNCTION("googletranslate(D2929,""id"",""en"")"),"I didn't miss the problem just last week before the PPKM I went to the beach, good morning, Sis Wulan, Request the song wrongly loved by Betrand Peto Putra Onsu in, Thank you Sis")</f>
        <v>I didn't miss the problem just last week before the PPKM I went to the beach, good morning, Sis Wulan, Request the song wrongly loved by Betrand Peto Putra Onsu in, Thank you Sis</v>
      </c>
    </row>
    <row r="2930" ht="15.75" customHeight="1">
      <c r="A2930" s="2">
        <v>2929.0</v>
      </c>
      <c r="B2930" s="5" t="s">
        <v>5357</v>
      </c>
      <c r="C2930" s="6">
        <v>1.0</v>
      </c>
      <c r="D2930" s="9" t="s">
        <v>5358</v>
      </c>
      <c r="E2930" s="8" t="str">
        <f>IFERROR(__xludf.DUMMYFUNCTION("googletranslate(D2930,""id"",""en"")"),"Don't forget to feed the people and fulfill the basic needs during the PPKM if it's not dzalim.")</f>
        <v>Don't forget to feed the people and fulfill the basic needs during the PPKM if it's not dzalim.</v>
      </c>
    </row>
    <row r="2931" ht="15.75" customHeight="1">
      <c r="A2931" s="2">
        <v>2930.0</v>
      </c>
      <c r="B2931" s="5" t="s">
        <v>5359</v>
      </c>
      <c r="C2931" s="6">
        <v>1.0</v>
      </c>
      <c r="D2931" s="7" t="s">
        <v>5360</v>
      </c>
      <c r="E2931" s="8" t="str">
        <f>IFERROR(__xludf.DUMMYFUNCTION("googletranslate(D2931,""id"",""en"")"),"Where is the proof that there is no Gagara PPKM, I want to go on the road to the closed, I have to eat the wind ...?")</f>
        <v>Where is the proof that there is no Gagara PPKM, I want to go on the road to the closed, I have to eat the wind ...?</v>
      </c>
    </row>
    <row r="2932" ht="15.75" customHeight="1">
      <c r="A2932" s="2">
        <v>2931.0</v>
      </c>
      <c r="B2932" s="5" t="s">
        <v>5361</v>
      </c>
      <c r="C2932" s="6">
        <v>1.0</v>
      </c>
      <c r="D2932" s="9" t="s">
        <v>5362</v>
      </c>
      <c r="E2932" s="8" t="str">
        <f>IFERROR(__xludf.DUMMYFUNCTION("googletranslate(D2932,""id"",""en"")"),"PPKM here makes food traders (resto subscriptions) especially on the main road many closes. Even though the one who is sick needs food ready to eat. GO ** k is difficult ... if the PPKM is extended hopefully in a healthy, so you can cook myself at home ..")</f>
        <v>PPKM here makes food traders (resto subscriptions) especially on the main road many closes. Even though the one who is sick needs food ready to eat. GO ** k is difficult ... if the PPKM is extended hopefully in a healthy, so you can cook myself at home ..</v>
      </c>
    </row>
    <row r="2933" ht="15.75" customHeight="1">
      <c r="A2933" s="2">
        <v>2932.0</v>
      </c>
      <c r="B2933" s="5" t="s">
        <v>5363</v>
      </c>
      <c r="C2933" s="6">
        <v>1.0</v>
      </c>
      <c r="D2933" s="7" t="s">
        <v>5364</v>
      </c>
      <c r="E2933" s="8" t="str">
        <f>IFERROR(__xludf.DUMMYFUNCTION("googletranslate(D2933,""id"",""en"")"),"PPKM is extended, finance has begun to shake the captain, yes God servants surrender to you ...")</f>
        <v>PPKM is extended, finance has begun to shake the captain, yes God servants surrender to you ...</v>
      </c>
    </row>
    <row r="2934" ht="15.75" customHeight="1">
      <c r="A2934" s="2">
        <v>2933.0</v>
      </c>
      <c r="B2934" s="5" t="s">
        <v>5365</v>
      </c>
      <c r="C2934" s="6">
        <v>2.0</v>
      </c>
      <c r="D2934" s="7" t="s">
        <v>5365</v>
      </c>
      <c r="E2934" s="8" t="str">
        <f>IFERROR(__xludf.DUMMYFUNCTION("googletranslate(D2934,""id"",""en"")"),"PPKM (never broken because of you)")</f>
        <v>PPKM (never broken because of you)</v>
      </c>
    </row>
    <row r="2935" ht="15.75" customHeight="1">
      <c r="A2935" s="2">
        <v>2934.0</v>
      </c>
      <c r="B2935" s="5" t="s">
        <v>5366</v>
      </c>
      <c r="C2935" s="6">
        <v>1.0</v>
      </c>
      <c r="D2935" s="7" t="s">
        <v>5367</v>
      </c>
      <c r="E2935" s="8" t="str">
        <f>IFERROR(__xludf.DUMMYFUNCTION("googletranslate(D2935,""id"",""en"")"),"Ehh don't arrive at PPKM again, you want a picnic")</f>
        <v>Ehh don't arrive at PPKM again, you want a picnic</v>
      </c>
    </row>
    <row r="2936" ht="15.75" customHeight="1">
      <c r="A2936" s="2">
        <v>2935.0</v>
      </c>
      <c r="B2936" s="5" t="s">
        <v>5368</v>
      </c>
      <c r="C2936" s="6">
        <v>1.0</v>
      </c>
      <c r="D2936" s="7" t="s">
        <v>5368</v>
      </c>
      <c r="E2936" s="8" t="str">
        <f>IFERROR(__xludf.DUMMYFUNCTION("googletranslate(D2936,""id"",""en"")"),"Ppkm don't be extended, plisss")</f>
        <v>Ppkm don't be extended, plisss</v>
      </c>
    </row>
    <row r="2937" ht="15.75" customHeight="1">
      <c r="A2937" s="2">
        <v>2936.0</v>
      </c>
      <c r="B2937" s="5" t="s">
        <v>5369</v>
      </c>
      <c r="C2937" s="6">
        <v>3.0</v>
      </c>
      <c r="D2937" s="7" t="s">
        <v>5369</v>
      </c>
      <c r="E2937" s="8" t="str">
        <f>IFERROR(__xludf.DUMMYFUNCTION("googletranslate(D2937,""id"",""en"")"),"After the PPKM published a data reduction from the government")</f>
        <v>After the PPKM published a data reduction from the government</v>
      </c>
    </row>
    <row r="2938" ht="15.75" customHeight="1">
      <c r="A2938" s="2">
        <v>2937.0</v>
      </c>
      <c r="B2938" s="5" t="s">
        <v>5370</v>
      </c>
      <c r="C2938" s="6">
        <v>2.0</v>
      </c>
      <c r="D2938" s="7" t="s">
        <v>5371</v>
      </c>
      <c r="E2938" s="8" t="str">
        <f>IFERROR(__xludf.DUMMYFUNCTION("googletranslate(D2938,""id"",""en"")"),"Mba ppkm (multiply using a sweet veil deh)")</f>
        <v>Mba ppkm (multiply using a sweet veil deh)</v>
      </c>
    </row>
    <row r="2939" ht="15.75" customHeight="1">
      <c r="A2939" s="2">
        <v>2938.0</v>
      </c>
      <c r="B2939" s="5" t="s">
        <v>5372</v>
      </c>
      <c r="C2939" s="6">
        <v>2.0</v>
      </c>
      <c r="D2939" s="7" t="s">
        <v>5373</v>
      </c>
      <c r="E2939" s="8" t="str">
        <f>IFERROR(__xludf.DUMMYFUNCTION("googletranslate(D2939,""id"",""en"")"),"Ppkm woooiiiii ......")</f>
        <v>Ppkm woooiiiii ......</v>
      </c>
    </row>
    <row r="2940" ht="15.75" customHeight="1">
      <c r="A2940" s="2">
        <v>2939.0</v>
      </c>
      <c r="B2940" s="5" t="s">
        <v>5374</v>
      </c>
      <c r="C2940" s="6">
        <v>2.0</v>
      </c>
      <c r="D2940" s="7" t="s">
        <v>5374</v>
      </c>
      <c r="E2940" s="8" t="str">
        <f>IFERROR(__xludf.DUMMYFUNCTION("googletranslate(D2940,""id"",""en"")"),"Ppkm = slowly we widened")</f>
        <v>Ppkm = slowly we widened</v>
      </c>
    </row>
    <row r="2941" ht="15.75" customHeight="1">
      <c r="A2941" s="2">
        <v>2940.0</v>
      </c>
      <c r="B2941" s="5" t="s">
        <v>5375</v>
      </c>
      <c r="C2941" s="6">
        <v>1.0</v>
      </c>
      <c r="D2941" s="9" t="s">
        <v>5376</v>
      </c>
      <c r="E2941" s="8" t="str">
        <f>IFERROR(__xludf.DUMMYFUNCTION("googletranslate(D2941,""id"",""en"")"),"The cafe is in accordance with the rules and processes. The chair is taken by the Satpol PP, then the one who wants to take it clustered by the Satpol PP office or is cheered on, then Covid naek again, ppkm again, continues where Nepi Pharaoh Hirup Dei")</f>
        <v>The cafe is in accordance with the rules and processes. The chair is taken by the Satpol PP, then the one who wants to take it clustered by the Satpol PP office or is cheered on, then Covid naek again, ppkm again, continues where Nepi Pharaoh Hirup Dei</v>
      </c>
    </row>
    <row r="2942" ht="15.75" customHeight="1">
      <c r="A2942" s="2">
        <v>2941.0</v>
      </c>
      <c r="B2942" s="5" t="s">
        <v>5377</v>
      </c>
      <c r="C2942" s="6">
        <v>3.0</v>
      </c>
      <c r="D2942" s="9" t="s">
        <v>5378</v>
      </c>
      <c r="E2942" s="8" t="str">
        <f>IFERROR(__xludf.DUMMYFUNCTION("googletranslate(D2942,""id"",""en"")"),"Whatever your comment on this video. At least it can provide examples for other PPKM enforcers in all countries. Sehat, it's always for the bpk.")</f>
        <v>Whatever your comment on this video. At least it can provide examples for other PPKM enforcers in all countries. Sehat, it's always for the bpk.</v>
      </c>
    </row>
    <row r="2943" ht="15.75" customHeight="1">
      <c r="A2943" s="2">
        <v>2942.0</v>
      </c>
      <c r="B2943" s="5" t="s">
        <v>5379</v>
      </c>
      <c r="C2943" s="6">
        <v>1.0</v>
      </c>
      <c r="D2943" s="7" t="s">
        <v>5380</v>
      </c>
      <c r="E2943" s="8" t="str">
        <f>IFERROR(__xludf.DUMMYFUNCTION("googletranslate(D2943,""id"",""en"")"),"Breaking News KM Extended until combined with Covid Debate and Debate Covid")</f>
        <v>Breaking News KM Extended until combined with Covid Debate and Debate Covid</v>
      </c>
    </row>
    <row r="2944" ht="15.75" customHeight="1">
      <c r="A2944" s="2">
        <v>2943.0</v>
      </c>
      <c r="B2944" s="5" t="s">
        <v>5381</v>
      </c>
      <c r="C2944" s="6">
        <v>1.0</v>
      </c>
      <c r="D2944" s="9" t="s">
        <v>5381</v>
      </c>
      <c r="E2944" s="8" t="str">
        <f>IFERROR(__xludf.DUMMYFUNCTION("googletranslate(D2944,""id"",""en"")"),"Severe if the PPKM is extended. For the sake of any PPKM it's a big impact. Some people out there because PPKM can lose a job. Then how do they support him especially if you have a child / wife? Yes, this is a pandemic, but people also get sick because th"&amp;"ey are hungry.")</f>
        <v>Severe if the PPKM is extended. For the sake of any PPKM it's a big impact. Some people out there because PPKM can lose a job. Then how do they support him especially if you have a child / wife? Yes, this is a pandemic, but people also get sick because they are hungry.</v>
      </c>
    </row>
    <row r="2945" ht="15.75" customHeight="1">
      <c r="A2945" s="2">
        <v>2944.0</v>
      </c>
      <c r="B2945" s="5" t="s">
        <v>5382</v>
      </c>
      <c r="C2945" s="6">
        <v>1.0</v>
      </c>
      <c r="D2945" s="7" t="s">
        <v>5383</v>
      </c>
      <c r="E2945" s="8" t="str">
        <f>IFERROR(__xludf.DUMMYFUNCTION("googletranslate(D2945,""id"",""en"")"),"Eating ppkm ... make the policy how come it's smart ... it's a person in the case of the case on the road, it doesn't subside &amp; amp; the economy also doesn't recover ... how come you live in Southern Ireland ...")</f>
        <v>Eating ppkm ... make the policy how come it's smart ... it's a person in the case of the case on the road, it doesn't subside &amp; amp; the economy also doesn't recover ... how come you live in Southern Ireland ...</v>
      </c>
    </row>
    <row r="2946" ht="15.75" customHeight="1">
      <c r="A2946" s="2">
        <v>2945.0</v>
      </c>
      <c r="B2946" s="5" t="s">
        <v>5384</v>
      </c>
      <c r="C2946" s="6">
        <v>1.0</v>
      </c>
      <c r="D2946" s="7" t="s">
        <v>5385</v>
      </c>
      <c r="E2946" s="8" t="str">
        <f>IFERROR(__xludf.DUMMYFUNCTION("googletranslate(D2946,""id"",""en"")"),"PPKM does not guarantee the welfare of the community, but burden the community with fine and criminal. Extraordinarily wise this regime")</f>
        <v>PPKM does not guarantee the welfare of the community, but burden the community with fine and criminal. Extraordinarily wise this regime</v>
      </c>
    </row>
    <row r="2947" ht="15.75" customHeight="1">
      <c r="A2947" s="2">
        <v>2946.0</v>
      </c>
      <c r="B2947" s="5" t="s">
        <v>5386</v>
      </c>
      <c r="C2947" s="6">
        <v>1.0</v>
      </c>
      <c r="D2947" s="7" t="s">
        <v>5387</v>
      </c>
      <c r="E2947" s="8" t="str">
        <f>IFERROR(__xludf.DUMMYFUNCTION("googletranslate(D2947,""id"",""en"")"),"The arrogance of statements and attitudes is shown just to cover the controlled controlled Chinese TKA is safe to enter the airport? The guidance should be closed when this emergency PPKM. Don't get to the PPKM Darutat so PPKM added emergency.")</f>
        <v>The arrogance of statements and attitudes is shown just to cover the controlled controlled Chinese TKA is safe to enter the airport? The guidance should be closed when this emergency PPKM. Don't get to the PPKM Darutat so PPKM added emergency.</v>
      </c>
    </row>
    <row r="2948" ht="15.75" customHeight="1">
      <c r="A2948" s="2">
        <v>2947.0</v>
      </c>
      <c r="B2948" s="5" t="s">
        <v>5388</v>
      </c>
      <c r="C2948" s="6">
        <v>1.0</v>
      </c>
      <c r="D2948" s="9" t="s">
        <v>5388</v>
      </c>
      <c r="E2948" s="8" t="str">
        <f>IFERROR(__xludf.DUMMYFUNCTION("googletranslate(D2948,""id"",""en"")"),"We've been at the saturation point and confused how we will work in the middle of this outbreak of this pandemic, applying the lockdown system - PSBB - Micro PPKM - Emergency PPKM, we have not met a bright spot whether there is a solution to us where it i"&amp;"s the same ""profitable between the government and the community.")</f>
        <v>We've been at the saturation point and confused how we will work in the middle of this outbreak of this pandemic, applying the lockdown system - PSBB - Micro PPKM - Emergency PPKM, we have not met a bright spot whether there is a solution to us where it is the same "profitable between the government and the community.</v>
      </c>
    </row>
    <row r="2949" ht="15.75" customHeight="1">
      <c r="A2949" s="2">
        <v>2948.0</v>
      </c>
      <c r="B2949" s="5" t="s">
        <v>5389</v>
      </c>
      <c r="C2949" s="6">
        <v>1.0</v>
      </c>
      <c r="D2949" s="9" t="s">
        <v>5390</v>
      </c>
      <c r="E2949" s="8" t="str">
        <f>IFERROR(__xludf.DUMMYFUNCTION("googletranslate(D2949,""id"",""en"")"),"If indeed the PPKM will be extended until Sunday, give a solution that might be the same as an antata ordinary people and officials / employees who are in the salary of the state.")</f>
        <v>If indeed the PPKM will be extended until Sunday, give a solution that might be the same as an antata ordinary people and officials / employees who are in the salary of the state.</v>
      </c>
    </row>
    <row r="2950" ht="15.75" customHeight="1">
      <c r="A2950" s="2">
        <v>2949.0</v>
      </c>
      <c r="B2950" s="5" t="s">
        <v>5391</v>
      </c>
      <c r="C2950" s="6">
        <v>1.0</v>
      </c>
      <c r="D2950" s="9" t="s">
        <v>5392</v>
      </c>
      <c r="E2950" s="8" t="str">
        <f>IFERROR(__xludf.DUMMYFUNCTION("googletranslate(D2950,""id"",""en"")"),"Which people are ... if we finally pay I think people have a person who wants, then the poor who want to make money on the persuine that makes immune at the covid gegara down gegara covid12")</f>
        <v>Which people are ... if we finally pay I think people have a person who wants, then the poor who want to make money on the persuine that makes immune at the covid gegara down gegara covid12</v>
      </c>
    </row>
    <row r="2951" ht="15.75" customHeight="1">
      <c r="A2951" s="2">
        <v>2950.0</v>
      </c>
      <c r="B2951" s="5" t="s">
        <v>5393</v>
      </c>
      <c r="C2951" s="6">
        <v>1.0</v>
      </c>
      <c r="D2951" s="7" t="s">
        <v>5394</v>
      </c>
      <c r="E2951" s="8" t="str">
        <f>IFERROR(__xludf.DUMMYFUNCTION("googletranslate(D2951,""id"",""en"")"),"Agree PPKM very interesting in small folk food clothing ...")</f>
        <v>Agree PPKM very interesting in small folk food clothing ...</v>
      </c>
    </row>
    <row r="2952" ht="15.75" customHeight="1">
      <c r="A2952" s="2">
        <v>2951.0</v>
      </c>
      <c r="B2952" s="5" t="s">
        <v>5395</v>
      </c>
      <c r="C2952" s="6">
        <v>1.0</v>
      </c>
      <c r="D2952" s="7" t="s">
        <v>5396</v>
      </c>
      <c r="E2952" s="8" t="str">
        <f>IFERROR(__xludf.DUMMYFUNCTION("googletranslate(D2952,""id"",""en"")"),"Aamiin YRA .. I've been as long as the PPKM doesn't work BUKKI, all jobs in Cancel hope that the PPKM is not extended")</f>
        <v>Aamiin YRA .. I've been as long as the PPKM doesn't work BUKKI, all jobs in Cancel hope that the PPKM is not extended</v>
      </c>
    </row>
    <row r="2953" ht="15.75" customHeight="1">
      <c r="A2953" s="2">
        <v>2952.0</v>
      </c>
      <c r="B2953" s="5" t="s">
        <v>5397</v>
      </c>
      <c r="C2953" s="6">
        <v>1.0</v>
      </c>
      <c r="D2953" s="7" t="s">
        <v>5398</v>
      </c>
      <c r="E2953" s="8" t="str">
        <f>IFERROR(__xludf.DUMMYFUNCTION("googletranslate(D2953,""id"",""en"")"),"It's a bit better, it can also be followed by economic centers activities made rotating or somehow a certain day close all non-essential. Optimizing the apparatus under socialization etc ... rather than an extension of the PPKM")</f>
        <v>It's a bit better, it can also be followed by economic centers activities made rotating or somehow a certain day close all non-essential. Optimizing the apparatus under socialization etc ... rather than an extension of the PPKM</v>
      </c>
    </row>
    <row r="2954" ht="15.75" customHeight="1">
      <c r="A2954" s="2">
        <v>2953.0</v>
      </c>
      <c r="B2954" s="5" t="s">
        <v>5399</v>
      </c>
      <c r="C2954" s="6">
        <v>2.0</v>
      </c>
      <c r="D2954" s="7" t="s">
        <v>5399</v>
      </c>
      <c r="E2954" s="8" t="str">
        <f>IFERROR(__xludf.DUMMYFUNCTION("googletranslate(D2954,""id"",""en"")"),"Slowly we miss (PPKM).")</f>
        <v>Slowly we miss (PPKM).</v>
      </c>
    </row>
    <row r="2955" ht="15.75" customHeight="1">
      <c r="A2955" s="2">
        <v>2954.0</v>
      </c>
      <c r="B2955" s="5" t="s">
        <v>5400</v>
      </c>
      <c r="C2955" s="6">
        <v>1.0</v>
      </c>
      <c r="D2955" s="7" t="s">
        <v>5401</v>
      </c>
      <c r="E2955" s="8" t="str">
        <f>IFERROR(__xludf.DUMMYFUNCTION("googletranslate(D2955,""id"",""en"")"),"Yes God hendery goes home again ppkm like this even nongki")</f>
        <v>Yes God hendery goes home again ppkm like this even nongki</v>
      </c>
    </row>
    <row r="2956" ht="15.75" customHeight="1">
      <c r="A2956" s="2">
        <v>2955.0</v>
      </c>
      <c r="B2956" s="5" t="s">
        <v>5402</v>
      </c>
      <c r="C2956" s="6">
        <v>2.0</v>
      </c>
      <c r="D2956" s="7" t="s">
        <v>5403</v>
      </c>
      <c r="E2956" s="8" t="str">
        <f>IFERROR(__xludf.DUMMYFUNCTION("googletranslate(D2956,""id"",""en"")"),"Ppkm ... what happened")</f>
        <v>Ppkm ... what happened</v>
      </c>
    </row>
    <row r="2957" ht="15.75" customHeight="1">
      <c r="A2957" s="2">
        <v>2956.0</v>
      </c>
      <c r="B2957" s="5" t="s">
        <v>5404</v>
      </c>
      <c r="C2957" s="6">
        <v>1.0</v>
      </c>
      <c r="D2957" s="9" t="s">
        <v>5405</v>
      </c>
      <c r="E2957" s="8" t="str">
        <f>IFERROR(__xludf.DUMMYFUNCTION("googletranslate(D2957,""id"",""en"")"),"KL ambigue and make me confused to be replaced because it can be overloaded or confused to face polarization in Masy. Who is able to lead in the emergency PPKM and certainly HRS is handed over by PDU so that the PPKM can be more maximal and successful. So"&amp;"mething kl wasn't handed over PD")</f>
        <v>KL ambigue and make me confused to be replaced because it can be overloaded or confused to face polarization in Masy. Who is able to lead in the emergency PPKM and certainly HRS is handed over by PDU so that the PPKM can be more maximal and successful. Something kl wasn't handed over PD</v>
      </c>
    </row>
    <row r="2958" ht="15.75" customHeight="1">
      <c r="A2958" s="2">
        <v>2957.0</v>
      </c>
      <c r="B2958" s="5" t="s">
        <v>5406</v>
      </c>
      <c r="C2958" s="6">
        <v>3.0</v>
      </c>
      <c r="D2958" s="7" t="s">
        <v>5407</v>
      </c>
      <c r="E2958" s="8" t="str">
        <f>IFERROR(__xludf.DUMMYFUNCTION("googletranslate(D2958,""id"",""en"")"),"Strong healthy people ppkm")</f>
        <v>Strong healthy people ppkm</v>
      </c>
    </row>
    <row r="2959" ht="15.75" customHeight="1">
      <c r="A2959" s="2">
        <v>2958.0</v>
      </c>
      <c r="B2959" s="5" t="s">
        <v>5408</v>
      </c>
      <c r="C2959" s="6">
        <v>3.0</v>
      </c>
      <c r="D2959" s="7" t="s">
        <v>5409</v>
      </c>
      <c r="E2959" s="8" t="str">
        <f>IFERROR(__xludf.DUMMYFUNCTION("googletranslate(D2959,""id"",""en"")"),"For all our goodness. Healthy People's PPKM")</f>
        <v>For all our goodness. Healthy People's PPKM</v>
      </c>
    </row>
    <row r="2960" ht="15.75" customHeight="1">
      <c r="A2960" s="2">
        <v>2959.0</v>
      </c>
      <c r="B2960" s="5" t="s">
        <v>5410</v>
      </c>
      <c r="C2960" s="6">
        <v>2.0</v>
      </c>
      <c r="D2960" s="9" t="s">
        <v>5411</v>
      </c>
      <c r="E2960" s="8" t="str">
        <f>IFERROR(__xludf.DUMMYFUNCTION("googletranslate(D2960,""id"",""en"")"),"If the one in Dayeuhkolot open or not min? Or still PPKM")</f>
        <v>If the one in Dayeuhkolot open or not min? Or still PPKM</v>
      </c>
    </row>
    <row r="2961" ht="15.75" customHeight="1">
      <c r="A2961" s="2">
        <v>2960.0</v>
      </c>
      <c r="B2961" s="5" t="s">
        <v>5412</v>
      </c>
      <c r="C2961" s="6">
        <v>3.0</v>
      </c>
      <c r="D2961" s="7" t="s">
        <v>5413</v>
      </c>
      <c r="E2961" s="8" t="str">
        <f>IFERROR(__xludf.DUMMYFUNCTION("googletranslate(D2961,""id"",""en"")"),"Watch out hoax. Healthy People's PPKM")</f>
        <v>Watch out hoax. Healthy People's PPKM</v>
      </c>
    </row>
    <row r="2962" ht="15.75" customHeight="1">
      <c r="A2962" s="2">
        <v>2961.0</v>
      </c>
      <c r="B2962" s="5" t="s">
        <v>5414</v>
      </c>
      <c r="C2962" s="6">
        <v>3.0</v>
      </c>
      <c r="D2962" s="7" t="s">
        <v>5415</v>
      </c>
      <c r="E2962" s="8" t="str">
        <f>IFERROR(__xludf.DUMMYFUNCTION("googletranslate(D2962,""id"",""en"")"),"Never forbid someone to worship. Healthy People's PPKM")</f>
        <v>Never forbid someone to worship. Healthy People's PPKM</v>
      </c>
    </row>
    <row r="2963" ht="15.75" customHeight="1">
      <c r="A2963" s="2">
        <v>2962.0</v>
      </c>
      <c r="B2963" s="5" t="s">
        <v>5416</v>
      </c>
      <c r="C2963" s="6">
        <v>3.0</v>
      </c>
      <c r="D2963" s="7" t="s">
        <v>5417</v>
      </c>
      <c r="E2963" s="8" t="str">
        <f>IFERROR(__xludf.DUMMYFUNCTION("googletranslate(D2963,""id"",""en"")"),"Regulated Yaa. Healthy People's PPKM")</f>
        <v>Regulated Yaa. Healthy People's PPKM</v>
      </c>
    </row>
    <row r="2964" ht="15.75" customHeight="1">
      <c r="A2964" s="2">
        <v>2963.0</v>
      </c>
      <c r="B2964" s="5" t="s">
        <v>5418</v>
      </c>
      <c r="C2964" s="6">
        <v>3.0</v>
      </c>
      <c r="D2964" s="7" t="s">
        <v>5419</v>
      </c>
      <c r="E2964" s="8" t="str">
        <f>IFERROR(__xludf.DUMMYFUNCTION("googletranslate(D2964,""id"",""en"")"),"Alert provocateurs. Healthy People's PPKM")</f>
        <v>Alert provocateurs. Healthy People's PPKM</v>
      </c>
    </row>
    <row r="2965" ht="15.75" customHeight="1">
      <c r="A2965" s="2">
        <v>2964.0</v>
      </c>
      <c r="B2965" s="5" t="s">
        <v>5420</v>
      </c>
      <c r="C2965" s="6">
        <v>1.0</v>
      </c>
      <c r="D2965" s="7" t="s">
        <v>5421</v>
      </c>
      <c r="E2965" s="8" t="str">
        <f>IFERROR(__xludf.DUMMYFUNCTION("googletranslate(D2965,""id"",""en"")"),"In prison because PPKM")</f>
        <v>In prison because PPKM</v>
      </c>
    </row>
    <row r="2966" ht="15.75" customHeight="1">
      <c r="A2966" s="2">
        <v>2965.0</v>
      </c>
      <c r="B2966" s="5" t="s">
        <v>5422</v>
      </c>
      <c r="C2966" s="6">
        <v>3.0</v>
      </c>
      <c r="D2966" s="7" t="s">
        <v>5423</v>
      </c>
      <c r="E2966" s="8" t="str">
        <f>IFERROR(__xludf.DUMMYFUNCTION("googletranslate(D2966,""id"",""en"")"),"Stop Giring opinions that are not correct. Healthy People's PPKM")</f>
        <v>Stop Giring opinions that are not correct. Healthy People's PPKM</v>
      </c>
    </row>
    <row r="2967" ht="15.75" customHeight="1">
      <c r="A2967" s="2">
        <v>2966.0</v>
      </c>
      <c r="B2967" s="5" t="s">
        <v>5424</v>
      </c>
      <c r="C2967" s="6">
        <v>1.0</v>
      </c>
      <c r="D2967" s="9" t="s">
        <v>5425</v>
      </c>
      <c r="E2967" s="8" t="str">
        <f>IFERROR(__xludf.DUMMYFUNCTION("googletranslate(D2967,""id"",""en"")"),"The Emergency Emergency effect is really afraid, boro2 for coffee, just eat it difficult. The person thinks there is money for drinking to buy rice. Not a CM effect on the road. I hope the mas don't experience me, continued ... aamiin")</f>
        <v>The Emergency Emergency effect is really afraid, boro2 for coffee, just eat it difficult. The person thinks there is money for drinking to buy rice. Not a CM effect on the road. I hope the mas don't experience me, continued ... aamiin</v>
      </c>
    </row>
    <row r="2968" ht="15.75" customHeight="1">
      <c r="A2968" s="2">
        <v>2967.0</v>
      </c>
      <c r="B2968" s="5" t="s">
        <v>5426</v>
      </c>
      <c r="C2968" s="6">
        <v>2.0</v>
      </c>
      <c r="D2968" s="9" t="s">
        <v>5426</v>
      </c>
      <c r="E2968" s="8" t="str">
        <f>IFERROR(__xludf.DUMMYFUNCTION("googletranslate(D2968,""id"",""en"")"),"PPKM made me aware that if the single was delicious, because there was no feeling to miss it, I wanted to meet someone, just diem at the house of Lalalayeyeye")</f>
        <v>PPKM made me aware that if the single was delicious, because there was no feeling to miss it, I wanted to meet someone, just diem at the house of Lalalayeyeye</v>
      </c>
    </row>
    <row r="2969" ht="15.75" customHeight="1">
      <c r="A2969" s="2">
        <v>2968.0</v>
      </c>
      <c r="B2969" s="5" t="s">
        <v>5427</v>
      </c>
      <c r="C2969" s="6">
        <v>1.0</v>
      </c>
      <c r="D2969" s="7" t="s">
        <v>5428</v>
      </c>
      <c r="E2969" s="8" t="str">
        <f>IFERROR(__xludf.DUMMYFUNCTION("googletranslate(D2969,""id"",""en"")"),"Yes bang, ppkm also add weeks, kn bgst")</f>
        <v>Yes bang, ppkm also add weeks, kn bgst</v>
      </c>
    </row>
    <row r="2970" ht="15.75" customHeight="1">
      <c r="A2970" s="2">
        <v>2969.0</v>
      </c>
      <c r="B2970" s="5" t="s">
        <v>5429</v>
      </c>
      <c r="C2970" s="6">
        <v>1.0</v>
      </c>
      <c r="D2970" s="9" t="s">
        <v>5430</v>
      </c>
      <c r="E2970" s="8" t="str">
        <f>IFERROR(__xludf.DUMMYFUNCTION("googletranslate(D2970,""id"",""en"")"),"Pepeknya again the campus I want to carry out offline kkn in the past PPKM emergency, UGJ its campus name")</f>
        <v>Pepeknya again the campus I want to carry out offline kkn in the past PPKM emergency, UGJ its campus name</v>
      </c>
    </row>
    <row r="2971" ht="15.75" customHeight="1">
      <c r="A2971" s="2">
        <v>2970.0</v>
      </c>
      <c r="B2971" s="5" t="s">
        <v>5431</v>
      </c>
      <c r="C2971" s="6">
        <v>1.0</v>
      </c>
      <c r="D2971" s="7" t="s">
        <v>5432</v>
      </c>
      <c r="E2971" s="8" t="str">
        <f>IFERROR(__xludf.DUMMYFUNCTION("googletranslate(D2971,""id"",""en"")"),"PSBB People can still be Bantaun Well this PPKM is the help")</f>
        <v>PSBB People can still be Bantaun Well this PPKM is the help</v>
      </c>
    </row>
    <row r="2972" ht="15.75" customHeight="1">
      <c r="A2972" s="2">
        <v>2971.0</v>
      </c>
      <c r="B2972" s="5" t="s">
        <v>5433</v>
      </c>
      <c r="C2972" s="6">
        <v>1.0</v>
      </c>
      <c r="D2972" s="7" t="s">
        <v>5434</v>
      </c>
      <c r="E2972" s="8" t="str">
        <f>IFERROR(__xludf.DUMMYFUNCTION("googletranslate(D2972,""id"",""en"")"),"One talk is safely controlled, one talks about the possibility of PPKM Sunday and the other one is overwhelmed. I think it's deliberately borrowed all so that it's confused")</f>
        <v>One talk is safely controlled, one talks about the possibility of PPKM Sunday and the other one is overwhelmed. I think it's deliberately borrowed all so that it's confused</v>
      </c>
    </row>
    <row r="2973" ht="15.75" customHeight="1">
      <c r="A2973" s="2">
        <v>2972.0</v>
      </c>
      <c r="B2973" s="5" t="s">
        <v>5435</v>
      </c>
      <c r="C2973" s="6">
        <v>3.0</v>
      </c>
      <c r="D2973" s="7" t="s">
        <v>5436</v>
      </c>
      <c r="E2973" s="8" t="str">
        <f>IFERROR(__xludf.DUMMYFUNCTION("googletranslate(D2973,""id"",""en"")"),"Not prohibited, but he arranged. Healthy People's PPKM")</f>
        <v>Not prohibited, but he arranged. Healthy People's PPKM</v>
      </c>
    </row>
    <row r="2974" ht="15.75" customHeight="1">
      <c r="A2974" s="2">
        <v>2973.0</v>
      </c>
      <c r="B2974" s="5" t="s">
        <v>5437</v>
      </c>
      <c r="C2974" s="6">
        <v>3.0</v>
      </c>
      <c r="D2974" s="7" t="s">
        <v>5438</v>
      </c>
      <c r="E2974" s="8" t="str">
        <f>IFERROR(__xludf.DUMMYFUNCTION("googletranslate(D2974,""id"",""en"")"),"Worship can be done at home. Healthy People's PPKM")</f>
        <v>Worship can be done at home. Healthy People's PPKM</v>
      </c>
    </row>
    <row r="2975" ht="15.75" customHeight="1">
      <c r="A2975" s="2">
        <v>2974.0</v>
      </c>
      <c r="B2975" s="5" t="s">
        <v>5439</v>
      </c>
      <c r="C2975" s="6">
        <v>3.0</v>
      </c>
      <c r="D2975" s="7" t="s">
        <v>5440</v>
      </c>
      <c r="E2975" s="8" t="str">
        <f>IFERROR(__xludf.DUMMYFUNCTION("googletranslate(D2975,""id"",""en"")"),"Set worship. Healthy People's PPKM")</f>
        <v>Set worship. Healthy People's PPKM</v>
      </c>
    </row>
    <row r="2976" ht="15.75" customHeight="1">
      <c r="A2976" s="2">
        <v>2975.0</v>
      </c>
      <c r="B2976" s="5" t="s">
        <v>5441</v>
      </c>
      <c r="C2976" s="6">
        <v>3.0</v>
      </c>
      <c r="D2976" s="7" t="s">
        <v>5442</v>
      </c>
      <c r="E2976" s="8" t="str">
        <f>IFERROR(__xludf.DUMMYFUNCTION("googletranslate(D2976,""id"",""en"")"),"The government has not forbid people to worship. Healthy People's PPKM")</f>
        <v>The government has not forbid people to worship. Healthy People's PPKM</v>
      </c>
    </row>
    <row r="2977" ht="15.75" customHeight="1">
      <c r="A2977" s="2">
        <v>2976.0</v>
      </c>
      <c r="B2977" s="5" t="s">
        <v>5443</v>
      </c>
      <c r="C2977" s="6">
        <v>1.0</v>
      </c>
      <c r="D2977" s="7" t="s">
        <v>5444</v>
      </c>
      <c r="E2977" s="8" t="str">
        <f>IFERROR(__xludf.DUMMYFUNCTION("googletranslate(D2977,""id"",""en"")"),"Never blame the people if there is a movement of the People's National PPKM National Week just screaming what else there is a discourse to extend")</f>
        <v>Never blame the people if there is a movement of the People's National PPKM National Week just screaming what else there is a discourse to extend</v>
      </c>
    </row>
    <row r="2978" ht="15.75" customHeight="1">
      <c r="A2978" s="2">
        <v>2977.0</v>
      </c>
      <c r="B2978" s="5" t="s">
        <v>5445</v>
      </c>
      <c r="C2978" s="6">
        <v>1.0</v>
      </c>
      <c r="D2978" s="7" t="s">
        <v>5446</v>
      </c>
      <c r="E2978" s="8" t="str">
        <f>IFERROR(__xludf.DUMMYFUNCTION("googletranslate(D2978,""id"",""en"")"),"Sir, the emergency PPKM should not be extended by sir. What is more horrible, where are the millions of people hungry or hear the news of death as often as now? Choice.")</f>
        <v>Sir, the emergency PPKM should not be extended by sir. What is more horrible, where are the millions of people hungry or hear the news of death as often as now? Choice.</v>
      </c>
    </row>
    <row r="2979" ht="15.75" customHeight="1">
      <c r="A2979" s="2">
        <v>2978.0</v>
      </c>
      <c r="B2979" s="5" t="s">
        <v>5447</v>
      </c>
      <c r="C2979" s="6">
        <v>1.0</v>
      </c>
      <c r="D2979" s="7" t="s">
        <v>5448</v>
      </c>
      <c r="E2979" s="8" t="str">
        <f>IFERROR(__xludf.DUMMYFUNCTION("googletranslate(D2979,""id"",""en"")"),"Even more horrified those who have a lot of capital for new projects or ngebesarin business, eh can't move because of ppkm.")</f>
        <v>Even more horrified those who have a lot of capital for new projects or ngebesarin business, eh can't move because of ppkm.</v>
      </c>
    </row>
    <row r="2980" ht="15.75" customHeight="1">
      <c r="A2980" s="2">
        <v>2979.0</v>
      </c>
      <c r="B2980" s="5" t="s">
        <v>5449</v>
      </c>
      <c r="C2980" s="6">
        <v>2.0</v>
      </c>
      <c r="D2980" s="7" t="s">
        <v>5450</v>
      </c>
      <c r="E2980" s="8" t="str">
        <f>IFERROR(__xludf.DUMMYFUNCTION("googletranslate(D2980,""id"",""en"")"),"PPKM becomes extended or not?")</f>
        <v>PPKM becomes extended or not?</v>
      </c>
    </row>
    <row r="2981" ht="15.75" customHeight="1">
      <c r="A2981" s="2">
        <v>2980.0</v>
      </c>
      <c r="B2981" s="5" t="s">
        <v>5451</v>
      </c>
      <c r="C2981" s="6">
        <v>2.0</v>
      </c>
      <c r="D2981" s="7" t="s">
        <v>5452</v>
      </c>
      <c r="E2981" s="8" t="str">
        <f>IFERROR(__xludf.DUMMYFUNCTION("googletranslate(D2981,""id"",""en"")"),"Ppkm: morning morning thinking")</f>
        <v>Ppkm: morning morning thinking</v>
      </c>
    </row>
    <row r="2982" ht="15.75" customHeight="1">
      <c r="A2982" s="2">
        <v>2981.0</v>
      </c>
      <c r="B2982" s="5" t="s">
        <v>5453</v>
      </c>
      <c r="C2982" s="6">
        <v>3.0</v>
      </c>
      <c r="D2982" s="9" t="s">
        <v>5454</v>
      </c>
      <c r="E2982" s="8" t="str">
        <f>IFERROR(__xludf.DUMMYFUNCTION("googletranslate(D2982,""id"",""en"")"),"The whole community supports Emergency PPKM")</f>
        <v>The whole community supports Emergency PPKM</v>
      </c>
    </row>
    <row r="2983" ht="15.75" customHeight="1">
      <c r="A2983" s="2">
        <v>2982.0</v>
      </c>
      <c r="B2983" s="5" t="s">
        <v>5455</v>
      </c>
      <c r="C2983" s="6">
        <v>2.0</v>
      </c>
      <c r="D2983" s="7" t="s">
        <v>5456</v>
      </c>
      <c r="E2983" s="8" t="str">
        <f>IFERROR(__xludf.DUMMYFUNCTION("googletranslate(D2983,""id"",""en"")"),"Because of PPKM and moving houses, so find them: Keipir - selling vegetables (mostly organic) zero waste, aka all containers can be returned through couriers on the next shipment. I sent the dawn hour !! Me Likey.")</f>
        <v>Because of PPKM and moving houses, so find them: Keipir - selling vegetables (mostly organic) zero waste, aka all containers can be returned through couriers on the next shipment. I sent the dawn hour !! Me Likey.</v>
      </c>
    </row>
    <row r="2984" ht="15.75" customHeight="1">
      <c r="A2984" s="2">
        <v>2983.0</v>
      </c>
      <c r="B2984" s="5" t="s">
        <v>5457</v>
      </c>
      <c r="C2984" s="6">
        <v>1.0</v>
      </c>
      <c r="D2984" s="7" t="s">
        <v>5458</v>
      </c>
      <c r="E2984" s="8" t="str">
        <f>IFERROR(__xludf.DUMMYFUNCTION("googletranslate(D2984,""id"",""en"")"),"Immediately stop ppkm, because it's far from common sense")</f>
        <v>Immediately stop ppkm, because it's far from common sense</v>
      </c>
    </row>
    <row r="2985" ht="15.75" customHeight="1">
      <c r="A2985" s="2">
        <v>2984.0</v>
      </c>
      <c r="B2985" s="5" t="s">
        <v>5459</v>
      </c>
      <c r="C2985" s="6">
        <v>1.0</v>
      </c>
      <c r="D2985" s="9" t="s">
        <v>5460</v>
      </c>
      <c r="E2985" s="8" t="str">
        <f>IFERROR(__xludf.DUMMYFUNCTION("googletranslate(D2985,""id"",""en"")"),"Good morning Indonesia ... PPKM Wants to Extend ... oh my god..piye jal. Ppkm what solution to die ... ??")</f>
        <v>Good morning Indonesia ... PPKM Wants to Extend ... oh my god..piye jal. Ppkm what solution to die ... ??</v>
      </c>
    </row>
    <row r="2986" ht="15.75" customHeight="1">
      <c r="A2986" s="2">
        <v>2985.0</v>
      </c>
      <c r="B2986" s="5" t="s">
        <v>5461</v>
      </c>
      <c r="C2986" s="6">
        <v>1.0</v>
      </c>
      <c r="D2986" s="7" t="s">
        <v>5462</v>
      </c>
      <c r="E2986" s="8" t="str">
        <f>IFERROR(__xludf.DUMMYFUNCTION("googletranslate(D2986,""id"",""en"")"),"* PPKM Code of Rakyat's Trusty, Min Read * The people wondered, how did it implement? In his upload on Twitter, Chairman of the MUI, Cholil Nafis, replied that the community must obey God, His Messenger, and the government said.")</f>
        <v>* PPKM Code of Rakyat's Trusty, Min Read * The people wondered, how did it implement? In his upload on Twitter, Chairman of the MUI, Cholil Nafis, replied that the community must obey God, His Messenger, and the government said.</v>
      </c>
    </row>
    <row r="2987" ht="15.75" customHeight="1">
      <c r="A2987" s="2">
        <v>2986.0</v>
      </c>
      <c r="B2987" s="5" t="s">
        <v>5463</v>
      </c>
      <c r="C2987" s="6">
        <v>1.0</v>
      </c>
      <c r="D2987" s="7" t="s">
        <v>5464</v>
      </c>
      <c r="E2987" s="8" t="str">
        <f>IFERROR(__xludf.DUMMYFUNCTION("googletranslate(D2987,""id"",""en"")"),"The government guarantees it will not let the residents of starvation in the middle of Emergency PPKM. Bullshit! Only rhetoric.")</f>
        <v>The government guarantees it will not let the residents of starvation in the middle of Emergency PPKM. Bullshit! Only rhetoric.</v>
      </c>
    </row>
    <row r="2988" ht="15.75" customHeight="1">
      <c r="A2988" s="2">
        <v>2987.0</v>
      </c>
      <c r="B2988" s="5" t="s">
        <v>5465</v>
      </c>
      <c r="C2988" s="6">
        <v>1.0</v>
      </c>
      <c r="D2988" s="9" t="s">
        <v>5466</v>
      </c>
      <c r="E2988" s="8" t="str">
        <f>IFERROR(__xludf.DUMMYFUNCTION("googletranslate(D2988,""id"",""en"")"),"Last night, felt the most good KFC chicken I had eaten for life. Because it's not good, just eating faces, the esophagus feels closed. Can't get nelen. There's something wrong with the chicken. You're doing good, KFC. I'm wrong. Eat in the gloomy center o"&amp;"f PPKM Jakarta.")</f>
        <v>Last night, felt the most good KFC chicken I had eaten for life. Because it's not good, just eating faces, the esophagus feels closed. Can't get nelen. There's something wrong with the chicken. You're doing good, KFC. I'm wrong. Eat in the gloomy center of PPKM Jakarta.</v>
      </c>
    </row>
    <row r="2989" ht="15.75" customHeight="1">
      <c r="A2989" s="2">
        <v>2988.0</v>
      </c>
      <c r="B2989" s="5" t="s">
        <v>5467</v>
      </c>
      <c r="C2989" s="6">
        <v>1.0</v>
      </c>
      <c r="D2989" s="9" t="s">
        <v>5467</v>
      </c>
      <c r="E2989" s="8" t="str">
        <f>IFERROR(__xludf.DUMMYFUNCTION("googletranslate(D2989,""id"",""en"")"),"PPKM is extended if until there is no assistance fund for the middle to lower time")</f>
        <v>PPKM is extended if until there is no assistance fund for the middle to lower time</v>
      </c>
    </row>
    <row r="2990" ht="15.75" customHeight="1">
      <c r="A2990" s="2">
        <v>2989.0</v>
      </c>
      <c r="B2990" s="5" t="s">
        <v>5468</v>
      </c>
      <c r="C2990" s="6">
        <v>2.0</v>
      </c>
      <c r="D2990" s="7" t="s">
        <v>5469</v>
      </c>
      <c r="E2990" s="8" t="str">
        <f>IFERROR(__xludf.DUMMYFUNCTION("googletranslate(D2990,""id"",""en"")"),"April PPKM Jakarta")</f>
        <v>April PPKM Jakarta</v>
      </c>
    </row>
    <row r="2991" ht="15.75" customHeight="1">
      <c r="A2991" s="2">
        <v>2990.0</v>
      </c>
      <c r="B2991" s="5" t="s">
        <v>5470</v>
      </c>
      <c r="C2991" s="6">
        <v>2.0</v>
      </c>
      <c r="D2991" s="7" t="s">
        <v>5471</v>
      </c>
      <c r="E2991" s="8" t="str">
        <f>IFERROR(__xludf.DUMMYFUNCTION("googletranslate(D2991,""id"",""en"")"),"Ppkm extended week?")</f>
        <v>Ppkm extended week?</v>
      </c>
    </row>
    <row r="2992" ht="15.75" customHeight="1">
      <c r="A2992" s="2">
        <v>2991.0</v>
      </c>
      <c r="B2992" s="5" t="s">
        <v>5472</v>
      </c>
      <c r="C2992" s="6">
        <v>1.0</v>
      </c>
      <c r="D2992" s="7" t="s">
        <v>5473</v>
      </c>
      <c r="E2992" s="8" t="str">
        <f>IFERROR(__xludf.DUMMYFUNCTION("googletranslate(D2992,""id"",""en"")"),"It is the same. Since the PPKM was a lot of diem at the house Horror ...")</f>
        <v>It is the same. Since the PPKM was a lot of diem at the house Horror ...</v>
      </c>
    </row>
    <row r="2993" ht="15.75" customHeight="1">
      <c r="A2993" s="2">
        <v>2992.0</v>
      </c>
      <c r="B2993" s="5" t="s">
        <v>5474</v>
      </c>
      <c r="C2993" s="6">
        <v>1.0</v>
      </c>
      <c r="D2993" s="7" t="s">
        <v>5475</v>
      </c>
      <c r="E2993" s="8" t="str">
        <f>IFERROR(__xludf.DUMMYFUNCTION("googletranslate(D2993,""id"",""en"")"),"One of the PPKM functions is this. OTW Indochina")</f>
        <v>One of the PPKM functions is this. OTW Indochina</v>
      </c>
    </row>
    <row r="2994" ht="15.75" customHeight="1">
      <c r="A2994" s="2">
        <v>2993.0</v>
      </c>
      <c r="B2994" s="5" t="s">
        <v>5476</v>
      </c>
      <c r="C2994" s="6">
        <v>1.0</v>
      </c>
      <c r="D2994" s="7" t="s">
        <v>5477</v>
      </c>
      <c r="E2994" s="8" t="str">
        <f>IFERROR(__xludf.DUMMYFUNCTION("googletranslate(D2994,""id"",""en"")"),"Ppkm add again nye nye is increasingly dehhh")</f>
        <v>Ppkm add again nye nye is increasingly dehhh</v>
      </c>
    </row>
    <row r="2995" ht="15.75" customHeight="1">
      <c r="A2995" s="2">
        <v>2994.0</v>
      </c>
      <c r="B2995" s="5" t="s">
        <v>5478</v>
      </c>
      <c r="C2995" s="6">
        <v>1.0</v>
      </c>
      <c r="D2995" s="9" t="s">
        <v>5479</v>
      </c>
      <c r="E2995" s="8" t="str">
        <f>IFERROR(__xludf.DUMMYFUNCTION("googletranslate(D2995,""id"",""en"")"),"The plis let me go back to medannngue it's not able to be able to klu ppkm week must be wFH to take care of Eid as a boarding child who is always alone ... ,,")</f>
        <v>The plis let me go back to medannngue it's not able to be able to klu ppkm week must be wFH to take care of Eid as a boarding child who is always alone ... ,,</v>
      </c>
    </row>
    <row r="2996" ht="15.75" customHeight="1">
      <c r="A2996" s="2">
        <v>2995.0</v>
      </c>
      <c r="B2996" s="5" t="s">
        <v>5480</v>
      </c>
      <c r="C2996" s="6">
        <v>1.0</v>
      </c>
      <c r="D2996" s="7" t="s">
        <v>5481</v>
      </c>
      <c r="E2996" s="8" t="str">
        <f>IFERROR(__xludf.DUMMYFUNCTION("googletranslate(D2996,""id"",""en"")"),"PPKM already wants a week of the government there is no help anything ... it tells the people to help the people")</f>
        <v>PPKM already wants a week of the government there is no help anything ... it tells the people to help the people</v>
      </c>
    </row>
    <row r="2997" ht="15.75" customHeight="1">
      <c r="A2997" s="2">
        <v>2996.0</v>
      </c>
      <c r="B2997" s="5" t="s">
        <v>5482</v>
      </c>
      <c r="C2997" s="6">
        <v>1.0</v>
      </c>
      <c r="D2997" s="9" t="s">
        <v>5483</v>
      </c>
      <c r="E2997" s="8" t="str">
        <f>IFERROR(__xludf.DUMMYFUNCTION("googletranslate(D2997,""id"",""en"")"),"I can't use the PPKM for miserable, my mother arrived around looking for a loan just to buy rice because it was empty, there was no rice at all")</f>
        <v>I can't use the PPKM for miserable, my mother arrived around looking for a loan just to buy rice because it was empty, there was no rice at all</v>
      </c>
    </row>
    <row r="2998" ht="15.75" customHeight="1">
      <c r="A2998" s="2">
        <v>2997.0</v>
      </c>
      <c r="B2998" s="5" t="s">
        <v>5484</v>
      </c>
      <c r="C2998" s="6">
        <v>1.0</v>
      </c>
      <c r="D2998" s="9" t="s">
        <v>5485</v>
      </c>
      <c r="E2998" s="8" t="str">
        <f>IFERROR(__xludf.DUMMYFUNCTION("googletranslate(D2998,""id"",""en"")"),"How is this government? Can you guarantee the needs of its citizens? Like me, for example, it has not been paid for March from March, plus it can't go anywhere because of the PPKM. Can I fill in my basic needs as humans and family heads?")</f>
        <v>How is this government? Can you guarantee the needs of its citizens? Like me, for example, it has not been paid for March from March, plus it can't go anywhere because of the PPKM. Can I fill in my basic needs as humans and family heads?</v>
      </c>
    </row>
    <row r="2999" ht="15.75" customHeight="1">
      <c r="A2999" s="2">
        <v>2998.0</v>
      </c>
      <c r="B2999" s="5" t="s">
        <v>5486</v>
      </c>
      <c r="C2999" s="6">
        <v>1.0</v>
      </c>
      <c r="D2999" s="7" t="s">
        <v>5487</v>
      </c>
      <c r="E2999" s="8" t="str">
        <f>IFERROR(__xludf.DUMMYFUNCTION("googletranslate(D2999,""id"",""en"")"),"PPKM Extended - Dismissible Incentives")</f>
        <v>PPKM Extended - Dismissible Incentives</v>
      </c>
    </row>
    <row r="3000" ht="15.75" customHeight="1">
      <c r="A3000" s="2">
        <v>2999.0</v>
      </c>
      <c r="B3000" s="5" t="s">
        <v>5488</v>
      </c>
      <c r="C3000" s="6">
        <v>1.0</v>
      </c>
      <c r="D3000" s="7" t="s">
        <v>5489</v>
      </c>
      <c r="E3000" s="8" t="str">
        <f>IFERROR(__xludf.DUMMYFUNCTION("googletranslate(D3000,""id"",""en"")"),"Isn't Emergency PPKM still valid? Many of the crowded prokes ...")</f>
        <v>Isn't Emergency PPKM still valid? Many of the crowded prokes ...</v>
      </c>
    </row>
    <row r="3001" ht="15.75" customHeight="1">
      <c r="A3001" s="2">
        <v>3000.0</v>
      </c>
      <c r="B3001" s="5" t="s">
        <v>5490</v>
      </c>
      <c r="C3001" s="6">
        <v>1.0</v>
      </c>
      <c r="D3001" s="7" t="s">
        <v>5491</v>
      </c>
      <c r="E3001" s="8" t="str">
        <f>IFERROR(__xludf.DUMMYFUNCTION("googletranslate(D3001,""id"",""en"")"),"The PPKM was cooled, officials apologized.")</f>
        <v>The PPKM was cooled, officials apologized.</v>
      </c>
    </row>
    <row r="3002" ht="15.75" customHeight="1">
      <c r="A3002" s="2">
        <v>3001.0</v>
      </c>
      <c r="B3002" s="5" t="s">
        <v>5492</v>
      </c>
      <c r="C3002" s="6">
        <v>1.0</v>
      </c>
      <c r="D3002" s="7" t="s">
        <v>5493</v>
      </c>
      <c r="E3002" s="8" t="str">
        <f>IFERROR(__xludf.DUMMYFUNCTION("googletranslate(D3002,""id"",""en"")"),"Gooooodaaaaaamnnnn ppkm ni bgst")</f>
        <v>Gooooodaaaaaamnnnn ppkm ni bgst</v>
      </c>
    </row>
    <row r="3003" ht="15.75" customHeight="1">
      <c r="A3003" s="2">
        <v>3002.0</v>
      </c>
      <c r="B3003" s="5" t="s">
        <v>5494</v>
      </c>
      <c r="C3003" s="6">
        <v>1.0</v>
      </c>
      <c r="D3003" s="7" t="s">
        <v>5495</v>
      </c>
      <c r="E3003" s="8" t="str">
        <f>IFERROR(__xludf.DUMMYFUNCTION("googletranslate(D3003,""id"",""en"")"),"Don't ... The week's sir hasn't destroyed the economy's extended economy anymore ... Bener's bangaleten who made a policy. Try the officials and Asn the salary is partially cut for a registration of pandemic ... what do you want ?? G Maybe right ... Dgkan"&amp;" PPKM that has been affected by the small people.")</f>
        <v>Don't ... The week's sir hasn't destroyed the economy's extended economy anymore ... Bener's bangaleten who made a policy. Try the officials and Asn the salary is partially cut for a registration of pandemic ... what do you want ?? G Maybe right ... Dgkan PPKM that has been affected by the small people.</v>
      </c>
    </row>
    <row r="3004" ht="15.75" customHeight="1">
      <c r="A3004" s="2">
        <v>3003.0</v>
      </c>
      <c r="B3004" s="5" t="s">
        <v>5496</v>
      </c>
      <c r="C3004" s="6">
        <v>2.0</v>
      </c>
      <c r="D3004" s="9" t="s">
        <v>5497</v>
      </c>
      <c r="E3004" s="8" t="str">
        <f>IFERROR(__xludf.DUMMYFUNCTION("googletranslate(D3004,""id"",""en"")"),"I want the PPKM, I don't live my life, it's just more confined")</f>
        <v>I want the PPKM, I don't live my life, it's just more confined</v>
      </c>
    </row>
    <row r="3005" ht="15.75" customHeight="1">
      <c r="A3005" s="2">
        <v>3004.0</v>
      </c>
      <c r="B3005" s="5" t="s">
        <v>5498</v>
      </c>
      <c r="C3005" s="6">
        <v>2.0</v>
      </c>
      <c r="D3005" s="7" t="s">
        <v>5499</v>
      </c>
      <c r="E3005" s="8" t="str">
        <f>IFERROR(__xludf.DUMMYFUNCTION("googletranslate(D3005,""id"",""en"")"),"Morning Wednesday. Still with PPKM where the other WFH and I keep WFO.")</f>
        <v>Morning Wednesday. Still with PPKM where the other WFH and I keep WFO.</v>
      </c>
    </row>
    <row r="3006" ht="15.75" customHeight="1">
      <c r="A3006" s="2">
        <v>3005.0</v>
      </c>
      <c r="B3006" s="5" t="s">
        <v>5500</v>
      </c>
      <c r="C3006" s="6">
        <v>1.0</v>
      </c>
      <c r="D3006" s="9" t="s">
        <v>5501</v>
      </c>
      <c r="E3006" s="8" t="str">
        <f>IFERROR(__xludf.DUMMYFUNCTION("googletranslate(D3006,""id"",""en"")"),"Yes, if there is a PPKM, it's not controlled by Mr. Wkwkkkwwk")</f>
        <v>Yes, if there is a PPKM, it's not controlled by Mr. Wkwkkkwwk</v>
      </c>
    </row>
    <row r="3007" ht="15.75" customHeight="1">
      <c r="A3007" s="2">
        <v>3006.0</v>
      </c>
      <c r="B3007" s="5" t="s">
        <v>5502</v>
      </c>
      <c r="C3007" s="6">
        <v>1.0</v>
      </c>
      <c r="D3007" s="7" t="s">
        <v>5503</v>
      </c>
      <c r="E3007" s="8" t="str">
        <f>IFERROR(__xludf.DUMMYFUNCTION("googletranslate(D3007,""id"",""en"")"),"Honestly I don't like to see the police on this street. Udh trauma crew is ticketed by BBRP times. Moreover, the PPKM Besules on the road. Jd actually the PPKM (Pande Pande you guys muter).")</f>
        <v>Honestly I don't like to see the police on this street. Udh trauma crew is ticketed by BBRP times. Moreover, the PPKM Besules on the road. Jd actually the PPKM (Pande Pande you guys muter).</v>
      </c>
    </row>
    <row r="3008" ht="15.75" customHeight="1">
      <c r="A3008" s="2">
        <v>3007.0</v>
      </c>
      <c r="B3008" s="5" t="s">
        <v>5504</v>
      </c>
      <c r="C3008" s="6">
        <v>1.0</v>
      </c>
      <c r="D3008" s="9" t="s">
        <v>5505</v>
      </c>
      <c r="E3008" s="8" t="str">
        <f>IFERROR(__xludf.DUMMYFUNCTION("googletranslate(D3008,""id"",""en"")"),"Actually the lockdown system, PSBB, PPKM, it is not suitable for being implemented in Indo if anything is still corrupted by the government. Developing countries - going forward can give bansos until JT / head while the social assistance funds are corrupt"&amp;"ed here. The people dead don't eat, no income.")</f>
        <v>Actually the lockdown system, PSBB, PPKM, it is not suitable for being implemented in Indo if anything is still corrupted by the government. Developing countries - going forward can give bansos until JT / head while the social assistance funds are corrupted here. The people dead don't eat, no income.</v>
      </c>
    </row>
    <row r="3009" ht="15.75" customHeight="1">
      <c r="A3009" s="2">
        <v>3008.0</v>
      </c>
      <c r="B3009" s="5" t="s">
        <v>5506</v>
      </c>
      <c r="C3009" s="6">
        <v>1.0</v>
      </c>
      <c r="D3009" s="9" t="s">
        <v>5507</v>
      </c>
      <c r="E3009" s="8" t="str">
        <f>IFERROR(__xludf.DUMMYFUNCTION("googletranslate(D3009,""id"",""en"")"),"The choice that is difficult to find food with violating PPKM, afraid of getting a virus then death, bro, obey PPKM, no one is eaten, death also needs to be more wise for all parties about PPKM, Prokes, Viruses and so on")</f>
        <v>The choice that is difficult to find food with violating PPKM, afraid of getting a virus then death, bro, obey PPKM, no one is eaten, death also needs to be more wise for all parties about PPKM, Prokes, Viruses and so on</v>
      </c>
    </row>
    <row r="3010" ht="15.75" customHeight="1">
      <c r="A3010" s="2">
        <v>3009.0</v>
      </c>
      <c r="B3010" s="5" t="s">
        <v>5508</v>
      </c>
      <c r="C3010" s="6">
        <v>1.0</v>
      </c>
      <c r="D3010" s="7" t="s">
        <v>5509</v>
      </c>
      <c r="E3010" s="8" t="str">
        <f>IFERROR(__xludf.DUMMYFUNCTION("googletranslate(D3010,""id"",""en"")"),"PPKM Week of the People's Blind School Letter Prii Th SPP Pancet Ae Mbay Full")</f>
        <v>PPKM Week of the People's Blind School Letter Prii Th SPP Pancet Ae Mbay Full</v>
      </c>
    </row>
    <row r="3011" ht="15.75" customHeight="1">
      <c r="A3011" s="2">
        <v>3010.0</v>
      </c>
      <c r="B3011" s="5" t="s">
        <v>5510</v>
      </c>
      <c r="C3011" s="6">
        <v>1.0</v>
      </c>
      <c r="D3011" s="9" t="s">
        <v>5511</v>
      </c>
      <c r="E3011" s="8" t="str">
        <f>IFERROR(__xludf.DUMMYFUNCTION("googletranslate(D3011,""id"",""en"")"),"Mr. Indonesia is considered epicenter Pandemi Covid-19 in Asia. The situation is predicted to continue to deteriorate, because emergency PPKM is not optimal and late. Focus on tightening, test-isolation and invite the community. Not a drug or therapy that"&amp;" can overcome a pandemic.")</f>
        <v>Mr. Indonesia is considered epicenter Pandemi Covid-19 in Asia. The situation is predicted to continue to deteriorate, because emergency PPKM is not optimal and late. Focus on tightening, test-isolation and invite the community. Not a drug or therapy that can overcome a pandemic.</v>
      </c>
    </row>
    <row r="3012" ht="15.75" customHeight="1">
      <c r="A3012" s="2">
        <v>3011.0</v>
      </c>
      <c r="B3012" s="5" t="s">
        <v>5512</v>
      </c>
      <c r="C3012" s="6">
        <v>2.0</v>
      </c>
      <c r="D3012" s="7" t="s">
        <v>5513</v>
      </c>
      <c r="E3012" s="8" t="str">
        <f>IFERROR(__xludf.DUMMYFUNCTION("googletranslate(D3012,""id"",""en"")"),"Mr. Guardian said, Seng residents obediently, can enter Emergency PPKM")</f>
        <v>Mr. Guardian said, Seng residents obediently, can enter Emergency PPKM</v>
      </c>
    </row>
    <row r="3013" ht="15.75" customHeight="1">
      <c r="A3013" s="2">
        <v>3012.0</v>
      </c>
      <c r="B3013" s="5" t="s">
        <v>5514</v>
      </c>
      <c r="C3013" s="6">
        <v>1.0</v>
      </c>
      <c r="D3013" s="7" t="s">
        <v>5515</v>
      </c>
      <c r="E3013" s="8" t="str">
        <f>IFERROR(__xludf.DUMMYFUNCTION("googletranslate(D3013,""id"",""en"")"),"In my area, it's been a long time, Covid news is obscured, the news is rare, because the residents refused with Covid news and suddenly, the boom was hit by non-Java emergency PPKM.")</f>
        <v>In my area, it's been a long time, Covid news is obscured, the news is rare, because the residents refused with Covid news and suddenly, the boom was hit by non-Java emergency PPKM.</v>
      </c>
    </row>
    <row r="3014" ht="15.75" customHeight="1">
      <c r="A3014" s="2">
        <v>3013.0</v>
      </c>
      <c r="B3014" s="5" t="s">
        <v>5516</v>
      </c>
      <c r="C3014" s="6">
        <v>1.0</v>
      </c>
      <c r="D3014" s="7" t="s">
        <v>5517</v>
      </c>
      <c r="E3014" s="8" t="str">
        <f>IFERROR(__xludf.DUMMYFUNCTION("googletranslate(D3014,""id"",""en"")"),"PPKM without sufficient social responsibility, makes the followers of conspiracy more confident")</f>
        <v>PPKM without sufficient social responsibility, makes the followers of conspiracy more confident</v>
      </c>
    </row>
    <row r="3015" ht="15.75" customHeight="1">
      <c r="A3015" s="2">
        <v>3014.0</v>
      </c>
      <c r="B3015" s="5" t="s">
        <v>5518</v>
      </c>
      <c r="C3015" s="6">
        <v>1.0</v>
      </c>
      <c r="D3015" s="9" t="s">
        <v>5519</v>
      </c>
      <c r="E3015" s="8" t="str">
        <f>IFERROR(__xludf.DUMMYFUNCTION("googletranslate(D3015,""id"",""en"")"),"this is horrified by the ppkm in a long time until Sunday")</f>
        <v>this is horrified by the ppkm in a long time until Sunday</v>
      </c>
    </row>
    <row r="3016" ht="15.75" customHeight="1">
      <c r="A3016" s="2">
        <v>3015.0</v>
      </c>
      <c r="B3016" s="5" t="s">
        <v>5520</v>
      </c>
      <c r="C3016" s="6">
        <v>1.0</v>
      </c>
      <c r="D3016" s="7" t="s">
        <v>5521</v>
      </c>
      <c r="E3016" s="8" t="str">
        <f>IFERROR(__xludf.DUMMYFUNCTION("googletranslate(D3016,""id"",""en"")"),"What are you sorry, what among the people ... while the PPKM clearly clogs the middle classities down")</f>
        <v>What are you sorry, what among the people ... while the PPKM clearly clogs the middle classities down</v>
      </c>
    </row>
    <row r="3017" ht="15.75" customHeight="1">
      <c r="A3017" s="2">
        <v>3016.0</v>
      </c>
      <c r="B3017" s="5" t="s">
        <v>5522</v>
      </c>
      <c r="C3017" s="6">
        <v>2.0</v>
      </c>
      <c r="D3017" s="7" t="s">
        <v>5523</v>
      </c>
      <c r="E3017" s="8" t="str">
        <f>IFERROR(__xludf.DUMMYFUNCTION("googletranslate(D3017,""id"",""en"")"),"Hopefully the PPKM is not extended, sir CC: sir")</f>
        <v>Hopefully the PPKM is not extended, sir CC: sir</v>
      </c>
    </row>
    <row r="3018" ht="15.75" customHeight="1">
      <c r="A3018" s="2">
        <v>3017.0</v>
      </c>
      <c r="B3018" s="5" t="s">
        <v>5524</v>
      </c>
      <c r="C3018" s="6">
        <v>1.0</v>
      </c>
      <c r="D3018" s="9" t="s">
        <v>5525</v>
      </c>
      <c r="E3018" s="8" t="str">
        <f>IFERROR(__xludf.DUMMYFUNCTION("googletranslate(D3018,""id"",""en"")"),"If the Lokdon government must be responsible for the living needs of the people, because I want it, it is sacrificed to become a PPKM article verse")</f>
        <v>If the Lokdon government must be responsible for the living needs of the people, because I want it, it is sacrificed to become a PPKM article verse</v>
      </c>
    </row>
    <row r="3019" ht="15.75" customHeight="1">
      <c r="A3019" s="2">
        <v>3018.0</v>
      </c>
      <c r="B3019" s="5" t="s">
        <v>5526</v>
      </c>
      <c r="C3019" s="6">
        <v>3.0</v>
      </c>
      <c r="D3019" s="9" t="s">
        <v>5527</v>
      </c>
      <c r="E3019" s="8" t="str">
        <f>IFERROR(__xludf.DUMMYFUNCTION("googletranslate(D3019,""id"",""en"")"),"Dear Indonesia, get well soon bro, hehe, I actually, how come there are psbb, ppkm I know you still understand we still want us to be healthy. But, a lot of people who are confused about eating tomorrow? There are still many who need work to survive. Hope"&amp;"fully it will recover Indonesia")</f>
        <v>Dear Indonesia, get well soon bro, hehe, I actually, how come there are psbb, ppkm I know you still understand we still want us to be healthy. But, a lot of people who are confused about eating tomorrow? There are still many who need work to survive. Hopefully it will recover Indonesia</v>
      </c>
    </row>
    <row r="3020" ht="15.75" customHeight="1">
      <c r="A3020" s="2">
        <v>3019.0</v>
      </c>
      <c r="B3020" s="5" t="s">
        <v>5528</v>
      </c>
      <c r="C3020" s="6">
        <v>1.0</v>
      </c>
      <c r="D3020" s="7" t="s">
        <v>5529</v>
      </c>
      <c r="E3020" s="8" t="str">
        <f>IFERROR(__xludf.DUMMYFUNCTION("googletranslate(D3020,""id"",""en"")"),"The spirit of saving but his work is stopped again because ppkm uh, it can't save save")</f>
        <v>The spirit of saving but his work is stopped again because ppkm uh, it can't save save</v>
      </c>
    </row>
    <row r="3021" ht="15.75" customHeight="1">
      <c r="A3021" s="2">
        <v>3020.0</v>
      </c>
      <c r="B3021" s="5" t="s">
        <v>5530</v>
      </c>
      <c r="C3021" s="6">
        <v>1.0</v>
      </c>
      <c r="D3021" s="7" t="s">
        <v>5530</v>
      </c>
      <c r="E3021" s="8" t="str">
        <f>IFERROR(__xludf.DUMMYFUNCTION("googletranslate(D3021,""id"",""en"")"),"Wes Wes This PPKM is very very Dzolim Dzolim &amp; amp; Dzolim")</f>
        <v>Wes Wes This PPKM is very very Dzolim Dzolim &amp; amp; Dzolim</v>
      </c>
    </row>
    <row r="3022" ht="15.75" customHeight="1">
      <c r="A3022" s="2">
        <v>3021.0</v>
      </c>
      <c r="B3022" s="5" t="s">
        <v>5531</v>
      </c>
      <c r="C3022" s="6">
        <v>1.0</v>
      </c>
      <c r="D3022" s="7" t="s">
        <v>5532</v>
      </c>
      <c r="E3022" s="8" t="str">
        <f>IFERROR(__xludf.DUMMYFUNCTION("googletranslate(D3022,""id"",""en"")"),"Hopeless NGET, especially in the level of mobility that is really narrow. The existence of PPKM is getting narrower. Open a business is also the one who wants to buy. Want to eat just confused how to do it")</f>
        <v>Hopeless NGET, especially in the level of mobility that is really narrow. The existence of PPKM is getting narrower. Open a business is also the one who wants to buy. Want to eat just confused how to do it</v>
      </c>
    </row>
    <row r="3023" ht="15.75" customHeight="1">
      <c r="A3023" s="2">
        <v>3022.0</v>
      </c>
      <c r="B3023" s="5" t="s">
        <v>5533</v>
      </c>
      <c r="C3023" s="6">
        <v>1.0</v>
      </c>
      <c r="D3023" s="7" t="s">
        <v>5534</v>
      </c>
      <c r="E3023" s="8" t="str">
        <f>IFERROR(__xludf.DUMMYFUNCTION("googletranslate(D3023,""id"",""en"")"),"PPKM extended until Sunday. Yes, this is rich, the poor are increasingly poorer")</f>
        <v>PPKM extended until Sunday. Yes, this is rich, the poor are increasingly poorer</v>
      </c>
    </row>
    <row r="3024" ht="15.75" customHeight="1">
      <c r="A3024" s="2">
        <v>3023.0</v>
      </c>
      <c r="B3024" s="5" t="s">
        <v>5535</v>
      </c>
      <c r="C3024" s="6">
        <v>2.0</v>
      </c>
      <c r="D3024" s="9" t="s">
        <v>5536</v>
      </c>
      <c r="E3024" s="8" t="str">
        <f>IFERROR(__xludf.DUMMYFUNCTION("googletranslate(D3024,""id"",""en"")"),"Listen to PPKM bansos by RB per family head. There is a PPKM plan extended to week.500,000 divided by days = around Rp / day. One family, at least people (father, mother, child). divided = Rp per head.")</f>
        <v>Listen to PPKM bansos by RB per family head. There is a PPKM plan extended to week.500,000 divided by days = around Rp / day. One family, at least people (father, mother, child). divided = Rp per head.</v>
      </c>
    </row>
    <row r="3025" ht="15.75" customHeight="1">
      <c r="A3025" s="2">
        <v>3024.0</v>
      </c>
      <c r="B3025" s="5" t="s">
        <v>5537</v>
      </c>
      <c r="C3025" s="6">
        <v>3.0</v>
      </c>
      <c r="D3025" s="7" t="s">
        <v>5538</v>
      </c>
      <c r="E3025" s="8" t="str">
        <f>IFERROR(__xludf.DUMMYFUNCTION("googletranslate(D3025,""id"",""en"")"),"Let Katong just support PPKM to prevent Covid.")</f>
        <v>Let Katong just support PPKM to prevent Covid.</v>
      </c>
    </row>
    <row r="3026" ht="15.75" customHeight="1">
      <c r="A3026" s="2">
        <v>3025.0</v>
      </c>
      <c r="B3026" s="5" t="s">
        <v>5539</v>
      </c>
      <c r="C3026" s="6">
        <v>1.0</v>
      </c>
      <c r="D3026" s="9" t="s">
        <v>5540</v>
      </c>
      <c r="E3026" s="8" t="str">
        <f>IFERROR(__xludf.DUMMYFUNCTION("googletranslate(D3026,""id"",""en"")"),"Ppkm. All must obey. If you don't obey the apparatus. But the basic needs are not fulfilled. Current folk sheep vs apparatus. Really shown with vulgar and shamelessly. On the other hand he still wants to appear like a generous god.")</f>
        <v>Ppkm. All must obey. If you don't obey the apparatus. But the basic needs are not fulfilled. Current folk sheep vs apparatus. Really shown with vulgar and shamelessly. On the other hand he still wants to appear like a generous god.</v>
      </c>
    </row>
    <row r="3027" ht="15.75" customHeight="1">
      <c r="A3027" s="2">
        <v>3026.0</v>
      </c>
      <c r="B3027" s="5" t="s">
        <v>5541</v>
      </c>
      <c r="C3027" s="6">
        <v>2.0</v>
      </c>
      <c r="D3027" s="7" t="s">
        <v>5542</v>
      </c>
      <c r="E3027" s="8" t="str">
        <f>IFERROR(__xludf.DUMMYFUNCTION("googletranslate(D3027,""id"",""en"")"),"""What do you want to do today,"" I said to myself during PPKM")</f>
        <v>"What do you want to do today," I said to myself during PPKM</v>
      </c>
    </row>
    <row r="3028" ht="15.75" customHeight="1">
      <c r="A3028" s="2">
        <v>3027.0</v>
      </c>
      <c r="B3028" s="5" t="s">
        <v>5543</v>
      </c>
      <c r="C3028" s="6">
        <v>1.0</v>
      </c>
      <c r="D3028" s="9" t="s">
        <v>5544</v>
      </c>
      <c r="E3028" s="8" t="str">
        <f>IFERROR(__xludf.DUMMYFUNCTION("googletranslate(D3028,""id"",""en"")"),"Protaper I quickly arrived with the album, if the album is sure the wlopun is just the same, it's just a rather slow, the GR2 PPKM is a day that can be two days a day")</f>
        <v>Protaper I quickly arrived with the album, if the album is sure the wlopun is just the same, it's just a rather slow, the GR2 PPKM is a day that can be two days a day</v>
      </c>
    </row>
    <row r="3029" ht="15.75" customHeight="1">
      <c r="A3029" s="2">
        <v>3028.0</v>
      </c>
      <c r="B3029" s="5" t="s">
        <v>5545</v>
      </c>
      <c r="C3029" s="6">
        <v>3.0</v>
      </c>
      <c r="D3029" s="7" t="s">
        <v>5546</v>
      </c>
      <c r="E3029" s="8" t="str">
        <f>IFERROR(__xludf.DUMMYFUNCTION("googletranslate(D3029,""id"",""en"")"),"The latest policy of Governor Anies about PPKM against street vendors and MSMEs is more humanist and populist ... MasyaaAllaah extraordinary ... Allaahuakbar X")</f>
        <v>The latest policy of Governor Anies about PPKM against street vendors and MSMEs is more humanist and populist ... MasyaaAllaah extraordinary ... Allaahuakbar X</v>
      </c>
    </row>
    <row r="3030" ht="15.75" customHeight="1">
      <c r="A3030" s="2">
        <v>3029.0</v>
      </c>
      <c r="B3030" s="5" t="s">
        <v>5547</v>
      </c>
      <c r="C3030" s="6">
        <v>1.0</v>
      </c>
      <c r="D3030" s="7" t="s">
        <v>5547</v>
      </c>
      <c r="E3030" s="8" t="str">
        <f>IFERROR(__xludf.DUMMYFUNCTION("googletranslate(D3030,""id"",""en"")"),"wonder the person who is still hanging out on the ppkm gini")</f>
        <v>wonder the person who is still hanging out on the ppkm gini</v>
      </c>
    </row>
    <row r="3031" ht="15.75" customHeight="1">
      <c r="A3031" s="2">
        <v>3030.0</v>
      </c>
      <c r="B3031" s="5" t="s">
        <v>5548</v>
      </c>
      <c r="C3031" s="6">
        <v>2.0</v>
      </c>
      <c r="D3031" s="7" t="s">
        <v>5549</v>
      </c>
      <c r="E3031" s="8" t="str">
        <f>IFERROR(__xludf.DUMMYFUNCTION("googletranslate(D3031,""id"",""en"")"),"Good morning, during the Emergency PPKM Passenger Remote Ka Must show the Covid-19 vaccine card, while pregnant women should not vaccine whether you can use Rapid Antigen, thank you ..")</f>
        <v>Good morning, during the Emergency PPKM Passenger Remote Ka Must show the Covid-19 vaccine card, while pregnant women should not vaccine whether you can use Rapid Antigen, thank you ..</v>
      </c>
    </row>
    <row r="3032" ht="15.75" customHeight="1">
      <c r="A3032" s="2">
        <v>3031.0</v>
      </c>
      <c r="B3032" s="5" t="s">
        <v>5550</v>
      </c>
      <c r="C3032" s="6">
        <v>1.0</v>
      </c>
      <c r="D3032" s="7" t="s">
        <v>5550</v>
      </c>
      <c r="E3032" s="8" t="str">
        <f>IFERROR(__xludf.DUMMYFUNCTION("googletranslate(D3032,""id"",""en"")"),"PPKM (slowly we turn off)")</f>
        <v>PPKM (slowly we turn off)</v>
      </c>
    </row>
    <row r="3033" ht="15.75" customHeight="1">
      <c r="A3033" s="2">
        <v>3032.0</v>
      </c>
      <c r="B3033" s="5" t="s">
        <v>5551</v>
      </c>
      <c r="C3033" s="6">
        <v>1.0</v>
      </c>
      <c r="D3033" s="7" t="s">
        <v>5551</v>
      </c>
      <c r="E3033" s="8" t="str">
        <f>IFERROR(__xludf.DUMMYFUNCTION("googletranslate(D3033,""id"",""en"")"),"Bosen at home, but again PPKM")</f>
        <v>Bosen at home, but again PPKM</v>
      </c>
    </row>
    <row r="3034" ht="15.75" customHeight="1">
      <c r="A3034" s="2">
        <v>3033.0</v>
      </c>
      <c r="B3034" s="5" t="s">
        <v>5552</v>
      </c>
      <c r="C3034" s="6">
        <v>2.0</v>
      </c>
      <c r="D3034" s="7" t="s">
        <v>5553</v>
      </c>
      <c r="E3034" s="8" t="str">
        <f>IFERROR(__xludf.DUMMYFUNCTION("googletranslate(D3034,""id"",""en"")"),"How come he's a PPKM talk?")</f>
        <v>How come he's a PPKM talk?</v>
      </c>
    </row>
    <row r="3035" ht="15.75" customHeight="1">
      <c r="A3035" s="2">
        <v>3034.0</v>
      </c>
      <c r="B3035" s="5" t="s">
        <v>5554</v>
      </c>
      <c r="C3035" s="6">
        <v>1.0</v>
      </c>
      <c r="D3035" s="9" t="s">
        <v>5555</v>
      </c>
      <c r="E3035" s="8" t="str">
        <f>IFERROR(__xludf.DUMMYFUNCTION("googletranslate(D3035,""id"",""en"")"),"Waaa try if you can a photo in my place. I can all see it, it's unfortunately, ppkm huftt")</f>
        <v>Waaa try if you can a photo in my place. I can all see it, it's unfortunately, ppkm huftt</v>
      </c>
    </row>
    <row r="3036" ht="15.75" customHeight="1">
      <c r="A3036" s="2">
        <v>3035.0</v>
      </c>
      <c r="B3036" s="5" t="s">
        <v>5556</v>
      </c>
      <c r="C3036" s="6">
        <v>1.0</v>
      </c>
      <c r="D3036" s="9" t="s">
        <v>5557</v>
      </c>
      <c r="E3036" s="8" t="str">
        <f>IFERROR(__xludf.DUMMYFUNCTION("googletranslate(D3036,""id"",""en"")"),"Somehow this PPKM moment became a venue for Satpol PP showing its power event, maybe it's not just a Satpol PP, which is in other uniforms that if the task must be documented")</f>
        <v>Somehow this PPKM moment became a venue for Satpol PP showing its power event, maybe it's not just a Satpol PP, which is in other uniforms that if the task must be documented</v>
      </c>
    </row>
    <row r="3037" ht="15.75" customHeight="1">
      <c r="A3037" s="2">
        <v>3036.0</v>
      </c>
      <c r="B3037" s="5" t="s">
        <v>5558</v>
      </c>
      <c r="C3037" s="6">
        <v>1.0</v>
      </c>
      <c r="D3037" s="7" t="s">
        <v>5559</v>
      </c>
      <c r="E3037" s="8" t="str">
        <f>IFERROR(__xludf.DUMMYFUNCTION("googletranslate(D3037,""id"",""en"")"),"Right mother ...Gga agree that emergency ppkm is extended ..")</f>
        <v>Right mother ...Gga agree that emergency ppkm is extended ..</v>
      </c>
    </row>
    <row r="3038" ht="15.75" customHeight="1">
      <c r="A3038" s="2">
        <v>3037.0</v>
      </c>
      <c r="B3038" s="5" t="s">
        <v>5560</v>
      </c>
      <c r="C3038" s="6">
        <v>1.0</v>
      </c>
      <c r="D3038" s="7" t="s">
        <v>5561</v>
      </c>
      <c r="E3038" s="8" t="str">
        <f>IFERROR(__xludf.DUMMYFUNCTION("googletranslate(D3038,""id"",""en"")"),"Ppkm extended again weeks of all Indonesian civil servants")</f>
        <v>Ppkm extended again weeks of all Indonesian civil servants</v>
      </c>
    </row>
    <row r="3039" ht="15.75" customHeight="1">
      <c r="A3039" s="2">
        <v>3038.0</v>
      </c>
      <c r="B3039" s="5" t="s">
        <v>5562</v>
      </c>
      <c r="C3039" s="6">
        <v>1.0</v>
      </c>
      <c r="D3039" s="9" t="s">
        <v>5563</v>
      </c>
      <c r="E3039" s="8" t="str">
        <f>IFERROR(__xludf.DUMMYFUNCTION("googletranslate(D3039,""id"",""en"")"),"Crazy yaa ppkm add a week of my family meets what needs? Mbok yaaa omeknya dipake tangmentang paid your country this type of gorgeous so that the night selling night?")</f>
        <v>Crazy yaa ppkm add a week of my family meets what needs? Mbok yaaa omeknya dipake tangmentang paid your country this type of gorgeous so that the night selling night?</v>
      </c>
    </row>
    <row r="3040" ht="15.75" customHeight="1">
      <c r="A3040" s="2">
        <v>3039.0</v>
      </c>
      <c r="B3040" s="5" t="s">
        <v>5564</v>
      </c>
      <c r="C3040" s="6">
        <v>3.0</v>
      </c>
      <c r="D3040" s="7" t="s">
        <v>5565</v>
      </c>
      <c r="E3040" s="8" t="str">
        <f>IFERROR(__xludf.DUMMYFUNCTION("googletranslate(D3040,""id"",""en"")"),"For a long time it doesn't become Morning Person, Makation PPKM")</f>
        <v>For a long time it doesn't become Morning Person, Makation PPKM</v>
      </c>
    </row>
    <row r="3041" ht="15.75" customHeight="1">
      <c r="A3041" s="2">
        <v>3040.0</v>
      </c>
      <c r="B3041" s="5" t="s">
        <v>5566</v>
      </c>
      <c r="C3041" s="6">
        <v>1.0</v>
      </c>
      <c r="D3041" s="7" t="s">
        <v>5567</v>
      </c>
      <c r="E3041" s="8" t="str">
        <f>IFERROR(__xludf.DUMMYFUNCTION("googletranslate(D3041,""id"",""en"")"),"For the sake of Allah PPKM PPKM, what do you bother everything")</f>
        <v>For the sake of Allah PPKM PPKM, what do you bother everything</v>
      </c>
    </row>
    <row r="3042" ht="15.75" customHeight="1">
      <c r="A3042" s="2">
        <v>3041.0</v>
      </c>
      <c r="B3042" s="5" t="s">
        <v>5568</v>
      </c>
      <c r="C3042" s="6">
        <v>1.0</v>
      </c>
      <c r="D3042" s="7" t="s">
        <v>5569</v>
      </c>
      <c r="E3042" s="8" t="str">
        <f>IFERROR(__xludf.DUMMYFUNCTION("googletranslate(D3042,""id"",""en"")"),"Emergency ppkm no ngefek")</f>
        <v>Emergency ppkm no ngefek</v>
      </c>
    </row>
    <row r="3043" ht="15.75" customHeight="1">
      <c r="A3043" s="2">
        <v>3042.0</v>
      </c>
      <c r="B3043" s="5" t="s">
        <v>5570</v>
      </c>
      <c r="C3043" s="6">
        <v>1.0</v>
      </c>
      <c r="D3043" s="7" t="s">
        <v>5571</v>
      </c>
      <c r="E3043" s="8" t="str">
        <f>IFERROR(__xludf.DUMMYFUNCTION("googletranslate(D3043,""id"",""en"")"),"what is the technical guidelines / ppkm ... the same name is not like this..tlg responded")</f>
        <v>what is the technical guidelines / ppkm ... the same name is not like this..tlg responded</v>
      </c>
    </row>
    <row r="3044" ht="15.75" customHeight="1">
      <c r="A3044" s="2">
        <v>3043.0</v>
      </c>
      <c r="B3044" s="5" t="s">
        <v>5572</v>
      </c>
      <c r="C3044" s="6">
        <v>1.0</v>
      </c>
      <c r="D3044" s="7" t="s">
        <v>5573</v>
      </c>
      <c r="E3044" s="8" t="str">
        <f>IFERROR(__xludf.DUMMYFUNCTION("googletranslate(D3044,""id"",""en"")"),"PPKM already, continues the Onoh Minister who is controlled. But the case is higher.")</f>
        <v>PPKM already, continues the Onoh Minister who is controlled. But the case is higher.</v>
      </c>
    </row>
    <row r="3045" ht="15.75" customHeight="1">
      <c r="A3045" s="2">
        <v>3044.0</v>
      </c>
      <c r="B3045" s="5" t="s">
        <v>5574</v>
      </c>
      <c r="C3045" s="6">
        <v>2.0</v>
      </c>
      <c r="D3045" s="7" t="s">
        <v>5575</v>
      </c>
      <c r="E3045" s="8" t="str">
        <f>IFERROR(__xludf.DUMMYFUNCTION("googletranslate(D3045,""id"",""en"")"),"Hehehe, ppkm mas effect")</f>
        <v>Hehehe, ppkm mas effect</v>
      </c>
    </row>
    <row r="3046" ht="15.75" customHeight="1">
      <c r="A3046" s="2">
        <v>3045.0</v>
      </c>
      <c r="B3046" s="5" t="s">
        <v>5576</v>
      </c>
      <c r="C3046" s="6">
        <v>1.0</v>
      </c>
      <c r="D3046" s="7" t="s">
        <v>5577</v>
      </c>
      <c r="E3046" s="8" t="str">
        <f>IFERROR(__xludf.DUMMYFUNCTION("googletranslate(D3046,""id"",""en"")"),"ppkm, my class is backwards week")</f>
        <v>ppkm, my class is backwards week</v>
      </c>
    </row>
    <row r="3047" ht="15.75" customHeight="1">
      <c r="A3047" s="2">
        <v>3046.0</v>
      </c>
      <c r="B3047" s="5" t="s">
        <v>5578</v>
      </c>
      <c r="C3047" s="6">
        <v>2.0</v>
      </c>
      <c r="D3047" s="7" t="s">
        <v>5578</v>
      </c>
      <c r="E3047" s="8" t="str">
        <f>IFERROR(__xludf.DUMMYFUNCTION("googletranslate(D3047,""id"",""en"")"),"PPKM (never believed then regret)")</f>
        <v>PPKM (never believed then regret)</v>
      </c>
    </row>
    <row r="3048" ht="15.75" customHeight="1">
      <c r="A3048" s="2">
        <v>3047.0</v>
      </c>
      <c r="B3048" s="5" t="s">
        <v>5579</v>
      </c>
      <c r="C3048" s="6">
        <v>2.0</v>
      </c>
      <c r="D3048" s="7" t="s">
        <v>5579</v>
      </c>
      <c r="E3048" s="8" t="str">
        <f>IFERROR(__xludf.DUMMYFUNCTION("googletranslate(D3048,""id"",""en"")"),"Haaa PPKM extended?")</f>
        <v>Haaa PPKM extended?</v>
      </c>
    </row>
    <row r="3049" ht="15.75" customHeight="1">
      <c r="A3049" s="2">
        <v>3048.0</v>
      </c>
      <c r="B3049" s="5" t="s">
        <v>5580</v>
      </c>
      <c r="C3049" s="6">
        <v>1.0</v>
      </c>
      <c r="D3049" s="7" t="s">
        <v>5581</v>
      </c>
      <c r="E3049" s="8" t="str">
        <f>IFERROR(__xludf.DUMMYFUNCTION("googletranslate(D3049,""id"",""en"")"),"this is because of the ppkm, so it doesn't move")</f>
        <v>this is because of the ppkm, so it doesn't move</v>
      </c>
    </row>
    <row r="3050" ht="15.75" customHeight="1">
      <c r="A3050" s="2">
        <v>3049.0</v>
      </c>
      <c r="B3050" s="5" t="s">
        <v>5582</v>
      </c>
      <c r="C3050" s="6">
        <v>1.0</v>
      </c>
      <c r="D3050" s="7" t="s">
        <v>5583</v>
      </c>
      <c r="E3050" s="8" t="str">
        <f>IFERROR(__xludf.DUMMYFUNCTION("googletranslate(D3050,""id"",""en"")"),"PPKM + Heavy rain followed by Buanjirrr. Blend that blends")</f>
        <v>PPKM + Heavy rain followed by Buanjirrr. Blend that blends</v>
      </c>
    </row>
    <row r="3051" ht="15.75" customHeight="1">
      <c r="A3051" s="2">
        <v>3050.0</v>
      </c>
      <c r="B3051" s="5" t="s">
        <v>5584</v>
      </c>
      <c r="C3051" s="6">
        <v>1.0</v>
      </c>
      <c r="D3051" s="9" t="s">
        <v>5584</v>
      </c>
      <c r="E3051" s="8" t="str">
        <f>IFERROR(__xludf.DUMMYFUNCTION("googletranslate(D3051,""id"",""en"")"),"The more stress g, if it's until the PPKM is extended")</f>
        <v>The more stress g, if it's until the PPKM is extended</v>
      </c>
    </row>
    <row r="3052" ht="15.75" customHeight="1">
      <c r="A3052" s="2">
        <v>3051.0</v>
      </c>
      <c r="B3052" s="5" t="s">
        <v>5585</v>
      </c>
      <c r="C3052" s="6">
        <v>1.0</v>
      </c>
      <c r="D3052" s="7" t="s">
        <v>5585</v>
      </c>
      <c r="E3052" s="8" t="str">
        <f>IFERROR(__xludf.DUMMYFUNCTION("googletranslate(D3052,""id"",""en"")"),"Want to refreshing but mlah ppkm ....")</f>
        <v>Want to refreshing but mlah ppkm ....</v>
      </c>
    </row>
    <row r="3053" ht="15.75" customHeight="1">
      <c r="A3053" s="2">
        <v>3052.0</v>
      </c>
      <c r="B3053" s="5" t="s">
        <v>5586</v>
      </c>
      <c r="C3053" s="6">
        <v>1.0</v>
      </c>
      <c r="D3053" s="7" t="s">
        <v>5587</v>
      </c>
      <c r="E3053" s="8" t="str">
        <f>IFERROR(__xludf.DUMMYFUNCTION("googletranslate(D3053,""id"",""en"")"),"Why is the quarantine not used but use a PSBB word? To avoid the obligation to support the people during quarantine. Why is PSBB replaced PPKM? Because there are many socialities when the PSBB, so that PPKM is used to avoid as many bansos requests as PSBB"&amp;" ... I just know this")</f>
        <v>Why is the quarantine not used but use a PSBB word? To avoid the obligation to support the people during quarantine. Why is PSBB replaced PPKM? Because there are many socialities when the PSBB, so that PPKM is used to avoid as many bansos requests as PSBB ... I just know this</v>
      </c>
    </row>
    <row r="3054" ht="15.75" customHeight="1">
      <c r="A3054" s="2">
        <v>3053.0</v>
      </c>
      <c r="B3054" s="5" t="s">
        <v>5588</v>
      </c>
      <c r="C3054" s="6">
        <v>1.0</v>
      </c>
      <c r="D3054" s="7" t="s">
        <v>5589</v>
      </c>
      <c r="E3054" s="8" t="str">
        <f>IFERROR(__xludf.DUMMYFUNCTION("googletranslate(D3054,""id"",""en"")"),"Gegara on not obedient Prokes ... applies to the PPKM ... Gegara applies PPKM ... Falling the pot in the kitchen ... then it is as good as the udel ...")</f>
        <v>Gegara on not obedient Prokes ... applies to the PPKM ... Gegara applies PPKM ... Falling the pot in the kitchen ... then it is as good as the udel ...</v>
      </c>
    </row>
    <row r="3055" ht="15.75" customHeight="1">
      <c r="A3055" s="2">
        <v>3054.0</v>
      </c>
      <c r="B3055" s="5" t="s">
        <v>5590</v>
      </c>
      <c r="C3055" s="6">
        <v>1.0</v>
      </c>
      <c r="D3055" s="9" t="s">
        <v>5591</v>
      </c>
      <c r="E3055" s="8" t="str">
        <f>IFERROR(__xludf.DUMMYFUNCTION("googletranslate(D3055,""id"",""en"")"),"Dear sir, please notice PPKM rules somewhat clarified. If you sell it, don't close it quickly, pity the UKM which is open in the afternoon. Take away and keep the solution distance. Poor I see them screaming. I'm sure you will find a solution and you unde"&amp;"rstand more than me.")</f>
        <v>Dear sir, please notice PPKM rules somewhat clarified. If you sell it, don't close it quickly, pity the UKM which is open in the afternoon. Take away and keep the solution distance. Poor I see them screaming. I'm sure you will find a solution and you understand more than me.</v>
      </c>
    </row>
    <row r="3056" ht="15.75" customHeight="1">
      <c r="A3056" s="2">
        <v>3055.0</v>
      </c>
      <c r="B3056" s="5" t="s">
        <v>5592</v>
      </c>
      <c r="C3056" s="6">
        <v>1.0</v>
      </c>
      <c r="D3056" s="7" t="s">
        <v>5593</v>
      </c>
      <c r="E3056" s="8" t="str">
        <f>IFERROR(__xludf.DUMMYFUNCTION("googletranslate(D3056,""id"",""en"")"),"Aminn Yai ... born in the healthy mind that is sick, which is sick, the week is not working on the ppkm ... hehe ... it's not able to eat more weeks ...... Sorry ... instead confide in.")</f>
        <v>Aminn Yai ... born in the healthy mind that is sick, which is sick, the week is not working on the ppkm ... hehe ... it's not able to eat more weeks ...... Sorry ... instead confide in.</v>
      </c>
    </row>
    <row r="3057" ht="15.75" customHeight="1">
      <c r="A3057" s="2">
        <v>3056.0</v>
      </c>
      <c r="B3057" s="5" t="s">
        <v>5594</v>
      </c>
      <c r="C3057" s="6">
        <v>1.0</v>
      </c>
      <c r="D3057" s="7" t="s">
        <v>5595</v>
      </c>
      <c r="E3057" s="8" t="str">
        <f>IFERROR(__xludf.DUMMYFUNCTION("googletranslate(D3057,""id"",""en"")"),"I am a small person screaming, the increasingly extended PPKM, the more gloomy my nasthry, but maybe for them the longer PPKM longer the longer favors waiting")</f>
        <v>I am a small person screaming, the increasingly extended PPKM, the more gloomy my nasthry, but maybe for them the longer PPKM longer the longer favors waiting</v>
      </c>
    </row>
    <row r="3058" ht="15.75" customHeight="1">
      <c r="A3058" s="2">
        <v>3057.0</v>
      </c>
      <c r="B3058" s="5" t="s">
        <v>5596</v>
      </c>
      <c r="C3058" s="6">
        <v>1.0</v>
      </c>
      <c r="D3058" s="7" t="s">
        <v>5596</v>
      </c>
      <c r="E3058" s="8" t="str">
        <f>IFERROR(__xludf.DUMMYFUNCTION("googletranslate(D3058,""id"",""en"")"),"this ppkm road is closed so yeah trs it passes through")</f>
        <v>this ppkm road is closed so yeah trs it passes through</v>
      </c>
    </row>
    <row r="3059" ht="15.75" customHeight="1">
      <c r="A3059" s="2">
        <v>3058.0</v>
      </c>
      <c r="B3059" s="5" t="s">
        <v>5597</v>
      </c>
      <c r="C3059" s="6">
        <v>1.0</v>
      </c>
      <c r="D3059" s="9" t="s">
        <v>5598</v>
      </c>
      <c r="E3059" s="8" t="str">
        <f>IFERROR(__xludf.DUMMYFUNCTION("googletranslate(D3059,""id"",""en"")"),"Mr. President ... only, so that Pak LBP will also listen to the opinions of experts and the community. These people have been clustered by PPKM. It has been a lot of input and proposals from observers and experts. How come the solution is to make rice, do"&amp;"n't be corrupted again, sir ...?")</f>
        <v>Mr. President ... only, so that Pak LBP will also listen to the opinions of experts and the community. These people have been clustered by PPKM. It has been a lot of input and proposals from observers and experts. How come the solution is to make rice, don't be corrupted again, sir ...?</v>
      </c>
    </row>
    <row r="3060" ht="15.75" customHeight="1">
      <c r="A3060" s="2">
        <v>3059.0</v>
      </c>
      <c r="B3060" s="5" t="s">
        <v>5599</v>
      </c>
      <c r="C3060" s="6">
        <v>3.0</v>
      </c>
      <c r="D3060" s="7" t="s">
        <v>5600</v>
      </c>
      <c r="E3060" s="8" t="str">
        <f>IFERROR(__xludf.DUMMYFUNCTION("googletranslate(D3060,""id"",""en"")"),"It's really good, the PPKM is tight, if I personally can you break, but here it's still b aja, it's not tight enough, huh.")</f>
        <v>It's really good, the PPKM is tight, if I personally can you break, but here it's still b aja, it's not tight enough, huh.</v>
      </c>
    </row>
    <row r="3061" ht="15.75" customHeight="1">
      <c r="A3061" s="2">
        <v>3060.0</v>
      </c>
      <c r="B3061" s="5" t="s">
        <v>5601</v>
      </c>
      <c r="C3061" s="6">
        <v>1.0</v>
      </c>
      <c r="D3061" s="9" t="s">
        <v>5602</v>
      </c>
      <c r="E3061" s="8" t="str">
        <f>IFERROR(__xludf.DUMMYFUNCTION("googletranslate(D3061,""id"",""en"")"),"PPKM actually caused this crowd. Who is the Goblog?")</f>
        <v>PPKM actually caused this crowd. Who is the Goblog?</v>
      </c>
    </row>
    <row r="3062" ht="15.75" customHeight="1">
      <c r="A3062" s="2">
        <v>3061.0</v>
      </c>
      <c r="B3062" s="5" t="s">
        <v>5603</v>
      </c>
      <c r="C3062" s="6">
        <v>1.0</v>
      </c>
      <c r="D3062" s="7" t="s">
        <v>5604</v>
      </c>
      <c r="E3062" s="8" t="str">
        <f>IFERROR(__xludf.DUMMYFUNCTION("googletranslate(D3062,""id"",""en"")"),"China Invasion to Indonesia When the PPKM was implemented by national school? It really worked ...")</f>
        <v>China Invasion to Indonesia When the PPKM was implemented by national school? It really worked ...</v>
      </c>
    </row>
    <row r="3063" ht="15.75" customHeight="1">
      <c r="A3063" s="2">
        <v>3062.0</v>
      </c>
      <c r="B3063" s="5" t="s">
        <v>5605</v>
      </c>
      <c r="C3063" s="6">
        <v>2.0</v>
      </c>
      <c r="D3063" s="7" t="s">
        <v>5606</v>
      </c>
      <c r="E3063" s="8" t="str">
        <f>IFERROR(__xludf.DUMMYFUNCTION("googletranslate(D3063,""id"",""en"")"),"Then after the ppkm wpwk wait")</f>
        <v>Then after the ppkm wpwk wait</v>
      </c>
    </row>
    <row r="3064" ht="15.75" customHeight="1">
      <c r="A3064" s="2">
        <v>3063.0</v>
      </c>
      <c r="B3064" s="5" t="s">
        <v>5607</v>
      </c>
      <c r="C3064" s="6">
        <v>3.0</v>
      </c>
      <c r="D3064" s="7" t="s">
        <v>5608</v>
      </c>
      <c r="E3064" s="8" t="str">
        <f>IFERROR(__xludf.DUMMYFUNCTION("googletranslate(D3064,""id"",""en"")"),"Prevent Covid-19 with Vaccination and Healthy People's ProkesPPKM Discipline")</f>
        <v>Prevent Covid-19 with Vaccination and Healthy People's ProkesPPKM Discipline</v>
      </c>
    </row>
    <row r="3065" ht="15.75" customHeight="1">
      <c r="A3065" s="2">
        <v>3064.0</v>
      </c>
      <c r="B3065" s="5" t="s">
        <v>5609</v>
      </c>
      <c r="C3065" s="6">
        <v>1.0</v>
      </c>
      <c r="D3065" s="7" t="s">
        <v>5610</v>
      </c>
      <c r="E3065" s="8" t="str">
        <f>IFERROR(__xludf.DUMMYFUNCTION("googletranslate(D3065,""id"",""en"")"),"PPKM: Draunding of Thought to Public Cpkm: Handling Chain Pandemic Marut, PPKM: Enhancement of Suffering to the Community,")</f>
        <v>PPKM: Draunding of Thought to Public Cpkm: Handling Chain Pandemic Marut, PPKM: Enhancement of Suffering to the Community,</v>
      </c>
    </row>
    <row r="3066" ht="15.75" customHeight="1">
      <c r="A3066" s="2">
        <v>3065.0</v>
      </c>
      <c r="B3066" s="5" t="s">
        <v>5611</v>
      </c>
      <c r="C3066" s="6">
        <v>1.0</v>
      </c>
      <c r="D3066" s="9" t="s">
        <v>5612</v>
      </c>
      <c r="E3066" s="8" t="str">
        <f>IFERROR(__xludf.DUMMYFUNCTION("googletranslate(D3066,""id"",""en"")"),"Ppkm who view fur")</f>
        <v>Ppkm who view fur</v>
      </c>
    </row>
    <row r="3067" ht="15.75" customHeight="1">
      <c r="A3067" s="2">
        <v>3066.0</v>
      </c>
      <c r="B3067" s="5" t="s">
        <v>5613</v>
      </c>
      <c r="C3067" s="6">
        <v>1.0</v>
      </c>
      <c r="D3067" s="7" t="s">
        <v>5614</v>
      </c>
      <c r="E3067" s="8" t="str">
        <f>IFERROR(__xludf.DUMMYFUNCTION("googletranslate(D3067,""id"",""en"")"),"Don't you make the TNI power tool power down PSBB ppkm What is the name of the rules and laws just uphold the rules there are obligations that you must give too")</f>
        <v>Don't you make the TNI power tool power down PSBB ppkm What is the name of the rules and laws just uphold the rules there are obligations that you must give too</v>
      </c>
    </row>
    <row r="3068" ht="15.75" customHeight="1">
      <c r="A3068" s="2">
        <v>3067.0</v>
      </c>
      <c r="B3068" s="5" t="s">
        <v>5615</v>
      </c>
      <c r="C3068" s="6">
        <v>1.0</v>
      </c>
      <c r="D3068" s="7" t="s">
        <v>5616</v>
      </c>
      <c r="E3068" s="8" t="str">
        <f>IFERROR(__xludf.DUMMYFUNCTION("googletranslate(D3068,""id"",""en"")"),"PPKM ends July. If extended it's time to replace the commander, look more capable and understand the problem of pandemic and its scientific handling.")</f>
        <v>PPKM ends July. If extended it's time to replace the commander, look more capable and understand the problem of pandemic and its scientific handling.</v>
      </c>
    </row>
    <row r="3069" ht="15.75" customHeight="1">
      <c r="A3069" s="2">
        <v>3068.0</v>
      </c>
      <c r="B3069" s="5" t="s">
        <v>5617</v>
      </c>
      <c r="C3069" s="6">
        <v>1.0</v>
      </c>
      <c r="D3069" s="9" t="s">
        <v>5618</v>
      </c>
      <c r="E3069" s="8" t="str">
        <f>IFERROR(__xludf.DUMMYFUNCTION("googletranslate(D3069,""id"",""en"")"),"Which one shouted Lockdown supporters? In the ppkm hrs there is a massive vaccination, hrs door to door, so that doesn't want a vaccine forced")</f>
        <v>Which one shouted Lockdown supporters? In the ppkm hrs there is a massive vaccination, hrs door to door, so that doesn't want a vaccine forced</v>
      </c>
    </row>
    <row r="3070" ht="15.75" customHeight="1">
      <c r="A3070" s="2">
        <v>3069.0</v>
      </c>
      <c r="B3070" s="5" t="s">
        <v>5619</v>
      </c>
      <c r="C3070" s="6">
        <v>2.0</v>
      </c>
      <c r="D3070" s="7" t="s">
        <v>5620</v>
      </c>
      <c r="E3070" s="8" t="str">
        <f>IFERROR(__xludf.DUMMYFUNCTION("googletranslate(D3070,""id"",""en"")"),"ppkm when finished")</f>
        <v>ppkm when finished</v>
      </c>
    </row>
    <row r="3071" ht="15.75" customHeight="1">
      <c r="A3071" s="2">
        <v>3070.0</v>
      </c>
      <c r="B3071" s="5" t="s">
        <v>5621</v>
      </c>
      <c r="C3071" s="6">
        <v>3.0</v>
      </c>
      <c r="D3071" s="7" t="s">
        <v>5622</v>
      </c>
      <c r="E3071" s="8" t="str">
        <f>IFERROR(__xludf.DUMMYFUNCTION("googletranslate(D3071,""id"",""en"")"),"PPKM's positive side, I know the road in my area")</f>
        <v>PPKM's positive side, I know the road in my area</v>
      </c>
    </row>
    <row r="3072" ht="15.75" customHeight="1">
      <c r="A3072" s="2">
        <v>3071.0</v>
      </c>
      <c r="B3072" s="5" t="s">
        <v>5623</v>
      </c>
      <c r="C3072" s="6">
        <v>2.0</v>
      </c>
      <c r="D3072" s="7" t="s">
        <v>5624</v>
      </c>
      <c r="E3072" s="8" t="str">
        <f>IFERROR(__xludf.DUMMYFUNCTION("googletranslate(D3072,""id"",""en"")"),"Nggaaa, as long as the ppkm is kayaaa")</f>
        <v>Nggaaa, as long as the ppkm is kayaaa</v>
      </c>
    </row>
    <row r="3073" ht="15.75" customHeight="1">
      <c r="A3073" s="2">
        <v>3072.0</v>
      </c>
      <c r="B3073" s="5" t="s">
        <v>5625</v>
      </c>
      <c r="C3073" s="6">
        <v>1.0</v>
      </c>
      <c r="D3073" s="7" t="s">
        <v>5626</v>
      </c>
      <c r="E3073" s="8" t="str">
        <f>IFERROR(__xludf.DUMMYFUNCTION("googletranslate(D3073,""id"",""en"")"),"From the beginning of the pandemic in Indonesia, the government is like heavier to the economy than health, after emergency PPKM it seems clearly also the people are heavier than health ...")</f>
        <v>From the beginning of the pandemic in Indonesia, the government is like heavier to the economy than health, after emergency PPKM it seems clearly also the people are heavier than health ...</v>
      </c>
    </row>
    <row r="3074" ht="15.75" customHeight="1">
      <c r="A3074" s="2">
        <v>3073.0</v>
      </c>
      <c r="B3074" s="5" t="s">
        <v>5627</v>
      </c>
      <c r="C3074" s="6">
        <v>1.0</v>
      </c>
      <c r="D3074" s="9" t="s">
        <v>5628</v>
      </c>
      <c r="E3074" s="8" t="str">
        <f>IFERROR(__xludf.DUMMYFUNCTION("googletranslate(D3074,""id"",""en"")"),"if gaada ppkm at this time it's ready to leave huftt's intern, I miss it really")</f>
        <v>if gaada ppkm at this time it's ready to leave huftt's intern, I miss it really</v>
      </c>
    </row>
    <row r="3075" ht="15.75" customHeight="1">
      <c r="A3075" s="2">
        <v>3074.0</v>
      </c>
      <c r="B3075" s="5" t="s">
        <v>5629</v>
      </c>
      <c r="C3075" s="6">
        <v>1.0</v>
      </c>
      <c r="D3075" s="9" t="s">
        <v>5629</v>
      </c>
      <c r="E3075" s="8" t="str">
        <f>IFERROR(__xludf.DUMMYFUNCTION("googletranslate(D3075,""id"",""en"")"),"He said PPKM to reduce Covid numbers, we must just be at home. Stores are forced to close. But how come I see the story of the artist, you can still leave the country")</f>
        <v>He said PPKM to reduce Covid numbers, we must just be at home. Stores are forced to close. But how come I see the story of the artist, you can still leave the country</v>
      </c>
    </row>
    <row r="3076" ht="15.75" customHeight="1">
      <c r="A3076" s="2">
        <v>3075.0</v>
      </c>
      <c r="B3076" s="5" t="s">
        <v>5630</v>
      </c>
      <c r="C3076" s="6">
        <v>1.0</v>
      </c>
      <c r="D3076" s="9" t="s">
        <v>5631</v>
      </c>
      <c r="E3076" s="8" t="str">
        <f>IFERROR(__xludf.DUMMYFUNCTION("googletranslate(D3076,""id"",""en"")"),"The meaning of the Dealuran PPKM policy opens the door for invaders enter this country ...")</f>
        <v>The meaning of the Dealuran PPKM policy opens the door for invaders enter this country ...</v>
      </c>
    </row>
    <row r="3077" ht="15.75" customHeight="1">
      <c r="A3077" s="2">
        <v>3076.0</v>
      </c>
      <c r="B3077" s="5" t="s">
        <v>5632</v>
      </c>
      <c r="C3077" s="6">
        <v>1.0</v>
      </c>
      <c r="D3077" s="9" t="s">
        <v>5633</v>
      </c>
      <c r="E3077" s="8" t="str">
        <f>IFERROR(__xludf.DUMMYFUNCTION("googletranslate(D3077,""id"",""en"")"),"ppkm plan plus so week, wtf man, i mean when it's a rich state just selling it especially until Sunday, thats so fucking a long dude, the trader's fortune from where SAT, they need to pay this, their needs aren't a little")</f>
        <v>ppkm plan plus so week, wtf man, i mean when it's a rich state just selling it especially until Sunday, thats so fucking a long dude, the trader's fortune from where SAT, they need to pay this, their needs aren't a little</v>
      </c>
    </row>
    <row r="3078" ht="15.75" customHeight="1">
      <c r="A3078" s="2">
        <v>3077.0</v>
      </c>
      <c r="B3078" s="5" t="s">
        <v>5634</v>
      </c>
      <c r="C3078" s="6">
        <v>1.0</v>
      </c>
      <c r="D3078" s="7" t="s">
        <v>5635</v>
      </c>
      <c r="E3078" s="8" t="str">
        <f>IFERROR(__xludf.DUMMYFUNCTION("googletranslate(D3078,""id"",""en"")"),"Ppkm plus again? Think of all the people's tuber ulbians")</f>
        <v>Ppkm plus again? Think of all the people's tuber ulbians</v>
      </c>
    </row>
    <row r="3079" ht="15.75" customHeight="1">
      <c r="A3079" s="2">
        <v>3078.0</v>
      </c>
      <c r="B3079" s="5" t="s">
        <v>5636</v>
      </c>
      <c r="C3079" s="6">
        <v>1.0</v>
      </c>
      <c r="D3079" s="7" t="s">
        <v>5637</v>
      </c>
      <c r="E3079" s="8" t="str">
        <f>IFERROR(__xludf.DUMMYFUNCTION("googletranslate(D3079,""id"",""en"")"),"Yuu still gave up and don't be enthusiastic. It's been Wednesday, wait for a weekend but still ppkm so it can't go anywhere, the top of the Sagara Mountain")</f>
        <v>Yuu still gave up and don't be enthusiastic. It's been Wednesday, wait for a weekend but still ppkm so it can't go anywhere, the top of the Sagara Mountain</v>
      </c>
    </row>
    <row r="3080" ht="15.75" customHeight="1">
      <c r="A3080" s="2">
        <v>3079.0</v>
      </c>
      <c r="B3080" s="5" t="s">
        <v>5638</v>
      </c>
      <c r="C3080" s="6">
        <v>1.0</v>
      </c>
      <c r="D3080" s="9" t="s">
        <v>5639</v>
      </c>
      <c r="E3080" s="8" t="str">
        <f>IFERROR(__xludf.DUMMYFUNCTION("googletranslate(D3080,""id"",""en"")"),"Which sector is going to collapse even gooll mats when this PPKM path? We see the next week")</f>
        <v>Which sector is going to collapse even gooll mats when this PPKM path? We see the next week</v>
      </c>
    </row>
    <row r="3081" ht="15.75" customHeight="1">
      <c r="A3081" s="2">
        <v>3080.0</v>
      </c>
      <c r="B3081" s="5" t="s">
        <v>5640</v>
      </c>
      <c r="C3081" s="6">
        <v>1.0</v>
      </c>
      <c r="D3081" s="7" t="s">
        <v>5641</v>
      </c>
      <c r="E3081" s="8" t="str">
        <f>IFERROR(__xludf.DUMMYFUNCTION("googletranslate(D3081,""id"",""en"")"),"Which is true that the PPKM period wants to be extended on Sunday? Amboy amboy gabenah me, it's really not at home here")</f>
        <v>Which is true that the PPKM period wants to be extended on Sunday? Amboy amboy gabenah me, it's really not at home here</v>
      </c>
    </row>
    <row r="3082" ht="15.75" customHeight="1">
      <c r="A3082" s="2">
        <v>3081.0</v>
      </c>
      <c r="B3082" s="5" t="s">
        <v>5642</v>
      </c>
      <c r="C3082" s="6">
        <v>1.0</v>
      </c>
      <c r="D3082" s="7" t="s">
        <v>5643</v>
      </c>
      <c r="E3082" s="8" t="str">
        <f>IFERROR(__xludf.DUMMYFUNCTION("googletranslate(D3082,""id"",""en"")"),"In my area of ​​PPKM, so it didn't start yesterday, this second day, the rest again")</f>
        <v>In my area of ​​PPKM, so it didn't start yesterday, this second day, the rest again</v>
      </c>
    </row>
    <row r="3083" ht="15.75" customHeight="1">
      <c r="A3083" s="2">
        <v>3082.0</v>
      </c>
      <c r="B3083" s="5" t="s">
        <v>5644</v>
      </c>
      <c r="C3083" s="6">
        <v>1.0</v>
      </c>
      <c r="D3083" s="7" t="s">
        <v>5645</v>
      </c>
      <c r="E3083" s="8" t="str">
        <f>IFERROR(__xludf.DUMMYFUNCTION("googletranslate(D3083,""id"",""en"")"),"Innalillahi ... Allegedly the owner of a stall breaking the PPKM operating hours until it was dragged by the army. Share")</f>
        <v>Innalillahi ... Allegedly the owner of a stall breaking the PPKM operating hours until it was dragged by the army. Share</v>
      </c>
    </row>
    <row r="3084" ht="15.75" customHeight="1">
      <c r="A3084" s="2">
        <v>3083.0</v>
      </c>
      <c r="B3084" s="5" t="s">
        <v>5646</v>
      </c>
      <c r="C3084" s="6">
        <v>1.0</v>
      </c>
      <c r="D3084" s="9" t="s">
        <v>5647</v>
      </c>
      <c r="E3084" s="8" t="str">
        <f>IFERROR(__xludf.DUMMYFUNCTION("googletranslate(D3084,""id"",""en"")"),"The material reads nder, starting from the name PSBB to PPKM I do not know whether it has been carried out or not this Law. This sounds ""quarantine region"" means not only individuals, even until livestock should be guaranteed.")</f>
        <v>The material reads nder, starting from the name PSBB to PPKM I do not know whether it has been carried out or not this Law. This sounds "quarantine region" means not only individuals, even until livestock should be guaranteed.</v>
      </c>
    </row>
    <row r="3085" ht="15.75" customHeight="1">
      <c r="A3085" s="2">
        <v>3084.0</v>
      </c>
      <c r="B3085" s="5" t="s">
        <v>5648</v>
      </c>
      <c r="C3085" s="6">
        <v>1.0</v>
      </c>
      <c r="D3085" s="7" t="s">
        <v>5648</v>
      </c>
      <c r="E3085" s="8" t="str">
        <f>IFERROR(__xludf.DUMMYFUNCTION("googletranslate(D3085,""id"",""en"")"),"The presence of PPKM society is saturated ...")</f>
        <v>The presence of PPKM society is saturated ...</v>
      </c>
    </row>
    <row r="3086" ht="15.75" customHeight="1">
      <c r="A3086" s="2">
        <v>3085.0</v>
      </c>
      <c r="B3086" s="5" t="s">
        <v>5649</v>
      </c>
      <c r="C3086" s="6">
        <v>1.0</v>
      </c>
      <c r="D3086" s="7" t="s">
        <v>5650</v>
      </c>
      <c r="E3086" s="8" t="str">
        <f>IFERROR(__xludf.DUMMYFUNCTION("googletranslate(D3086,""id"",""en"")"),"PPKM Wants To Be Extended O Allah Doesn't Be Kasian That Is Not It's harder")</f>
        <v>PPKM Wants To Be Extended O Allah Doesn't Be Kasian That Is Not It's harder</v>
      </c>
    </row>
    <row r="3087" ht="15.75" customHeight="1">
      <c r="A3087" s="2">
        <v>3086.0</v>
      </c>
      <c r="B3087" s="5" t="s">
        <v>5651</v>
      </c>
      <c r="C3087" s="6">
        <v>1.0</v>
      </c>
      <c r="D3087" s="9" t="s">
        <v>5652</v>
      </c>
      <c r="E3087" s="8" t="str">
        <f>IFERROR(__xludf.DUMMYFUNCTION("googletranslate(D3087,""id"",""en"")"),"When the President of the President stated that the people should not be trouble because of the PPKM, but authentic evidence in the field of many people complained about the tribulation")</f>
        <v>When the President of the President stated that the people should not be trouble because of the PPKM, but authentic evidence in the field of many people complained about the tribulation</v>
      </c>
    </row>
    <row r="3088" ht="15.75" customHeight="1">
      <c r="A3088" s="2">
        <v>3087.0</v>
      </c>
      <c r="B3088" s="5" t="s">
        <v>5653</v>
      </c>
      <c r="C3088" s="6">
        <v>1.0</v>
      </c>
      <c r="D3088" s="7" t="s">
        <v>5654</v>
      </c>
      <c r="E3088" s="8" t="str">
        <f>IFERROR(__xludf.DUMMYFUNCTION("googletranslate(D3088,""id"",""en"")"),"Guys, I really tired it can't work during this PPM and there's no income. Enjoy and pray me to get new work. Thanks all")</f>
        <v>Guys, I really tired it can't work during this PPM and there's no income. Enjoy and pray me to get new work. Thanks all</v>
      </c>
    </row>
    <row r="3089" ht="15.75" customHeight="1">
      <c r="A3089" s="2">
        <v>3088.0</v>
      </c>
      <c r="B3089" s="5" t="s">
        <v>5655</v>
      </c>
      <c r="C3089" s="6">
        <v>1.0</v>
      </c>
      <c r="D3089" s="9" t="s">
        <v>5656</v>
      </c>
      <c r="E3089" s="8" t="str">
        <f>IFERROR(__xludf.DUMMYFUNCTION("googletranslate(D3089,""id"",""en"")"),"This Law / 2018 is interesting. Used for the basis of action / sanctions for emergency ppkm, but some of the article not / has not been used in the emergency PPKM")</f>
        <v>This Law / 2018 is interesting. Used for the basis of action / sanctions for emergency ppkm, but some of the article not / has not been used in the emergency PPKM</v>
      </c>
    </row>
    <row r="3090" ht="15.75" customHeight="1">
      <c r="A3090" s="2">
        <v>3089.0</v>
      </c>
      <c r="B3090" s="5" t="s">
        <v>5657</v>
      </c>
      <c r="C3090" s="6">
        <v>1.0</v>
      </c>
      <c r="D3090" s="7" t="s">
        <v>5658</v>
      </c>
      <c r="E3090" s="8" t="str">
        <f>IFERROR(__xludf.DUMMYFUNCTION("googletranslate(D3090,""id"",""en"")"),"This cool public kitchen for residents, but there is one thing besides eating that must be fulfilled by some affected PPKM people. The obligation to pay installments, pay electricity, pay vehicle tax and other obligations")</f>
        <v>This cool public kitchen for residents, but there is one thing besides eating that must be fulfilled by some affected PPKM people. The obligation to pay installments, pay electricity, pay vehicle tax and other obligations</v>
      </c>
    </row>
    <row r="3091" ht="15.75" customHeight="1">
      <c r="A3091" s="2">
        <v>3090.0</v>
      </c>
      <c r="B3091" s="5" t="s">
        <v>5659</v>
      </c>
      <c r="C3091" s="6">
        <v>1.0</v>
      </c>
      <c r="D3091" s="9" t="s">
        <v>5660</v>
      </c>
      <c r="E3091" s="8" t="str">
        <f>IFERROR(__xludf.DUMMYFUNCTION("googletranslate(D3091,""id"",""en"")"),"The PPKM Week is just to close the operation already Alhamdulillah. If plus the week we rather objected. Because it turned out that the impact on the decline in cases of cases was also less effective and the economy was more sereet.")</f>
        <v>The PPKM Week is just to close the operation already Alhamdulillah. If plus the week we rather objected. Because it turned out that the impact on the decline in cases of cases was also less effective and the economy was more sereet.</v>
      </c>
    </row>
    <row r="3092" ht="15.75" customHeight="1">
      <c r="A3092" s="2">
        <v>3091.0</v>
      </c>
      <c r="B3092" s="5" t="s">
        <v>5661</v>
      </c>
      <c r="C3092" s="6">
        <v>1.0</v>
      </c>
      <c r="D3092" s="9" t="s">
        <v>5662</v>
      </c>
      <c r="E3092" s="8" t="str">
        <f>IFERROR(__xludf.DUMMYFUNCTION("googletranslate(D3092,""id"",""en"")"),"Yes God PPKM becomes extended? WW Want to Buy a Laptop O Allah Wait for my PPKM Gue Gabisa Buy Laptop")</f>
        <v>Yes God PPKM becomes extended? WW Want to Buy a Laptop O Allah Wait for my PPKM Gue Gabisa Buy Laptop</v>
      </c>
    </row>
    <row r="3093" ht="15.75" customHeight="1">
      <c r="A3093" s="2">
        <v>3092.0</v>
      </c>
      <c r="B3093" s="5" t="s">
        <v>5663</v>
      </c>
      <c r="C3093" s="6">
        <v>1.0</v>
      </c>
      <c r="D3093" s="7" t="s">
        <v>5664</v>
      </c>
      <c r="E3093" s="8" t="str">
        <f>IFERROR(__xludf.DUMMYFUNCTION("googletranslate(D3093,""id"",""en"")"),"A good way to avoid the provision of basic needs on its people while applying Lackdown, then the government uses a new term that is not in the KakanDan Law with the name PPKM, but the article used remains in the Kakan Dice Act ......")</f>
        <v>A good way to avoid the provision of basic needs on its people while applying Lackdown, then the government uses a new term that is not in the KakanDan Law with the name PPKM, but the article used remains in the Kakan Dice Act ......</v>
      </c>
    </row>
    <row r="3094" ht="15.75" customHeight="1">
      <c r="A3094" s="2">
        <v>3093.0</v>
      </c>
      <c r="B3094" s="5" t="s">
        <v>5665</v>
      </c>
      <c r="C3094" s="6">
        <v>1.0</v>
      </c>
      <c r="D3094" s="7" t="s">
        <v>5665</v>
      </c>
      <c r="E3094" s="8" t="str">
        <f>IFERROR(__xludf.DUMMYFUNCTION("googletranslate(D3094,""id"",""en"")"),"I mean, now PPKM. Many are difficult, unable to make a living, limited mobility etc.")</f>
        <v>I mean, now PPKM. Many are difficult, unable to make a living, limited mobility etc.</v>
      </c>
    </row>
    <row r="3095" ht="15.75" customHeight="1">
      <c r="A3095" s="2">
        <v>3094.0</v>
      </c>
      <c r="B3095" s="5" t="s">
        <v>5666</v>
      </c>
      <c r="C3095" s="6">
        <v>1.0</v>
      </c>
      <c r="D3095" s="9" t="s">
        <v>5667</v>
      </c>
      <c r="E3095" s="8" t="str">
        <f>IFERROR(__xludf.DUMMYFUNCTION("googletranslate(D3095,""id"",""en"")"),"Maap is also bang. I think it's too big if the PPKM is continued. Especially he said toll roads in Central Java will be closed. Clear yes the price of goods will be up. Citizens just want to keep eating. If the government can guarantee it feels like you w"&amp;"ant a ppkm a year too.")</f>
        <v>Maap is also bang. I think it's too big if the PPKM is continued. Especially he said toll roads in Central Java will be closed. Clear yes the price of goods will be up. Citizens just want to keep eating. If the government can guarantee it feels like you want a ppkm a year too.</v>
      </c>
    </row>
    <row r="3096" ht="15.75" customHeight="1">
      <c r="A3096" s="2">
        <v>3095.0</v>
      </c>
      <c r="B3096" s="5" t="s">
        <v>5668</v>
      </c>
      <c r="C3096" s="6">
        <v>1.0</v>
      </c>
      <c r="D3096" s="9" t="s">
        <v>5668</v>
      </c>
      <c r="E3096" s="8" t="str">
        <f>IFERROR(__xludf.DUMMYFUNCTION("googletranslate(D3096,""id"",""en"")"),"How do you go to work? want me to report tuh tank")</f>
        <v>How do you go to work? want me to report tuh tank</v>
      </c>
    </row>
    <row r="3097" ht="15.75" customHeight="1">
      <c r="A3097" s="2">
        <v>3096.0</v>
      </c>
      <c r="B3097" s="5" t="s">
        <v>5669</v>
      </c>
      <c r="C3097" s="6">
        <v>1.0</v>
      </c>
      <c r="D3097" s="7" t="s">
        <v>5670</v>
      </c>
      <c r="E3097" s="8" t="str">
        <f>IFERROR(__xludf.DUMMYFUNCTION("googletranslate(D3097,""id"",""en"")"),"Come on, I don't copy until PPKM Wes a volume")</f>
        <v>Come on, I don't copy until PPKM Wes a volume</v>
      </c>
    </row>
    <row r="3098" ht="15.75" customHeight="1">
      <c r="A3098" s="2">
        <v>3097.0</v>
      </c>
      <c r="B3098" s="5" t="s">
        <v>5671</v>
      </c>
      <c r="C3098" s="6">
        <v>1.0</v>
      </c>
      <c r="D3098" s="9" t="s">
        <v>5672</v>
      </c>
      <c r="E3098" s="8" t="str">
        <f>IFERROR(__xludf.DUMMYFUNCTION("googletranslate(D3098,""id"",""en"")"),"In the area it is echoed by PPKM without Upload Copet, eh in the media digitly, this is Indonesia")</f>
        <v>In the area it is echoed by PPKM without Upload Copet, eh in the media digitly, this is Indonesia</v>
      </c>
    </row>
    <row r="3099" ht="15.75" customHeight="1">
      <c r="A3099" s="2">
        <v>3098.0</v>
      </c>
      <c r="B3099" s="5" t="s">
        <v>5673</v>
      </c>
      <c r="C3099" s="6">
        <v>1.0</v>
      </c>
      <c r="D3099" s="9" t="s">
        <v>5674</v>
      </c>
      <c r="E3099" s="8" t="str">
        <f>IFERROR(__xludf.DUMMYFUNCTION("googletranslate(D3099,""id"",""en"")"),"Kl from the government there is a real solution with the rules of PPKM, I do not continue, but what I feel is not there. We don't just eat, but there is installments and pay electricity, and it must be paid, the solution is ...")</f>
        <v>Kl from the government there is a real solution with the rules of PPKM, I do not continue, but what I feel is not there. We don't just eat, but there is installments and pay electricity, and it must be paid, the solution is ...</v>
      </c>
    </row>
    <row r="3100" ht="15.75" customHeight="1">
      <c r="A3100" s="2">
        <v>3099.0</v>
      </c>
      <c r="B3100" s="5" t="s">
        <v>5675</v>
      </c>
      <c r="C3100" s="6">
        <v>2.0</v>
      </c>
      <c r="D3100" s="7" t="s">
        <v>5675</v>
      </c>
      <c r="E3100" s="8" t="str">
        <f>IFERROR(__xludf.DUMMYFUNCTION("googletranslate(D3100,""id"",""en"")"),"Is this serious PPKM will be extended?")</f>
        <v>Is this serious PPKM will be extended?</v>
      </c>
    </row>
    <row r="3101" ht="15.75" customHeight="1">
      <c r="A3101" s="2">
        <v>3100.0</v>
      </c>
      <c r="B3101" s="5" t="s">
        <v>5676</v>
      </c>
      <c r="C3101" s="6">
        <v>1.0</v>
      </c>
      <c r="D3101" s="7" t="s">
        <v>5677</v>
      </c>
      <c r="E3101" s="8" t="str">
        <f>IFERROR(__xludf.DUMMYFUNCTION("googletranslate(D3101,""id"",""en"")"),"PPKM (Community Poverty Acceleration Program)")</f>
        <v>PPKM (Community Poverty Acceleration Program)</v>
      </c>
    </row>
    <row r="3102" ht="15.75" customHeight="1">
      <c r="A3102" s="2">
        <v>3101.0</v>
      </c>
      <c r="B3102" s="5" t="s">
        <v>5678</v>
      </c>
      <c r="C3102" s="6">
        <v>2.0</v>
      </c>
      <c r="D3102" s="7" t="s">
        <v>5679</v>
      </c>
      <c r="E3102" s="8" t="str">
        <f>IFERROR(__xludf.DUMMYFUNCTION("googletranslate(D3102,""id"",""en"")"),"PPKM is extended, back to make it a dalgona again?")</f>
        <v>PPKM is extended, back to make it a dalgona again?</v>
      </c>
    </row>
    <row r="3103" ht="15.75" customHeight="1">
      <c r="A3103" s="2">
        <v>3102.0</v>
      </c>
      <c r="B3103" s="5" t="s">
        <v>5680</v>
      </c>
      <c r="C3103" s="6">
        <v>1.0</v>
      </c>
      <c r="D3103" s="9" t="s">
        <v>5681</v>
      </c>
      <c r="E3103" s="8" t="str">
        <f>IFERROR(__xludf.DUMMYFUNCTION("googletranslate(D3103,""id"",""en"")"),"Very ""concerned"" and can be a time bomb, JK PPKM extended. Need another solution, because of the public, lack of quality of mental nationalism discipline. Tightly put the direct supervision of prokes in all environments.")</f>
        <v>Very "concerned" and can be a time bomb, JK PPKM extended. Need another solution, because of the public, lack of quality of mental nationalism discipline. Tightly put the direct supervision of prokes in all environments.</v>
      </c>
    </row>
    <row r="3104" ht="15.75" customHeight="1">
      <c r="A3104" s="2">
        <v>3103.0</v>
      </c>
      <c r="B3104" s="5" t="s">
        <v>5682</v>
      </c>
      <c r="C3104" s="6">
        <v>1.0</v>
      </c>
      <c r="D3104" s="9" t="s">
        <v>5683</v>
      </c>
      <c r="E3104" s="8" t="str">
        <f>IFERROR(__xludf.DUMMYFUNCTION("googletranslate(D3104,""id"",""en"")"),"I just wrote the lock down, rather than the extended PPKM like the discourse of TSBAYO DONG, he said to care about the business of people, but how come the PPKM wants to be extended? Yes, it's already locked it, the bansos are allocated. Fulfill the needs"&amp;" of the people")</f>
        <v>I just wrote the lock down, rather than the extended PPKM like the discourse of TSBAYO DONG, he said to care about the business of people, but how come the PPKM wants to be extended? Yes, it's already locked it, the bansos are allocated. Fulfill the needs of the people</v>
      </c>
    </row>
    <row r="3105" ht="15.75" customHeight="1">
      <c r="A3105" s="2">
        <v>3104.0</v>
      </c>
      <c r="B3105" s="5" t="s">
        <v>5684</v>
      </c>
      <c r="C3105" s="6">
        <v>2.0</v>
      </c>
      <c r="D3105" s="7" t="s">
        <v>5685</v>
      </c>
      <c r="E3105" s="8" t="str">
        <f>IFERROR(__xludf.DUMMYFUNCTION("googletranslate(D3105,""id"",""en"")"),"Is it in P.Jawa really apply PPKM? Does the community use a mask?")</f>
        <v>Is it in P.Jawa really apply PPKM? Does the community use a mask?</v>
      </c>
    </row>
    <row r="3106" ht="15.75" customHeight="1">
      <c r="A3106" s="2">
        <v>3105.0</v>
      </c>
      <c r="B3106" s="5" t="s">
        <v>5686</v>
      </c>
      <c r="C3106" s="6">
        <v>1.0</v>
      </c>
      <c r="D3106" s="9" t="s">
        <v>5687</v>
      </c>
      <c r="E3106" s="8" t="str">
        <f>IFERROR(__xludf.DUMMYFUNCTION("googletranslate(D3106,""id"",""en"")"),"This is always discussed by Mama's father, PPKM this is really a big impact on the person who sells especially if the person earns only from his merchandise")</f>
        <v>This is always discussed by Mama's father, PPKM this is really a big impact on the person who sells especially if the person earns only from his merchandise</v>
      </c>
    </row>
    <row r="3107" ht="15.75" customHeight="1">
      <c r="A3107" s="2">
        <v>3106.0</v>
      </c>
      <c r="B3107" s="5" t="s">
        <v>5688</v>
      </c>
      <c r="C3107" s="6">
        <v>1.0</v>
      </c>
      <c r="D3107" s="7" t="s">
        <v>5689</v>
      </c>
      <c r="E3107" s="8" t="str">
        <f>IFERROR(__xludf.DUMMYFUNCTION("googletranslate(D3107,""id"",""en"")"),"PPKM Select Select. Apparently on the island of reclamation there is no PPKM and inhabited by China . It won't fine / spray")</f>
        <v>PPKM Select Select. Apparently on the island of reclamation there is no PPKM and inhabited by China . It won't fine / spray</v>
      </c>
    </row>
    <row r="3108" ht="15.75" customHeight="1">
      <c r="A3108" s="2">
        <v>3107.0</v>
      </c>
      <c r="B3108" s="5" t="s">
        <v>5690</v>
      </c>
      <c r="C3108" s="6">
        <v>2.0</v>
      </c>
      <c r="D3108" s="7" t="s">
        <v>5690</v>
      </c>
      <c r="E3108" s="8" t="str">
        <f>IFERROR(__xludf.DUMMYFUNCTION("googletranslate(D3108,""id"",""en"")"),"PPKM will succeed if the customary institution and RT / RW are involved")</f>
        <v>PPKM will succeed if the customary institution and RT / RW are involved</v>
      </c>
    </row>
    <row r="3109" ht="15.75" customHeight="1">
      <c r="A3109" s="2">
        <v>3108.0</v>
      </c>
      <c r="B3109" s="5" t="s">
        <v>5691</v>
      </c>
      <c r="C3109" s="6">
        <v>2.0</v>
      </c>
      <c r="D3109" s="7" t="s">
        <v>5692</v>
      </c>
      <c r="E3109" s="8" t="str">
        <f>IFERROR(__xludf.DUMMYFUNCTION("googletranslate(D3109,""id"",""en"")"),"gaskeun abis ppkm.")</f>
        <v>gaskeun abis ppkm.</v>
      </c>
    </row>
    <row r="3110" ht="15.75" customHeight="1">
      <c r="A3110" s="2">
        <v>3109.0</v>
      </c>
      <c r="B3110" s="5" t="s">
        <v>5693</v>
      </c>
      <c r="C3110" s="6">
        <v>1.0</v>
      </c>
      <c r="D3110" s="7" t="s">
        <v>5694</v>
      </c>
      <c r="E3110" s="8" t="str">
        <f>IFERROR(__xludf.DUMMYFUNCTION("googletranslate(D3110,""id"",""en"")"),"This luhut was bacot to melt, he himself said all was controlled but wanted to extend the Emergency PPKM .... Taek!")</f>
        <v>This luhut was bacot to melt, he himself said all was controlled but wanted to extend the Emergency PPKM .... Taek!</v>
      </c>
    </row>
    <row r="3111" ht="15.75" customHeight="1">
      <c r="A3111" s="2">
        <v>3110.0</v>
      </c>
      <c r="B3111" s="5" t="s">
        <v>5695</v>
      </c>
      <c r="C3111" s="6">
        <v>2.0</v>
      </c>
      <c r="D3111" s="10" t="s">
        <v>958</v>
      </c>
      <c r="E3111" s="8" t="str">
        <f>IFERROR(__xludf.DUMMYFUNCTION("googletranslate(D3111,""id"",""en"")"),"Again PPKM.")</f>
        <v>Again PPKM.</v>
      </c>
    </row>
    <row r="3112" ht="15.75" customHeight="1">
      <c r="A3112" s="2">
        <v>3111.0</v>
      </c>
      <c r="B3112" s="5" t="s">
        <v>5696</v>
      </c>
      <c r="C3112" s="6">
        <v>3.0</v>
      </c>
      <c r="D3112" s="9" t="s">
        <v>5697</v>
      </c>
      <c r="E3112" s="8" t="str">
        <f>IFERROR(__xludf.DUMMYFUNCTION("googletranslate(D3112,""id"",""en"")"),"Covid no matter there is no PPKM but the government cares about the people &amp; amp; PPKM efforts to minimize so that the public is not affected by covid. All ways to believe Covid must have an impact on the country's economy &amp; amp; It's good. It still appli"&amp;"es for PPKM to beat the government, CB Lok Bnr2 Lokdown")</f>
        <v>Covid no matter there is no PPKM but the government cares about the people &amp; amp; PPKM efforts to minimize so that the public is not affected by covid. All ways to believe Covid must have an impact on the country's economy &amp; amp; It's good. It still applies for PPKM to beat the government, CB Lok Bnr2 Lokdown</v>
      </c>
    </row>
    <row r="3113" ht="15.75" customHeight="1">
      <c r="A3113" s="2">
        <v>3112.0</v>
      </c>
      <c r="B3113" s="5" t="s">
        <v>5698</v>
      </c>
      <c r="C3113" s="6">
        <v>1.0</v>
      </c>
      <c r="D3113" s="7" t="s">
        <v>5699</v>
      </c>
      <c r="E3113" s="8" t="str">
        <f>IFERROR(__xludf.DUMMYFUNCTION("googletranslate(D3113,""id"",""en"")"),"PPKPompertan Rich Government Montol")</f>
        <v>PPKPompertan Rich Government Montol</v>
      </c>
    </row>
    <row r="3114" ht="15.75" customHeight="1">
      <c r="A3114" s="2">
        <v>3113.0</v>
      </c>
      <c r="B3114" s="5" t="s">
        <v>5700</v>
      </c>
      <c r="C3114" s="6">
        <v>1.0</v>
      </c>
      <c r="D3114" s="9" t="s">
        <v>5701</v>
      </c>
      <c r="E3114" s="8" t="str">
        <f>IFERROR(__xludf.DUMMYFUNCTION("googletranslate(D3114,""id"",""en"")"),"Klu was controlled why the case continued and the PPKM plan was extended ... the small people below only told to be silent at home without any assistance to the government ... just wait for the land.")</f>
        <v>Klu was controlled why the case continued and the PPKM plan was extended ... the small people below only told to be silent at home without any assistance to the government ... just wait for the land.</v>
      </c>
    </row>
    <row r="3115" ht="15.75" customHeight="1">
      <c r="A3115" s="2">
        <v>3114.0</v>
      </c>
      <c r="B3115" s="5" t="s">
        <v>5702</v>
      </c>
      <c r="C3115" s="6">
        <v>1.0</v>
      </c>
      <c r="D3115" s="7" t="s">
        <v>5703</v>
      </c>
      <c r="E3115" s="8" t="str">
        <f>IFERROR(__xludf.DUMMYFUNCTION("googletranslate(D3115,""id"",""en"")"),"Right ppkm.pelan we slowly get poorer")</f>
        <v>Right ppkm.pelan we slowly get poorer</v>
      </c>
    </row>
    <row r="3116" ht="15.75" customHeight="1">
      <c r="A3116" s="2">
        <v>3115.0</v>
      </c>
      <c r="B3116" s="5" t="s">
        <v>5704</v>
      </c>
      <c r="C3116" s="6">
        <v>2.0</v>
      </c>
      <c r="D3116" s="7" t="s">
        <v>5705</v>
      </c>
      <c r="E3116" s="8" t="str">
        <f>IFERROR(__xludf.DUMMYFUNCTION("googletranslate(D3116,""id"",""en"")"),"The spirit is nder, hopefully after the PPKM sells it in demand")</f>
        <v>The spirit is nder, hopefully after the PPKM sells it in demand</v>
      </c>
    </row>
    <row r="3117" ht="15.75" customHeight="1">
      <c r="A3117" s="2">
        <v>3116.0</v>
      </c>
      <c r="B3117" s="5" t="s">
        <v>5706</v>
      </c>
      <c r="C3117" s="6">
        <v>1.0</v>
      </c>
      <c r="D3117" s="9" t="s">
        <v>5707</v>
      </c>
      <c r="E3117" s="8" t="str">
        <f>IFERROR(__xludf.DUMMYFUNCTION("googletranslate(D3117,""id"",""en"")"),"Do you want to have a PPKM plan Sunday? Length of MSME collapses, Sunday PPKM is just a business finances, it's really chaotic. This government is not too stupid, but just evil, it's already fixed. The bansos for lockdown are not given, but the social ass"&amp;"istance for corruption is always there, it doesn't run out")</f>
        <v>Do you want to have a PPKM plan Sunday? Length of MSME collapses, Sunday PPKM is just a business finances, it's really chaotic. This government is not too stupid, but just evil, it's already fixed. The bansos for lockdown are not given, but the social assistance for corruption is always there, it doesn't run out</v>
      </c>
    </row>
    <row r="3118" ht="15.75" customHeight="1">
      <c r="A3118" s="2">
        <v>3117.0</v>
      </c>
      <c r="B3118" s="5" t="s">
        <v>5708</v>
      </c>
      <c r="C3118" s="6">
        <v>2.0</v>
      </c>
      <c r="D3118" s="7" t="s">
        <v>5709</v>
      </c>
      <c r="E3118" s="8" t="str">
        <f>IFERROR(__xludf.DUMMYFUNCTION("googletranslate(D3118,""id"",""en"")"),"Ppkmpagi morning it excites")</f>
        <v>Ppkmpagi morning it excites</v>
      </c>
    </row>
    <row r="3119" ht="15.75" customHeight="1">
      <c r="A3119" s="2">
        <v>3118.0</v>
      </c>
      <c r="B3119" s="5" t="s">
        <v>5710</v>
      </c>
      <c r="C3119" s="6">
        <v>1.0</v>
      </c>
      <c r="D3119" s="7" t="s">
        <v>5711</v>
      </c>
      <c r="E3119" s="8" t="str">
        <f>IFERROR(__xludf.DUMMYFUNCTION("googletranslate(D3119,""id"",""en"")"),"Of the many articles and the response of the people I see and read, many have disagrees with PPKM, just informing if later PPKM is indeed extended it is not purely the desire and willingness of the people.")</f>
        <v>Of the many articles and the response of the people I see and read, many have disagrees with PPKM, just informing if later PPKM is indeed extended it is not purely the desire and willingness of the people.</v>
      </c>
    </row>
    <row r="3120" ht="15.75" customHeight="1">
      <c r="A3120" s="2">
        <v>3119.0</v>
      </c>
      <c r="B3120" s="5" t="s">
        <v>5712</v>
      </c>
      <c r="C3120" s="6">
        <v>2.0</v>
      </c>
      <c r="D3120" s="7" t="s">
        <v>5713</v>
      </c>
      <c r="E3120" s="8" t="str">
        <f>IFERROR(__xludf.DUMMYFUNCTION("googletranslate(D3120,""id"",""en"")"),"Obvitnas in Java Bali ppkm or not?")</f>
        <v>Obvitnas in Java Bali ppkm or not?</v>
      </c>
    </row>
    <row r="3121" ht="15.75" customHeight="1">
      <c r="A3121" s="2">
        <v>3120.0</v>
      </c>
      <c r="B3121" s="5" t="s">
        <v>5714</v>
      </c>
      <c r="C3121" s="6">
        <v>1.0</v>
      </c>
      <c r="D3121" s="7" t="s">
        <v>5715</v>
      </c>
      <c r="E3121" s="8" t="str">
        <f>IFERROR(__xludf.DUMMYFUNCTION("googletranslate(D3121,""id"",""en"")"),"Ppkm tu heavy, the bets of the lives of the nakes or living people who lack why it's still there is still a corruption, even though at least billions can make help even though the amount isn't big to be divided into millions of people")</f>
        <v>Ppkm tu heavy, the bets of the lives of the nakes or living people who lack why it's still there is still a corruption, even though at least billions can make help even though the amount isn't big to be divided into millions of people</v>
      </c>
    </row>
    <row r="3122" ht="15.75" customHeight="1">
      <c r="A3122" s="2">
        <v>3121.0</v>
      </c>
      <c r="B3122" s="5" t="s">
        <v>5716</v>
      </c>
      <c r="C3122" s="6">
        <v>2.0</v>
      </c>
      <c r="D3122" s="7" t="s">
        <v>5717</v>
      </c>
      <c r="E3122" s="8" t="str">
        <f>IFERROR(__xludf.DUMMYFUNCTION("googletranslate(D3122,""id"",""en"")"),"PPKM effect without subsidized times")</f>
        <v>PPKM effect without subsidized times</v>
      </c>
    </row>
    <row r="3123" ht="15.75" customHeight="1">
      <c r="A3123" s="2">
        <v>3122.0</v>
      </c>
      <c r="B3123" s="5" t="s">
        <v>5718</v>
      </c>
      <c r="C3123" s="6">
        <v>1.0</v>
      </c>
      <c r="D3123" s="7" t="s">
        <v>5719</v>
      </c>
      <c r="E3123" s="8" t="str">
        <f>IFERROR(__xludf.DUMMYFUNCTION("googletranslate(D3123,""id"",""en"")"),"When will this PPKM end? I ws so unemployed cuy ...., zinc poles up pes, debt added a lot because of a pandemic")</f>
        <v>When will this PPKM end? I ws so unemployed cuy ...., zinc poles up pes, debt added a lot because of a pandemic</v>
      </c>
    </row>
    <row r="3124" ht="15.75" customHeight="1">
      <c r="A3124" s="2">
        <v>3123.0</v>
      </c>
      <c r="B3124" s="5" t="s">
        <v>5720</v>
      </c>
      <c r="C3124" s="6">
        <v>1.0</v>
      </c>
      <c r="D3124" s="10" t="s">
        <v>5720</v>
      </c>
      <c r="E3124" s="8" t="str">
        <f>IFERROR(__xludf.DUMMYFUNCTION("googletranslate(D3124,""id"",""en"")"),"ppkm bangsad.")</f>
        <v>ppkm bangsad.</v>
      </c>
    </row>
    <row r="3125" ht="15.75" customHeight="1">
      <c r="A3125" s="2">
        <v>3124.0</v>
      </c>
      <c r="B3125" s="5" t="s">
        <v>5721</v>
      </c>
      <c r="C3125" s="6">
        <v>1.0</v>
      </c>
      <c r="D3125" s="7" t="s">
        <v>5722</v>
      </c>
      <c r="E3125" s="8" t="str">
        <f>IFERROR(__xludf.DUMMYFUNCTION("googletranslate(D3125,""id"",""en"")"),"Seeing facts in the field, coordination and direction in this emergency PPKM, many are wrong, rough, arbitrary, and arrogance often becomes the trigger for the people's anger. It is repaired by this, sir")</f>
        <v>Seeing facts in the field, coordination and direction in this emergency PPKM, many are wrong, rough, arbitrary, and arrogance often becomes the trigger for the people's anger. It is repaired by this, sir</v>
      </c>
    </row>
    <row r="3126" ht="15.75" customHeight="1">
      <c r="A3126" s="2">
        <v>3125.0</v>
      </c>
      <c r="B3126" s="5" t="s">
        <v>5723</v>
      </c>
      <c r="C3126" s="6">
        <v>1.0</v>
      </c>
      <c r="D3126" s="9" t="s">
        <v>5724</v>
      </c>
      <c r="E3126" s="8" t="str">
        <f>IFERROR(__xludf.DUMMYFUNCTION("googletranslate(D3126,""id"",""en"")"),"Why is it a bump for the poor? I received the business if there was a PPKM,? Who slh the government program ... which the people of the people of Syuuu")</f>
        <v>Why is it a bump for the poor? I received the business if there was a PPKM,? Who slh the government program ... which the people of the people of Syuuu</v>
      </c>
    </row>
    <row r="3127" ht="15.75" customHeight="1">
      <c r="A3127" s="2">
        <v>3126.0</v>
      </c>
      <c r="B3127" s="5" t="s">
        <v>5725</v>
      </c>
      <c r="C3127" s="6">
        <v>3.0</v>
      </c>
      <c r="D3127" s="7" t="s">
        <v>5726</v>
      </c>
      <c r="E3127" s="8" t="str">
        <f>IFERROR(__xludf.DUMMYFUNCTION("googletranslate(D3127,""id"",""en"")"),"Silently at home don't need to go anywhere again Emergency PPKM")</f>
        <v>Silently at home don't need to go anywhere again Emergency PPKM</v>
      </c>
    </row>
    <row r="3128" ht="15.75" customHeight="1">
      <c r="A3128" s="2">
        <v>3127.0</v>
      </c>
      <c r="B3128" s="5" t="s">
        <v>5727</v>
      </c>
      <c r="C3128" s="6">
        <v>3.0</v>
      </c>
      <c r="D3128" s="9" t="s">
        <v>5728</v>
      </c>
      <c r="E3128" s="8" t="str">
        <f>IFERROR(__xludf.DUMMYFUNCTION("googletranslate(D3128,""id"",""en"")"),"Keep maintaining a health protocol when Emergency PPKM and alert to groups that are likely to provic the covid pandemic teksi.")</f>
        <v>Keep maintaining a health protocol when Emergency PPKM and alert to groups that are likely to provic the covid pandemic teksi.</v>
      </c>
    </row>
    <row r="3129" ht="15.75" customHeight="1">
      <c r="A3129" s="2">
        <v>3128.0</v>
      </c>
      <c r="B3129" s="5" t="s">
        <v>5729</v>
      </c>
      <c r="C3129" s="6">
        <v>1.0</v>
      </c>
      <c r="D3129" s="7" t="s">
        <v>5729</v>
      </c>
      <c r="E3129" s="8" t="str">
        <f>IFERROR(__xludf.DUMMYFUNCTION("googletranslate(D3129,""id"",""en"")"),"Pagipagi has already made it aja hfft see Sg friend hanging out at the cafe haha ​​hihi not important doesn't use masks even though lg ppkm hfffft")</f>
        <v>Pagipagi has already made it aja hfft see Sg friend hanging out at the cafe haha ​​hihi not important doesn't use masks even though lg ppkm hfffft</v>
      </c>
    </row>
    <row r="3130" ht="15.75" customHeight="1">
      <c r="A3130" s="2">
        <v>3129.0</v>
      </c>
      <c r="B3130" s="5" t="s">
        <v>5730</v>
      </c>
      <c r="C3130" s="6">
        <v>3.0</v>
      </c>
      <c r="D3130" s="7" t="s">
        <v>5731</v>
      </c>
      <c r="E3130" s="8" t="str">
        <f>IFERROR(__xludf.DUMMYFUNCTION("googletranslate(D3130,""id"",""en"")"),"Hi guys how are you all? Hopefully everything is in good condition, """)</f>
        <v>Hi guys how are you all? Hopefully everything is in good condition, "</v>
      </c>
    </row>
    <row r="3131" ht="15.75" customHeight="1">
      <c r="A3131" s="2">
        <v>3130.0</v>
      </c>
      <c r="B3131" s="5" t="s">
        <v>5732</v>
      </c>
      <c r="C3131" s="6">
        <v>2.0</v>
      </c>
      <c r="D3131" s="7" t="s">
        <v>5733</v>
      </c>
      <c r="E3131" s="8" t="str">
        <f>IFERROR(__xludf.DUMMYFUNCTION("googletranslate(D3131,""id"",""en"")"),"PPKM. Slowly we shake.")</f>
        <v>PPKM. Slowly we shake.</v>
      </c>
    </row>
    <row r="3132" ht="15.75" customHeight="1">
      <c r="A3132" s="2">
        <v>3131.0</v>
      </c>
      <c r="B3132" s="5" t="s">
        <v>5734</v>
      </c>
      <c r="C3132" s="6">
        <v>2.0</v>
      </c>
      <c r="D3132" s="7" t="s">
        <v>5735</v>
      </c>
      <c r="E3132" s="8" t="str">
        <f>IFERROR(__xludf.DUMMYFUNCTION("googletranslate(D3132,""id"",""en"")"),"Ppkm ""fleet thigh stomach widened""")</f>
        <v>Ppkm "fleet thigh stomach widened"</v>
      </c>
    </row>
    <row r="3133" ht="15.75" customHeight="1">
      <c r="A3133" s="2">
        <v>3132.0</v>
      </c>
      <c r="B3133" s="5" t="s">
        <v>5736</v>
      </c>
      <c r="C3133" s="6">
        <v>1.0</v>
      </c>
      <c r="D3133" s="9" t="s">
        <v>5737</v>
      </c>
      <c r="E3133" s="8" t="str">
        <f>IFERROR(__xludf.DUMMYFUNCTION("googletranslate(D3133,""id"",""en"")"),"The government should not take me to think of the PPKM ""Law of the Fines of the Forests"" Think of the Figure of the People's Stomach Mandiri Mandiri Mustawan ... once the subsidy is even the one who can be blasted regularly ... the brain runs ...")</f>
        <v>The government should not take me to think of the PPKM "Law of the Fines of the Forests" Think of the Figure of the People's Stomach Mandiri Mandiri Mustawan ... once the subsidy is even the one who can be blasted regularly ... the brain runs ...</v>
      </c>
    </row>
    <row r="3134" ht="15.75" customHeight="1">
      <c r="A3134" s="2">
        <v>3133.0</v>
      </c>
      <c r="B3134" s="5" t="s">
        <v>5738</v>
      </c>
      <c r="C3134" s="6">
        <v>2.0</v>
      </c>
      <c r="D3134" s="7" t="s">
        <v>5738</v>
      </c>
      <c r="E3134" s="8" t="str">
        <f>IFERROR(__xludf.DUMMYFUNCTION("googletranslate(D3134,""id"",""en"")"),"PPKM = Slowly I miss you")</f>
        <v>PPKM = Slowly I miss you</v>
      </c>
    </row>
    <row r="3135" ht="15.75" customHeight="1">
      <c r="A3135" s="2">
        <v>3134.0</v>
      </c>
      <c r="B3135" s="5" t="s">
        <v>5739</v>
      </c>
      <c r="C3135" s="6">
        <v>1.0</v>
      </c>
      <c r="D3135" s="7" t="s">
        <v>5739</v>
      </c>
      <c r="E3135" s="8" t="str">
        <f>IFERROR(__xludf.DUMMYFUNCTION("googletranslate(D3135,""id"",""en"")"),"Ppkm who was mentally hit")</f>
        <v>Ppkm who was mentally hit</v>
      </c>
    </row>
    <row r="3136" ht="15.75" customHeight="1">
      <c r="A3136" s="2">
        <v>3135.0</v>
      </c>
      <c r="B3136" s="5" t="s">
        <v>5740</v>
      </c>
      <c r="C3136" s="6">
        <v>1.0</v>
      </c>
      <c r="D3136" s="9" t="s">
        <v>5740</v>
      </c>
      <c r="E3136" s="8" t="str">
        <f>IFERROR(__xludf.DUMMYFUNCTION("googletranslate(D3136,""id"",""en"")"),"We work WFO During the PPKM Betting Lowa Chief, you still doubt our immune Haa")</f>
        <v>We work WFO During the PPKM Betting Lowa Chief, you still doubt our immune Haa</v>
      </c>
    </row>
    <row r="3137" ht="15.75" customHeight="1">
      <c r="A3137" s="2">
        <v>3136.0</v>
      </c>
      <c r="B3137" s="5" t="s">
        <v>5741</v>
      </c>
      <c r="C3137" s="6">
        <v>1.0</v>
      </c>
      <c r="D3137" s="9" t="s">
        <v>5742</v>
      </c>
      <c r="E3137" s="8" t="str">
        <f>IFERROR(__xludf.DUMMYFUNCTION("googletranslate(D3137,""id"",""en"")"),"Yaps right. There is no justice. Because he is a child and daughter-in-law of a respected person in Indonesia so you want to go to the end of the world, it will not be arrested even though PPKM again. Try if our people, come out a little on the road LGSG "&amp;"in the police raid when PPKM gini again.")</f>
        <v>Yaps right. There is no justice. Because he is a child and daughter-in-law of a respected person in Indonesia so you want to go to the end of the world, it will not be arrested even though PPKM again. Try if our people, come out a little on the road LGSG in the police raid when PPKM gini again.</v>
      </c>
    </row>
    <row r="3138" ht="15.75" customHeight="1">
      <c r="A3138" s="2">
        <v>3137.0</v>
      </c>
      <c r="B3138" s="5" t="s">
        <v>5743</v>
      </c>
      <c r="C3138" s="6">
        <v>1.0</v>
      </c>
      <c r="D3138" s="7" t="s">
        <v>5744</v>
      </c>
      <c r="E3138" s="8" t="str">
        <f>IFERROR(__xludf.DUMMYFUNCTION("googletranslate(D3138,""id"",""en"")"),"Because the PPKM is looking for the stove, it becomes difficult, Kasian the mother, is familiar with its own policy")</f>
        <v>Because the PPKM is looking for the stove, it becomes difficult, Kasian the mother, is familiar with its own policy</v>
      </c>
    </row>
    <row r="3139" ht="15.75" customHeight="1">
      <c r="A3139" s="2">
        <v>3138.0</v>
      </c>
      <c r="B3139" s="5" t="s">
        <v>5745</v>
      </c>
      <c r="C3139" s="6">
        <v>1.0</v>
      </c>
      <c r="D3139" s="9" t="s">
        <v>5745</v>
      </c>
      <c r="E3139" s="8" t="str">
        <f>IFERROR(__xludf.DUMMYFUNCTION("googletranslate(D3139,""id"",""en"")"),"Increasingly stay away from the news about chaotic ppkm but how come there is just a news of the chaotic control of the merchant of the traders, if you say, Mr. Anu, Bae Bae, bro, bro, it's a calm ... haha ​​tai")</f>
        <v>Increasingly stay away from the news about chaotic ppkm but how come there is just a news of the chaotic control of the merchant of the traders, if you say, Mr. Anu, Bae Bae, bro, bro, it's a calm ... haha ​​tai</v>
      </c>
    </row>
    <row r="3140" ht="15.75" customHeight="1">
      <c r="A3140" s="2">
        <v>3139.0</v>
      </c>
      <c r="B3140" s="5" t="s">
        <v>5746</v>
      </c>
      <c r="C3140" s="6">
        <v>1.0</v>
      </c>
      <c r="D3140" s="7" t="s">
        <v>5747</v>
      </c>
      <c r="E3140" s="8" t="str">
        <f>IFERROR(__xludf.DUMMYFUNCTION("googletranslate(D3140,""id"",""en"")"),"Start your day with tenderness again officers like market thugs, PPKM control in a brutal way")</f>
        <v>Start your day with tenderness again officers like market thugs, PPKM control in a brutal way</v>
      </c>
    </row>
    <row r="3141" ht="15.75" customHeight="1">
      <c r="A3141" s="2">
        <v>3140.0</v>
      </c>
      <c r="B3141" s="5" t="s">
        <v>5748</v>
      </c>
      <c r="C3141" s="6">
        <v>1.0</v>
      </c>
      <c r="D3141" s="9" t="s">
        <v>5748</v>
      </c>
      <c r="E3141" s="8" t="str">
        <f>IFERROR(__xludf.DUMMYFUNCTION("googletranslate(D3141,""id"",""en"")"),"The story is a little about PPKM in my city ah. Right on Monday, the city of Tmpt, I lived, finally hit PPKM, it was very quiet, the incident was exactly right when it was rich in the early pandemic, the family economy was not stable.")</f>
        <v>The story is a little about PPKM in my city ah. Right on Monday, the city of Tmpt, I lived, finally hit PPKM, it was very quiet, the incident was exactly right when it was rich in the early pandemic, the family economy was not stable.</v>
      </c>
    </row>
    <row r="3142" ht="15.75" customHeight="1">
      <c r="A3142" s="2">
        <v>3141.0</v>
      </c>
      <c r="B3142" s="5" t="s">
        <v>5749</v>
      </c>
      <c r="C3142" s="6">
        <v>1.0</v>
      </c>
      <c r="D3142" s="7" t="s">
        <v>5750</v>
      </c>
      <c r="E3142" s="8" t="str">
        <f>IFERROR(__xludf.DUMMYFUNCTION("googletranslate(D3142,""id"",""en"")"),"Not also, I obey but it is not guaranteed by the government, obey consciousness, obey because I have been tired of PPKM, tired of seeing the reality of Covid's pandemic in Indonesia is still high economic down")</f>
        <v>Not also, I obey but it is not guaranteed by the government, obey consciousness, obey because I have been tired of PPKM, tired of seeing the reality of Covid's pandemic in Indonesia is still high economic down</v>
      </c>
    </row>
    <row r="3143" ht="15.75" customHeight="1">
      <c r="A3143" s="2">
        <v>3142.0</v>
      </c>
      <c r="B3143" s="5" t="s">
        <v>5751</v>
      </c>
      <c r="C3143" s="6">
        <v>1.0</v>
      </c>
      <c r="D3143" s="7" t="s">
        <v>5751</v>
      </c>
      <c r="E3143" s="8" t="str">
        <f>IFERROR(__xludf.DUMMYFUNCTION("googletranslate(D3143,""id"",""en"")"),"Some say and voice for the house and obey PPKM and Prokes, usually they still have savings, and the salary that doesn't have a serious impact. But if the merchant is just hanging from the jualanya, then the jualanya is not maximal, what is the story?")</f>
        <v>Some say and voice for the house and obey PPKM and Prokes, usually they still have savings, and the salary that doesn't have a serious impact. But if the merchant is just hanging from the jualanya, then the jualanya is not maximal, what is the story?</v>
      </c>
    </row>
    <row r="3144" ht="15.75" customHeight="1">
      <c r="A3144" s="2">
        <v>3143.0</v>
      </c>
      <c r="B3144" s="5" t="s">
        <v>5752</v>
      </c>
      <c r="C3144" s="6">
        <v>1.0</v>
      </c>
      <c r="D3144" s="9" t="s">
        <v>5753</v>
      </c>
      <c r="E3144" s="8" t="str">
        <f>IFERROR(__xludf.DUMMYFUNCTION("googletranslate(D3144,""id"",""en"")"),"Cape Cape Create a PPKM Rules But Langgar Kergar, just suggest this mah mah mah gasoline all java bali on lid finished the solution to the native house")</f>
        <v>Cape Cape Create a PPKM Rules But Langgar Kergar, just suggest this mah mah mah gasoline all java bali on lid finished the solution to the native house</v>
      </c>
    </row>
    <row r="3145" ht="15.75" customHeight="1">
      <c r="A3145" s="2">
        <v>3144.0</v>
      </c>
      <c r="B3145" s="5" t="s">
        <v>5754</v>
      </c>
      <c r="C3145" s="6">
        <v>1.0</v>
      </c>
      <c r="D3145" s="7" t="s">
        <v>5755</v>
      </c>
      <c r="E3145" s="8" t="str">
        <f>IFERROR(__xludf.DUMMYFUNCTION("googletranslate(D3145,""id"",""en"")"),"His PPKM road, the people are starving?")</f>
        <v>His PPKM road, the people are starving?</v>
      </c>
    </row>
    <row r="3146" ht="15.75" customHeight="1">
      <c r="A3146" s="2">
        <v>3145.0</v>
      </c>
      <c r="B3146" s="5" t="s">
        <v>5756</v>
      </c>
      <c r="C3146" s="6">
        <v>1.0</v>
      </c>
      <c r="D3146" s="7" t="s">
        <v>5757</v>
      </c>
      <c r="E3146" s="8" t="str">
        <f>IFERROR(__xludf.DUMMYFUNCTION("googletranslate(D3146,""id"",""en"")"),"Still emergency ppkm. Let's just do it. Can ModanyarRr.")</f>
        <v>Still emergency ppkm. Let's just do it. Can ModanyarRr.</v>
      </c>
    </row>
    <row r="3147" ht="15.75" customHeight="1">
      <c r="A3147" s="2">
        <v>3146.0</v>
      </c>
      <c r="B3147" s="5" t="s">
        <v>5758</v>
      </c>
      <c r="C3147" s="6">
        <v>1.0</v>
      </c>
      <c r="D3147" s="7" t="s">
        <v>5759</v>
      </c>
      <c r="E3147" s="8" t="str">
        <f>IFERROR(__xludf.DUMMYFUNCTION("googletranslate(D3147,""id"",""en"")"),"PPKM makes my shope voucher wasted in vain")</f>
        <v>PPKM makes my shope voucher wasted in vain</v>
      </c>
    </row>
    <row r="3148" ht="15.75" customHeight="1">
      <c r="A3148" s="2">
        <v>3147.0</v>
      </c>
      <c r="B3148" s="5" t="s">
        <v>5760</v>
      </c>
      <c r="C3148" s="6">
        <v>1.0</v>
      </c>
      <c r="D3148" s="7" t="s">
        <v>5761</v>
      </c>
      <c r="E3148" s="8" t="str">
        <f>IFERROR(__xludf.DUMMYFUNCTION("googletranslate(D3148,""id"",""en"")"),"Not civilized this is the father of one, pregnant org pregnant too, this is the example of the case of the apparatus fucks the Satpol PPPPKM: Pamong Praja Kok Bukar Kablams")</f>
        <v>Not civilized this is the father of one, pregnant org pregnant too, this is the example of the case of the apparatus fucks the Satpol PPPPKM: Pamong Praja Kok Bukar Kablams</v>
      </c>
    </row>
    <row r="3149" ht="15.75" customHeight="1">
      <c r="A3149" s="2">
        <v>3148.0</v>
      </c>
      <c r="B3149" s="5" t="s">
        <v>5762</v>
      </c>
      <c r="C3149" s="6">
        <v>1.0</v>
      </c>
      <c r="D3149" s="9" t="s">
        <v>5763</v>
      </c>
      <c r="E3149" s="8" t="str">
        <f>IFERROR(__xludf.DUMMYFUNCTION("googletranslate(D3149,""id"",""en"")"),"If the entire Indonesian family is assisted by Food, Education and Energy for the next week, the implementation of Emergency PPKM Discipline and Vaccination will successfully end the Pandemic C19. How come? Yes, because this effort has never been done.")</f>
        <v>If the entire Indonesian family is assisted by Food, Education and Energy for the next week, the implementation of Emergency PPKM Discipline and Vaccination will successfully end the Pandemic C19. How come? Yes, because this effort has never been done.</v>
      </c>
    </row>
    <row r="3150" ht="15.75" customHeight="1">
      <c r="A3150" s="2">
        <v>3149.0</v>
      </c>
      <c r="B3150" s="5" t="s">
        <v>5764</v>
      </c>
      <c r="C3150" s="6">
        <v>1.0</v>
      </c>
      <c r="D3150" s="7" t="s">
        <v>5765</v>
      </c>
      <c r="E3150" s="8" t="str">
        <f>IFERROR(__xludf.DUMMYFUNCTION("googletranslate(D3150,""id"",""en"")"),"Ppkm ppkm translucent rb case ... hahaha gblk")</f>
        <v>Ppkm ppkm translucent rb case ... hahaha gblk</v>
      </c>
    </row>
    <row r="3151" ht="15.75" customHeight="1">
      <c r="A3151" s="2">
        <v>3150.0</v>
      </c>
      <c r="B3151" s="5" t="s">
        <v>5766</v>
      </c>
      <c r="C3151" s="6">
        <v>2.0</v>
      </c>
      <c r="D3151" s="9" t="s">
        <v>5767</v>
      </c>
      <c r="E3151" s="8" t="str">
        <f>IFERROR(__xludf.DUMMYFUNCTION("googletranslate(D3151,""id"",""en"")"),"Emergency PPKM KPN BRKInya Mr. Fud Klo Dperpanajng Trus")</f>
        <v>Emergency PPKM KPN BRKInya Mr. Fud Klo Dperpanajng Trus</v>
      </c>
    </row>
    <row r="3152" ht="15.75" customHeight="1">
      <c r="A3152" s="2">
        <v>3151.0</v>
      </c>
      <c r="B3152" s="5" t="s">
        <v>5768</v>
      </c>
      <c r="C3152" s="6">
        <v>1.0</v>
      </c>
      <c r="D3152" s="9" t="s">
        <v>5769</v>
      </c>
      <c r="E3152" s="8" t="str">
        <f>IFERROR(__xludf.DUMMYFUNCTION("googletranslate(D3152,""id"",""en"")"),"PPKM1 evaluation. Covid cases continue to increase. Economy decreases3. Community Riots (Traders) and Task Force Where are the consideration of pack, what else has been a plan for an issue of an extension of the PPKM Sunday.")</f>
        <v>PPKM1 evaluation. Covid cases continue to increase. Economy decreases3. Community Riots (Traders) and Task Force Where are the consideration of pack, what else has been a plan for an issue of an extension of the PPKM Sunday.</v>
      </c>
    </row>
    <row r="3153" ht="15.75" customHeight="1">
      <c r="A3153" s="2">
        <v>3152.0</v>
      </c>
      <c r="B3153" s="5" t="s">
        <v>5770</v>
      </c>
      <c r="C3153" s="6">
        <v>1.0</v>
      </c>
      <c r="D3153" s="9" t="s">
        <v>5771</v>
      </c>
      <c r="E3153" s="8" t="str">
        <f>IFERROR(__xludf.DUMMYFUNCTION("googletranslate(D3153,""id"",""en"")"),"Plongo said the situation of the PPKM and Covid Cases was cooled by Lord Cuman Manggut Manggut agreed, why? He could not read data, this as small as Plongo would not be able to analyze, control or not !!!!")</f>
        <v>Plongo said the situation of the PPKM and Covid Cases was cooled by Lord Cuman Manggut Manggut agreed, why? He could not read data, this as small as Plongo would not be able to analyze, control or not !!!!</v>
      </c>
    </row>
    <row r="3154" ht="15.75" customHeight="1">
      <c r="A3154" s="2">
        <v>3153.0</v>
      </c>
      <c r="B3154" s="5" t="s">
        <v>5772</v>
      </c>
      <c r="C3154" s="6">
        <v>1.0</v>
      </c>
      <c r="D3154" s="9" t="s">
        <v>5772</v>
      </c>
      <c r="E3154" s="8" t="str">
        <f>IFERROR(__xludf.DUMMYFUNCTION("googletranslate(D3154,""id"",""en"")"),"Pgn change cellphone but aware if poor + ppkm extended aka this quiet address ..")</f>
        <v>Pgn change cellphone but aware if poor + ppkm extended aka this quiet address ..</v>
      </c>
    </row>
    <row r="3155" ht="15.75" customHeight="1">
      <c r="A3155" s="2">
        <v>3154.0</v>
      </c>
      <c r="B3155" s="5" t="s">
        <v>5773</v>
      </c>
      <c r="C3155" s="6">
        <v>1.0</v>
      </c>
      <c r="D3155" s="9" t="s">
        <v>5774</v>
      </c>
      <c r="E3155" s="8" t="str">
        <f>IFERROR(__xludf.DUMMYFUNCTION("googletranslate(D3155,""id"",""en"")"),"I can't take the train and busway because it is constrained by the SRTP which is only a letter for the essential and critical sectors. Finally I got on a pp grab thousand, and the PPKM would want to be extended until August? Mending, I don't enter all.")</f>
        <v>I can't take the train and busway because it is constrained by the SRTP which is only a letter for the essential and critical sectors. Finally I got on a pp grab thousand, and the PPKM would want to be extended until August? Mending, I don't enter all.</v>
      </c>
    </row>
    <row r="3156" ht="15.75" customHeight="1">
      <c r="A3156" s="2">
        <v>3155.0</v>
      </c>
      <c r="B3156" s="5" t="s">
        <v>5775</v>
      </c>
      <c r="C3156" s="6">
        <v>1.0</v>
      </c>
      <c r="D3156" s="9" t="s">
        <v>5776</v>
      </c>
      <c r="E3156" s="8" t="str">
        <f>IFERROR(__xludf.DUMMYFUNCTION("googletranslate(D3156,""id"",""en"")"),"Emergency PPKM G is given money, Lokdon is given money cmiiw")</f>
        <v>Emergency PPKM G is given money, Lokdon is given money cmiiw</v>
      </c>
    </row>
    <row r="3157" ht="15.75" customHeight="1">
      <c r="A3157" s="2">
        <v>3156.0</v>
      </c>
      <c r="B3157" s="5" t="s">
        <v>5777</v>
      </c>
      <c r="C3157" s="6">
        <v>2.0</v>
      </c>
      <c r="D3157" s="9" t="s">
        <v>5778</v>
      </c>
      <c r="E3157" s="8" t="str">
        <f>IFERROR(__xludf.DUMMYFUNCTION("googletranslate(D3157,""id"",""en"")"),"Cawang Koq in Casablanca ... please reporter who was reported by PPKM from Cawang was given the right location")</f>
        <v>Cawang Koq in Casablanca ... please reporter who was reported by PPKM from Cawang was given the right location</v>
      </c>
    </row>
    <row r="3158" ht="15.75" customHeight="1">
      <c r="A3158" s="2">
        <v>3157.0</v>
      </c>
      <c r="B3158" s="5" t="s">
        <v>5779</v>
      </c>
      <c r="C3158" s="6">
        <v>1.0</v>
      </c>
      <c r="D3158" s="7" t="s">
        <v>5780</v>
      </c>
      <c r="E3158" s="8" t="str">
        <f>IFERROR(__xludf.DUMMYFUNCTION("googletranslate(D3158,""id"",""en"")"),"However, the salary is still ngalir, the child's wife still eats different from the merchant which is by the reason for breaking the rules so they have to get anxiety, get confiscated, get a fine. How come you see the arrogance of officers during PPKM. Co"&amp;"ntext: LRT")</f>
        <v>However, the salary is still ngalir, the child's wife still eats different from the merchant which is by the reason for breaking the rules so they have to get anxiety, get confiscated, get a fine. How come you see the arrogance of officers during PPKM. Context: LRT</v>
      </c>
    </row>
    <row r="3159" ht="15.75" customHeight="1">
      <c r="A3159" s="2">
        <v>3158.0</v>
      </c>
      <c r="B3159" s="5" t="s">
        <v>5781</v>
      </c>
      <c r="C3159" s="6">
        <v>1.0</v>
      </c>
      <c r="D3159" s="9" t="s">
        <v>5782</v>
      </c>
      <c r="E3159" s="8" t="str">
        <f>IFERROR(__xludf.DUMMYFUNCTION("googletranslate(D3159,""id"",""en"")"),"Sorry before this time Sllu sllu the spirit of campaigning the good thing to do the people at the time of the Pandemicoba for next week to make coverage about how misunderstood the PPKM policy for the middle to lower middle community. Especially those who"&amp;" live from relying on HariNanks")</f>
        <v>Sorry before this time Sllu sllu the spirit of campaigning the good thing to do the people at the time of the Pandemicoba for next week to make coverage about how misunderstood the PPKM policy for the middle to lower middle community. Especially those who live from relying on HariNanks</v>
      </c>
    </row>
    <row r="3160" ht="15.75" customHeight="1">
      <c r="A3160" s="2">
        <v>3159.0</v>
      </c>
      <c r="B3160" s="5" t="s">
        <v>5783</v>
      </c>
      <c r="C3160" s="6">
        <v>1.0</v>
      </c>
      <c r="D3160" s="7" t="s">
        <v>5784</v>
      </c>
      <c r="E3160" s="8" t="str">
        <f>IFERROR(__xludf.DUMMYFUNCTION("googletranslate(D3160,""id"",""en"")"),"Headache Clay Kopitt News Kopitt, PPKM, etc.")</f>
        <v>Headache Clay Kopitt News Kopitt, PPKM, etc.</v>
      </c>
    </row>
    <row r="3161" ht="15.75" customHeight="1">
      <c r="A3161" s="2">
        <v>3160.0</v>
      </c>
      <c r="B3161" s="5" t="s">
        <v>5785</v>
      </c>
      <c r="C3161" s="6">
        <v>1.0</v>
      </c>
      <c r="D3161" s="7" t="s">
        <v>5785</v>
      </c>
      <c r="E3161" s="8" t="str">
        <f>IFERROR(__xludf.DUMMYFUNCTION("googletranslate(D3161,""id"",""en"")"),"The problem is, the shop that sells my favorite earphones is in the dalem mall that is closed because PPKM Anjir")</f>
        <v>The problem is, the shop that sells my favorite earphones is in the dalem mall that is closed because PPKM Anjir</v>
      </c>
    </row>
    <row r="3162" ht="15.75" customHeight="1">
      <c r="A3162" s="2">
        <v>3161.0</v>
      </c>
      <c r="B3162" s="5" t="s">
        <v>5786</v>
      </c>
      <c r="C3162" s="6">
        <v>2.0</v>
      </c>
      <c r="D3162" s="7" t="s">
        <v>5786</v>
      </c>
      <c r="E3162" s="8" t="str">
        <f>IFERROR(__xludf.DUMMYFUNCTION("googletranslate(D3162,""id"",""en"")"),"Want to meet you but ppkm")</f>
        <v>Want to meet you but ppkm</v>
      </c>
    </row>
    <row r="3163" ht="15.75" customHeight="1">
      <c r="A3163" s="2">
        <v>3162.0</v>
      </c>
      <c r="B3163" s="5" t="s">
        <v>5787</v>
      </c>
      <c r="C3163" s="6">
        <v>2.0</v>
      </c>
      <c r="D3163" s="7" t="s">
        <v>5788</v>
      </c>
      <c r="E3163" s="8" t="str">
        <f>IFERROR(__xludf.DUMMYFUNCTION("googletranslate(D3163,""id"",""en"")"),": Mas semarang ppkm huh? : Semarang PSIS Deck")</f>
        <v>: Mas semarang ppkm huh? : Semarang PSIS Deck</v>
      </c>
    </row>
    <row r="3164" ht="15.75" customHeight="1">
      <c r="A3164" s="2">
        <v>3163.0</v>
      </c>
      <c r="B3164" s="5" t="s">
        <v>5789</v>
      </c>
      <c r="C3164" s="6">
        <v>1.0</v>
      </c>
      <c r="D3164" s="7" t="s">
        <v>5790</v>
      </c>
      <c r="E3164" s="8" t="str">
        <f>IFERROR(__xludf.DUMMYFUNCTION("googletranslate(D3164,""id"",""en"")"),"What I can do is just reminding Sis so that this pandemic is quick to subside, with me, I'm already tired of PPKM. But looking at reality in Indonesia whose pandal is still very high. Don't even make a Covid statement the hoax scare people flasking things"&amp;" etc.")</f>
        <v>What I can do is just reminding Sis so that this pandemic is quick to subside, with me, I'm already tired of PPKM. But looking at reality in Indonesia whose pandal is still very high. Don't even make a Covid statement the hoax scare people flasking things etc.</v>
      </c>
    </row>
    <row r="3165" ht="15.75" customHeight="1">
      <c r="A3165" s="2">
        <v>3164.0</v>
      </c>
      <c r="B3165" s="5" t="s">
        <v>5791</v>
      </c>
      <c r="C3165" s="6">
        <v>1.0</v>
      </c>
      <c r="D3165" s="7" t="s">
        <v>5792</v>
      </c>
      <c r="E3165" s="8" t="str">
        <f>IFERROR(__xludf.DUMMYFUNCTION("googletranslate(D3165,""id"",""en"")"),"Therefore I am very so sure if this PPKM is extended, what will happen in Indonesia. While the Bibcang2 of the coffee they have been embarrassed by the situation.")</f>
        <v>Therefore I am very so sure if this PPKM is extended, what will happen in Indonesia. While the Bibcang2 of the coffee they have been embarrassed by the situation.</v>
      </c>
    </row>
    <row r="3166" ht="15.75" customHeight="1">
      <c r="A3166" s="2">
        <v>3165.0</v>
      </c>
      <c r="B3166" s="5" t="s">
        <v>5793</v>
      </c>
      <c r="C3166" s="6">
        <v>1.0</v>
      </c>
      <c r="D3166" s="9" t="s">
        <v>5794</v>
      </c>
      <c r="E3166" s="8" t="str">
        <f>IFERROR(__xludf.DUMMYFUNCTION("googletranslate(D3166,""id"",""en"")"),"yes, really change the name of the PPKM rather than the lockdown so off, how come it is pmrnth? This is a Satpol PP incident, it's not too two times, I act, it's actually a pregnant woman, it's kissed")</f>
        <v>yes, really change the name of the PPKM rather than the lockdown so off, how come it is pmrnth? This is a Satpol PP incident, it's not too two times, I act, it's actually a pregnant woman, it's kissed</v>
      </c>
    </row>
    <row r="3167" ht="15.75" customHeight="1">
      <c r="A3167" s="2">
        <v>3166.0</v>
      </c>
      <c r="B3167" s="5" t="s">
        <v>5795</v>
      </c>
      <c r="C3167" s="6">
        <v>1.0</v>
      </c>
      <c r="D3167" s="9" t="s">
        <v>5795</v>
      </c>
      <c r="E3167" s="8" t="str">
        <f>IFERROR(__xludf.DUMMYFUNCTION("googletranslate(D3167,""id"",""en"")"),"Long before the term Emergency PPKM and Micro PPKM, Wanda Maximoff has actually commemorated us about the importance of Lockdown Areas such as Westview for example")</f>
        <v>Long before the term Emergency PPKM and Micro PPKM, Wanda Maximoff has actually commemorated us about the importance of Lockdown Areas such as Westview for example</v>
      </c>
    </row>
    <row r="3168" ht="15.75" customHeight="1">
      <c r="A3168" s="2">
        <v>3167.0</v>
      </c>
      <c r="B3168" s="5" t="s">
        <v>5796</v>
      </c>
      <c r="C3168" s="6">
        <v>1.0</v>
      </c>
      <c r="D3168" s="9" t="s">
        <v>5797</v>
      </c>
      <c r="E3168" s="8" t="str">
        <f>IFERROR(__xludf.DUMMYFUNCTION("googletranslate(D3168,""id"",""en"")"),"Bansos are reduced continuously, the quality also decreases continuously. The person by Losing a job because the PPKM dragged out but the case didn't go down too. Don't just ""I have given the bansos"" if you don't arrive at the same time. The important t"&amp;"hing is that it helps not ala")</f>
        <v>Bansos are reduced continuously, the quality also decreases continuously. The person by Losing a job because the PPKM dragged out but the case didn't go down too. Don't just "I have given the bansos" if you don't arrive at the same time. The important thing is that it helps not ala</v>
      </c>
    </row>
    <row r="3169" ht="15.75" customHeight="1">
      <c r="A3169" s="2">
        <v>3168.0</v>
      </c>
      <c r="B3169" s="5" t="s">
        <v>5798</v>
      </c>
      <c r="C3169" s="6">
        <v>3.0</v>
      </c>
      <c r="D3169" s="9" t="s">
        <v>5799</v>
      </c>
      <c r="E3169" s="8" t="str">
        <f>IFERROR(__xludf.DUMMYFUNCTION("googletranslate(D3169,""id"",""en"")"),"Ready, Safe ... Neat Prokes - Current Vaccination Klo Klo PPKM Walking Good Closure of Jalan Adi Sucipto (Karanganyar) Starting yesterday morning while going from home through alley can still be so last night in front of Pertamina SPBU Blulukan Colomadu ("&amp;"Jl. Adi Sucipto)")</f>
        <v>Ready, Safe ... Neat Prokes - Current Vaccination Klo Klo PPKM Walking Good Closure of Jalan Adi Sucipto (Karanganyar) Starting yesterday morning while going from home through alley can still be so last night in front of Pertamina SPBU Blulukan Colomadu (Jl. Adi Sucipto)</v>
      </c>
    </row>
    <row r="3170" ht="15.75" customHeight="1">
      <c r="A3170" s="2">
        <v>3169.0</v>
      </c>
      <c r="B3170" s="5" t="s">
        <v>5800</v>
      </c>
      <c r="C3170" s="6">
        <v>2.0</v>
      </c>
      <c r="D3170" s="7" t="s">
        <v>5801</v>
      </c>
      <c r="E3170" s="8" t="str">
        <f>IFERROR(__xludf.DUMMYFUNCTION("googletranslate(D3170,""id"",""en"")"),"during the emergency ppkm start hours")</f>
        <v>during the emergency ppkm start hours</v>
      </c>
    </row>
    <row r="3171" ht="15.75" customHeight="1">
      <c r="A3171" s="2">
        <v>3170.0</v>
      </c>
      <c r="B3171" s="5" t="s">
        <v>5802</v>
      </c>
      <c r="C3171" s="6">
        <v>1.0</v>
      </c>
      <c r="D3171" s="7" t="s">
        <v>5802</v>
      </c>
      <c r="E3171" s="8" t="str">
        <f>IFERROR(__xludf.DUMMYFUNCTION("googletranslate(D3171,""id"",""en"")"),"Ninu Ninu Ninu, an ambulance car was confronted by the passing of prindor officials who passed, Ninu Ninu Ninu the farmers in the fields were beaten due to emergency PPKM.")</f>
        <v>Ninu Ninu Ninu, an ambulance car was confronted by the passing of prindor officials who passed, Ninu Ninu Ninu the farmers in the fields were beaten due to emergency PPKM.</v>
      </c>
    </row>
    <row r="3172" ht="15.75" customHeight="1">
      <c r="A3172" s="2">
        <v>3171.0</v>
      </c>
      <c r="B3172" s="5" t="s">
        <v>5803</v>
      </c>
      <c r="C3172" s="6">
        <v>1.0</v>
      </c>
      <c r="D3172" s="9" t="s">
        <v>5804</v>
      </c>
      <c r="E3172" s="8" t="str">
        <f>IFERROR(__xludf.DUMMYFUNCTION("googletranslate(D3172,""id"",""en"")"),"Our online motorcycle taxis are far as much as possible on the day before the PPKM. Certain....")</f>
        <v>Our online motorcycle taxis are far as much as possible on the day before the PPKM. Certain....</v>
      </c>
    </row>
    <row r="3173" ht="15.75" customHeight="1">
      <c r="A3173" s="2">
        <v>3172.0</v>
      </c>
      <c r="B3173" s="5" t="s">
        <v>5805</v>
      </c>
      <c r="C3173" s="6">
        <v>2.0</v>
      </c>
      <c r="D3173" s="7" t="s">
        <v>5806</v>
      </c>
      <c r="E3173" s="8" t="str">
        <f>IFERROR(__xludf.DUMMYFUNCTION("googletranslate(D3173,""id"",""en"")"),"HBD His girlfriend is nopic, my prayer ppkm finished corona finished let me ldrnya ngenas2")</f>
        <v>HBD His girlfriend is nopic, my prayer ppkm finished corona finished let me ldrnya ngenas2</v>
      </c>
    </row>
    <row r="3174" ht="15.75" customHeight="1">
      <c r="A3174" s="2">
        <v>3173.0</v>
      </c>
      <c r="B3174" s="5" t="s">
        <v>5807</v>
      </c>
      <c r="C3174" s="6">
        <v>2.0</v>
      </c>
      <c r="D3174" s="7" t="s">
        <v>5808</v>
      </c>
      <c r="E3174" s="8" t="str">
        <f>IFERROR(__xludf.DUMMYFUNCTION("googletranslate(D3174,""id"",""en"")"),"gais, ppkm he wants to be added again huh?")</f>
        <v>gais, ppkm he wants to be added again huh?</v>
      </c>
    </row>
    <row r="3175" ht="15.75" customHeight="1">
      <c r="A3175" s="2">
        <v>3174.0</v>
      </c>
      <c r="B3175" s="5" t="s">
        <v>5809</v>
      </c>
      <c r="C3175" s="6">
        <v>1.0</v>
      </c>
      <c r="D3175" s="7" t="s">
        <v>5810</v>
      </c>
      <c r="E3175" s="8" t="str">
        <f>IFERROR(__xludf.DUMMYFUNCTION("googletranslate(D3175,""id"",""en"")"),"It's hate, how come the people are really good to want themselves when I need many people need to hold back Karan LG PPKM")</f>
        <v>It's hate, how come the people are really good to want themselves when I need many people need to hold back Karan LG PPKM</v>
      </c>
    </row>
    <row r="3176" ht="15.75" customHeight="1">
      <c r="A3176" s="2">
        <v>3175.0</v>
      </c>
      <c r="B3176" s="5" t="s">
        <v>5811</v>
      </c>
      <c r="C3176" s="6">
        <v>2.0</v>
      </c>
      <c r="D3176" s="7" t="s">
        <v>5812</v>
      </c>
      <c r="E3176" s="8" t="str">
        <f>IFERROR(__xludf.DUMMYFUNCTION("googletranslate(D3176,""id"",""en"")"),"Ppkm until just July?")</f>
        <v>Ppkm until just July?</v>
      </c>
    </row>
    <row r="3177" ht="15.75" customHeight="1">
      <c r="A3177" s="2">
        <v>3176.0</v>
      </c>
      <c r="B3177" s="5" t="s">
        <v>5813</v>
      </c>
      <c r="C3177" s="6">
        <v>1.0</v>
      </c>
      <c r="D3177" s="7" t="s">
        <v>5814</v>
      </c>
      <c r="E3177" s="8" t="str">
        <f>IFERROR(__xludf.DUMMYFUNCTION("googletranslate(D3177,""id"",""en"")"),"It's a really want to vacation and just leave the PPKM in the length ""in")</f>
        <v>It's a really want to vacation and just leave the PPKM in the length "in</v>
      </c>
    </row>
    <row r="3178" ht="15.75" customHeight="1">
      <c r="A3178" s="2">
        <v>3177.0</v>
      </c>
      <c r="B3178" s="5" t="s">
        <v>5815</v>
      </c>
      <c r="C3178" s="6">
        <v>1.0</v>
      </c>
      <c r="D3178" s="7" t="s">
        <v>5816</v>
      </c>
      <c r="E3178" s="8" t="str">
        <f>IFERROR(__xludf.DUMMYFUNCTION("googletranslate(D3178,""id"",""en"")"),"Ibas Concerned about the People Will Be Imprisoned Because Can't Pay Penda PPKM, Liking State Hoiling: //")</f>
        <v>Ibas Concerned about the People Will Be Imprisoned Because Can't Pay Penda PPKM, Liking State Hoiling: //</v>
      </c>
    </row>
    <row r="3179" ht="15.75" customHeight="1">
      <c r="A3179" s="2">
        <v>3178.0</v>
      </c>
      <c r="B3179" s="5" t="s">
        <v>5817</v>
      </c>
      <c r="C3179" s="6">
        <v>2.0</v>
      </c>
      <c r="D3179" s="7" t="s">
        <v>5817</v>
      </c>
      <c r="E3179" s="8" t="str">
        <f>IFERROR(__xludf.DUMMYFUNCTION("googletranslate(D3179,""id"",""en"")"),"Abis PPKM Jogja Yuu")</f>
        <v>Abis PPKM Jogja Yuu</v>
      </c>
    </row>
    <row r="3180" ht="15.75" customHeight="1">
      <c r="A3180" s="2">
        <v>3179.0</v>
      </c>
      <c r="B3180" s="5" t="s">
        <v>5818</v>
      </c>
      <c r="C3180" s="6">
        <v>1.0</v>
      </c>
      <c r="D3180" s="7" t="s">
        <v>5818</v>
      </c>
      <c r="E3180" s="8" t="str">
        <f>IFERROR(__xludf.DUMMYFUNCTION("googletranslate(D3180,""id"",""en"")"),"Starting from the issue of the PPKM, the advice of vaccination but in the field of vaccination processes in the persulit, the issue of 'mutual cooperation vaccine' where the vaccine which is said to be free, there is a rumor behind the difficulty of vacci"&amp;"nation there is a vaccine stockpiling so that it can be sold later")</f>
        <v>Starting from the issue of the PPKM, the advice of vaccination but in the field of vaccination processes in the persulit, the issue of 'mutual cooperation vaccine' where the vaccine which is said to be free, there is a rumor behind the difficulty of vaccination there is a vaccine stockpiling so that it can be sold later</v>
      </c>
    </row>
    <row r="3181" ht="15.75" customHeight="1">
      <c r="A3181" s="2">
        <v>3180.0</v>
      </c>
      <c r="B3181" s="5" t="s">
        <v>5819</v>
      </c>
      <c r="C3181" s="6">
        <v>2.0</v>
      </c>
      <c r="D3181" s="7" t="s">
        <v>5820</v>
      </c>
      <c r="E3181" s="8" t="str">
        <f>IFERROR(__xludf.DUMMYFUNCTION("googletranslate(D3181,""id"",""en"")"),"Abis PPKM makes this")</f>
        <v>Abis PPKM makes this</v>
      </c>
    </row>
    <row r="3182" ht="15.75" customHeight="1">
      <c r="A3182" s="2">
        <v>3181.0</v>
      </c>
      <c r="B3182" s="5" t="s">
        <v>5821</v>
      </c>
      <c r="C3182" s="6">
        <v>1.0</v>
      </c>
      <c r="D3182" s="7" t="s">
        <v>5822</v>
      </c>
      <c r="E3182" s="8" t="str">
        <f>IFERROR(__xludf.DUMMYFUNCTION("googletranslate(D3182,""id"",""en"")"),"Woi ... lg ppkm cok ... even vacation")</f>
        <v>Woi ... lg ppkm cok ... even vacation</v>
      </c>
    </row>
    <row r="3183" ht="15.75" customHeight="1">
      <c r="A3183" s="2">
        <v>3182.0</v>
      </c>
      <c r="B3183" s="5" t="s">
        <v>5823</v>
      </c>
      <c r="C3183" s="6">
        <v>3.0</v>
      </c>
      <c r="D3183" s="9" t="s">
        <v>5824</v>
      </c>
      <c r="E3183" s="8" t="str">
        <f>IFERROR(__xludf.DUMMYFUNCTION("googletranslate(D3183,""id"",""en"")"),"Don't forget to have breakfast, the PPKM keeps it ...")</f>
        <v>Don't forget to have breakfast, the PPKM keeps it ...</v>
      </c>
    </row>
    <row r="3184" ht="15.75" customHeight="1">
      <c r="A3184" s="2">
        <v>3183.0</v>
      </c>
      <c r="B3184" s="5" t="s">
        <v>5825</v>
      </c>
      <c r="C3184" s="6">
        <v>1.0</v>
      </c>
      <c r="D3184" s="9" t="s">
        <v>5826</v>
      </c>
      <c r="E3184" s="8" t="str">
        <f>IFERROR(__xludf.DUMMYFUNCTION("googletranslate(D3184,""id"",""en"")"),"Cave is a medium (has a fairly large house, there is a car and has several motorbikes) that used to be able to get it now on the income only from the F &amp; amp; B and business dragging because of PPKM and minus income for months. Do I complain?")</f>
        <v>Cave is a medium (has a fairly large house, there is a car and has several motorbikes) that used to be able to get it now on the income only from the F &amp; amp; B and business dragging because of PPKM and minus income for months. Do I complain?</v>
      </c>
    </row>
    <row r="3185" ht="15.75" customHeight="1">
      <c r="A3185" s="2">
        <v>3184.0</v>
      </c>
      <c r="B3185" s="5" t="s">
        <v>5827</v>
      </c>
      <c r="C3185" s="6">
        <v>1.0</v>
      </c>
      <c r="D3185" s="7" t="s">
        <v>5828</v>
      </c>
      <c r="E3185" s="8" t="str">
        <f>IFERROR(__xludf.DUMMYFUNCTION("googletranslate(D3185,""id"",""en"")"),"Well, I'm worried about the PPKM news extended Sunday")</f>
        <v>Well, I'm worried about the PPKM news extended Sunday</v>
      </c>
    </row>
    <row r="3186" ht="15.75" customHeight="1">
      <c r="A3186" s="2">
        <v>3185.0</v>
      </c>
      <c r="B3186" s="5" t="s">
        <v>5829</v>
      </c>
      <c r="C3186" s="6">
        <v>1.0</v>
      </c>
      <c r="D3186" s="7" t="s">
        <v>5830</v>
      </c>
      <c r="E3186" s="8" t="str">
        <f>IFERROR(__xludf.DUMMYFUNCTION("googletranslate(D3186,""id"",""en"")"),"Number points. found on the road that is left right there is a merchant, the fix, which is a trade in a mask in the chin, I use it, which is also the same, there is someone who naek motorbike Sirlery to mask, mask, gang ondel2.ppkm the media is precious")</f>
        <v>Number points. found on the road that is left right there is a merchant, the fix, which is a trade in a mask in the chin, I use it, which is also the same, there is someone who naek motorbike Sirlery to mask, mask, gang ondel2.ppkm the media is precious</v>
      </c>
    </row>
    <row r="3187" ht="15.75" customHeight="1">
      <c r="A3187" s="2">
        <v>3186.0</v>
      </c>
      <c r="B3187" s="5" t="s">
        <v>5831</v>
      </c>
      <c r="C3187" s="6">
        <v>2.0</v>
      </c>
      <c r="D3187" s="7" t="s">
        <v>5832</v>
      </c>
      <c r="E3187" s="8" t="str">
        <f>IFERROR(__xludf.DUMMYFUNCTION("googletranslate(D3187,""id"",""en"")"),"Really ppkm or not?")</f>
        <v>Really ppkm or not?</v>
      </c>
    </row>
    <row r="3188" ht="15.75" customHeight="1">
      <c r="A3188" s="2">
        <v>3187.0</v>
      </c>
      <c r="B3188" s="5" t="s">
        <v>5833</v>
      </c>
      <c r="C3188" s="6">
        <v>1.0</v>
      </c>
      <c r="D3188" s="7" t="s">
        <v>5834</v>
      </c>
      <c r="E3188" s="8" t="str">
        <f>IFERROR(__xludf.DUMMYFUNCTION("googletranslate(D3188,""id"",""en"")"),"PPKM many victims. a lot of violence a lot of damage")</f>
        <v>PPKM many victims. a lot of violence a lot of damage</v>
      </c>
    </row>
    <row r="3189" ht="15.75" customHeight="1">
      <c r="A3189" s="2">
        <v>3188.0</v>
      </c>
      <c r="B3189" s="5" t="s">
        <v>5835</v>
      </c>
      <c r="C3189" s="6">
        <v>2.0</v>
      </c>
      <c r="D3189" s="9" t="s">
        <v>5836</v>
      </c>
      <c r="E3189" s="8" t="str">
        <f>IFERROR(__xludf.DUMMYFUNCTION("googletranslate(D3189,""id"",""en"")"),"Ppkm without pp = km, so I like km km in mathematics is kilometer so you like distance?")</f>
        <v>Ppkm without pp = km, so I like km km in mathematics is kilometer so you like distance?</v>
      </c>
    </row>
    <row r="3190" ht="15.75" customHeight="1">
      <c r="A3190" s="2">
        <v>3189.0</v>
      </c>
      <c r="B3190" s="5" t="s">
        <v>5837</v>
      </c>
      <c r="C3190" s="6">
        <v>1.0</v>
      </c>
      <c r="D3190" s="9" t="s">
        <v>5838</v>
      </c>
      <c r="E3190" s="8" t="str">
        <f>IFERROR(__xludf.DUMMYFUNCTION("googletranslate(D3190,""id"",""en"")"),"The PPKM is too long will only trouble the poor who work daily, the Indonesian government should emulate the Hong Kong government, let the people work the important thing to obey the proces, if it violates the punishment not to be made toys")</f>
        <v>The PPKM is too long will only trouble the poor who work daily, the Indonesian government should emulate the Hong Kong government, let the people work the important thing to obey the proces, if it violates the punishment not to be made toys</v>
      </c>
    </row>
    <row r="3191" ht="15.75" customHeight="1">
      <c r="A3191" s="2">
        <v>3190.0</v>
      </c>
      <c r="B3191" s="5" t="s">
        <v>5839</v>
      </c>
      <c r="C3191" s="6">
        <v>2.0</v>
      </c>
      <c r="D3191" s="9" t="s">
        <v>5839</v>
      </c>
      <c r="E3191" s="8" t="str">
        <f>IFERROR(__xludf.DUMMYFUNCTION("googletranslate(D3191,""id"",""en"")"),"During this emergency PPKM period, many people have reduced mobility outside the house too!")</f>
        <v>During this emergency PPKM period, many people have reduced mobility outside the house too!</v>
      </c>
    </row>
    <row r="3192" ht="15.75" customHeight="1">
      <c r="A3192" s="2">
        <v>3191.0</v>
      </c>
      <c r="B3192" s="5" t="s">
        <v>5840</v>
      </c>
      <c r="C3192" s="6">
        <v>2.0</v>
      </c>
      <c r="D3192" s="9" t="s">
        <v>5840</v>
      </c>
      <c r="E3192" s="8" t="str">
        <f>IFERROR(__xludf.DUMMYFUNCTION("googletranslate(D3192,""id"",""en"")"),"Regarding the game continuously? Then I hrus what else. Kan again PPKM.")</f>
        <v>Regarding the game continuously? Then I hrus what else. Kan again PPKM.</v>
      </c>
    </row>
    <row r="3193" ht="15.75" customHeight="1">
      <c r="A3193" s="2">
        <v>3192.0</v>
      </c>
      <c r="B3193" s="5" t="s">
        <v>5841</v>
      </c>
      <c r="C3193" s="6">
        <v>1.0</v>
      </c>
      <c r="D3193" s="7" t="s">
        <v>5842</v>
      </c>
      <c r="E3193" s="8" t="str">
        <f>IFERROR(__xludf.DUMMYFUNCTION("googletranslate(D3193,""id"",""en"")"),"PPKM does not guarantee that Covid-19 can decrease ... !! Precisely PPKM makes Covid-19 up ... !! WOI !! Be careful of starving people, you can't weir ..")</f>
        <v>PPKM does not guarantee that Covid-19 can decrease ... !! Precisely PPKM makes Covid-19 up ... !! WOI !! Be careful of starving people, you can't weir ..</v>
      </c>
    </row>
    <row r="3194" ht="15.75" customHeight="1">
      <c r="A3194" s="2">
        <v>3193.0</v>
      </c>
      <c r="B3194" s="5" t="s">
        <v>5843</v>
      </c>
      <c r="C3194" s="6">
        <v>1.0</v>
      </c>
      <c r="D3194" s="7" t="s">
        <v>5844</v>
      </c>
      <c r="E3194" s="8" t="str">
        <f>IFERROR(__xludf.DUMMYFUNCTION("googletranslate(D3194,""id"",""en"")"),"in JOG UDH is closed due to the recreation / entertainment category until the PPKM is complete")</f>
        <v>in JOG UDH is closed due to the recreation / entertainment category until the PPKM is complete</v>
      </c>
    </row>
    <row r="3195" ht="15.75" customHeight="1">
      <c r="A3195" s="2">
        <v>3194.0</v>
      </c>
      <c r="B3195" s="5" t="s">
        <v>5845</v>
      </c>
      <c r="C3195" s="6">
        <v>1.0</v>
      </c>
      <c r="D3195" s="9" t="s">
        <v>5846</v>
      </c>
      <c r="E3195" s="8" t="str">
        <f>IFERROR(__xludf.DUMMYFUNCTION("googletranslate(D3195,""id"",""en"")"),"Can't come. Yesterday yesterday before PPKM, I didn't come. More importantly myself than managing others. If he rocks, it's good to be aj. Later the Nangeees is evicted")</f>
        <v>Can't come. Yesterday yesterday before PPKM, I didn't come. More importantly myself than managing others. If he rocks, it's good to be aj. Later the Nangeees is evicted</v>
      </c>
    </row>
    <row r="3196" ht="15.75" customHeight="1">
      <c r="A3196" s="2">
        <v>3195.0</v>
      </c>
      <c r="B3196" s="5" t="s">
        <v>5847</v>
      </c>
      <c r="C3196" s="6">
        <v>2.0</v>
      </c>
      <c r="D3196" s="7" t="s">
        <v>5848</v>
      </c>
      <c r="E3196" s="8" t="str">
        <f>IFERROR(__xludf.DUMMYFUNCTION("googletranslate(D3196,""id"",""en"")"),"Jin jg ppkm wkwkwk")</f>
        <v>Jin jg ppkm wkwkwk</v>
      </c>
    </row>
    <row r="3197" ht="15.75" customHeight="1">
      <c r="A3197" s="2">
        <v>3196.0</v>
      </c>
      <c r="B3197" s="5" t="s">
        <v>5849</v>
      </c>
      <c r="C3197" s="6">
        <v>1.0</v>
      </c>
      <c r="D3197" s="9" t="s">
        <v>5850</v>
      </c>
      <c r="E3197" s="8" t="str">
        <f>IFERROR(__xludf.DUMMYFUNCTION("googletranslate(D3197,""id"",""en"")"),"ppkm ni like the impression is so that it doesn't come out of funds to give good foods")</f>
        <v>ppkm ni like the impression is so that it doesn't come out of funds to give good foods</v>
      </c>
    </row>
    <row r="3198" ht="15.75" customHeight="1">
      <c r="A3198" s="2">
        <v>3197.0</v>
      </c>
      <c r="B3198" s="5" t="s">
        <v>5851</v>
      </c>
      <c r="C3198" s="6">
        <v>1.0</v>
      </c>
      <c r="D3198" s="7" t="s">
        <v>5852</v>
      </c>
      <c r="E3198" s="8" t="str">
        <f>IFERROR(__xludf.DUMMYFUNCTION("googletranslate(D3198,""id"",""en"")"),"Already nailed chapter &amp; amp; 3 eh ppkm. Told to send a Jak email. SIA2 KAN paper")</f>
        <v>Already nailed chapter &amp; amp; 3 eh ppkm. Told to send a Jak email. SIA2 KAN paper</v>
      </c>
    </row>
    <row r="3199" ht="15.75" customHeight="1">
      <c r="A3199" s="2">
        <v>3198.0</v>
      </c>
      <c r="B3199" s="5" t="s">
        <v>5853</v>
      </c>
      <c r="C3199" s="6">
        <v>1.0</v>
      </c>
      <c r="D3199" s="7" t="s">
        <v>5854</v>
      </c>
      <c r="E3199" s="8" t="str">
        <f>IFERROR(__xludf.DUMMYFUNCTION("googletranslate(D3199,""id"",""en"")"),"PPKM Emergency Lockdown Version of Poor State Who Don't Want to Guaranteed the People, Become Aja Bong Prick Reason")</f>
        <v>PPKM Emergency Lockdown Version of Poor State Who Don't Want to Guaranteed the People, Become Aja Bong Prick Reason</v>
      </c>
    </row>
    <row r="3200" ht="15.75" customHeight="1">
      <c r="A3200" s="2">
        <v>3199.0</v>
      </c>
      <c r="B3200" s="5" t="s">
        <v>5855</v>
      </c>
      <c r="C3200" s="6">
        <v>1.0</v>
      </c>
      <c r="D3200" s="7" t="s">
        <v>5856</v>
      </c>
      <c r="E3200" s="8" t="str">
        <f>IFERROR(__xludf.DUMMYFUNCTION("googletranslate(D3200,""id"",""en"")"),"Usually the opposite. ""Let the people have difficulty eating the important Emergency PPKM continued"". It's a translation of Mr. Joko's words")</f>
        <v>Usually the opposite. "Let the people have difficulty eating the important Emergency PPKM continued". It's a translation of Mr. Joko's words</v>
      </c>
    </row>
    <row r="3201" ht="15.75" customHeight="1">
      <c r="A3201" s="2">
        <v>3200.0</v>
      </c>
      <c r="B3201" s="5" t="s">
        <v>5857</v>
      </c>
      <c r="C3201" s="6">
        <v>1.0</v>
      </c>
      <c r="D3201" s="9" t="s">
        <v>5858</v>
      </c>
      <c r="E3201" s="8" t="str">
        <f>IFERROR(__xludf.DUMMYFUNCTION("googletranslate(D3201,""id"",""en"")"),"My area is not including Bali and Java but participating in the PPKM market, it is close to the allegation, fortunately it cannot yet, the needs of the day is not enough, the college kids confused the money from where.")</f>
        <v>My area is not including Bali and Java but participating in the PPKM market, it is close to the allegation, fortunately it cannot yet, the needs of the day is not enough, the college kids confused the money from where.</v>
      </c>
    </row>
    <row r="3202" ht="15.75" customHeight="1">
      <c r="A3202" s="2">
        <v>3201.0</v>
      </c>
      <c r="B3202" s="5" t="s">
        <v>5859</v>
      </c>
      <c r="C3202" s="6">
        <v>1.0</v>
      </c>
      <c r="D3202" s="9" t="s">
        <v>5860</v>
      </c>
      <c r="E3202" s="8" t="str">
        <f>IFERROR(__xludf.DUMMYFUNCTION("googletranslate(D3202,""id"",""en"")"),"Begoo Luu ... ppkm yes ppkm just, people sell just eating families in disbursing even plesiran can ...")</f>
        <v>Begoo Luu ... ppkm yes ppkm just, people sell just eating families in disbursing even plesiran can ...</v>
      </c>
    </row>
    <row r="3203" ht="15.75" customHeight="1">
      <c r="A3203" s="2">
        <v>3202.0</v>
      </c>
      <c r="B3203" s="5" t="s">
        <v>5861</v>
      </c>
      <c r="C3203" s="6">
        <v>1.0</v>
      </c>
      <c r="D3203" s="9" t="s">
        <v>5861</v>
      </c>
      <c r="E3203" s="8" t="str">
        <f>IFERROR(__xludf.DUMMYFUNCTION("googletranslate(D3203,""id"",""en"")"),"fuck you all that lg ppkm gini but instead hanging out to the cafe just dead lu lu bgsat")</f>
        <v>fuck you all that lg ppkm gini but instead hanging out to the cafe just dead lu lu bgsat</v>
      </c>
    </row>
    <row r="3204" ht="15.75" customHeight="1">
      <c r="A3204" s="2">
        <v>3203.0</v>
      </c>
      <c r="B3204" s="5" t="s">
        <v>5862</v>
      </c>
      <c r="C3204" s="6">
        <v>1.0</v>
      </c>
      <c r="D3204" s="7" t="s">
        <v>5863</v>
      </c>
      <c r="E3204" s="8" t="str">
        <f>IFERROR(__xludf.DUMMYFUNCTION("googletranslate(D3204,""id"",""en"")"),"Our last few days are busy with PPKM news that you want to be extended. For me, please just want to extend the PPKM, but with one condition ""fulfill the needs of the community (without exception)"".")</f>
        <v>Our last few days are busy with PPKM news that you want to be extended. For me, please just want to extend the PPKM, but with one condition "fulfill the needs of the community (without exception)".</v>
      </c>
    </row>
    <row r="3205" ht="15.75" customHeight="1">
      <c r="A3205" s="2">
        <v>3204.0</v>
      </c>
      <c r="B3205" s="5" t="s">
        <v>5864</v>
      </c>
      <c r="C3205" s="6">
        <v>1.0</v>
      </c>
      <c r="D3205" s="7" t="s">
        <v>5864</v>
      </c>
      <c r="E3205" s="8" t="str">
        <f>IFERROR(__xludf.DUMMYFUNCTION("googletranslate(D3205,""id"",""en"")"),"Current PPKM conditions really make extra thinking")</f>
        <v>Current PPKM conditions really make extra thinking</v>
      </c>
    </row>
    <row r="3206" ht="15.75" customHeight="1">
      <c r="A3206" s="2">
        <v>3205.0</v>
      </c>
      <c r="B3206" s="5" t="s">
        <v>5865</v>
      </c>
      <c r="C3206" s="6">
        <v>2.0</v>
      </c>
      <c r="D3206" s="7" t="s">
        <v>5865</v>
      </c>
      <c r="E3206" s="8" t="str">
        <f>IFERROR(__xludf.DUMMYFUNCTION("googletranslate(D3206,""id"",""en"")"),"Ppkm - slowly slowly if you eat")</f>
        <v>Ppkm - slowly slowly if you eat</v>
      </c>
    </row>
    <row r="3207" ht="15.75" customHeight="1">
      <c r="A3207" s="2">
        <v>3206.0</v>
      </c>
      <c r="B3207" s="5" t="s">
        <v>5866</v>
      </c>
      <c r="C3207" s="6">
        <v>1.0</v>
      </c>
      <c r="D3207" s="7" t="s">
        <v>5866</v>
      </c>
      <c r="E3207" s="8" t="str">
        <f>IFERROR(__xludf.DUMMYFUNCTION("googletranslate(D3207,""id"",""en"")"),"Ppkm without arrogance can gag anyway?")</f>
        <v>Ppkm without arrogance can gag anyway?</v>
      </c>
    </row>
    <row r="3208" ht="15.75" customHeight="1">
      <c r="A3208" s="2">
        <v>3207.0</v>
      </c>
      <c r="B3208" s="5" t="s">
        <v>5867</v>
      </c>
      <c r="C3208" s="6">
        <v>3.0</v>
      </c>
      <c r="D3208" s="7" t="s">
        <v>5867</v>
      </c>
      <c r="E3208" s="8" t="str">
        <f>IFERROR(__xludf.DUMMYFUNCTION("googletranslate(D3208,""id"",""en"")"),"Because, basically, this emergency PPKM is carried out to be able to suppress the community's mobility so that the spread of the virus can also be suppressed.")</f>
        <v>Because, basically, this emergency PPKM is carried out to be able to suppress the community's mobility so that the spread of the virus can also be suppressed.</v>
      </c>
    </row>
    <row r="3209" ht="15.75" customHeight="1">
      <c r="A3209" s="2">
        <v>3208.0</v>
      </c>
      <c r="B3209" s="5" t="s">
        <v>5868</v>
      </c>
      <c r="C3209" s="6">
        <v>3.0</v>
      </c>
      <c r="D3209" s="7" t="s">
        <v>5869</v>
      </c>
      <c r="E3209" s="8" t="str">
        <f>IFERROR(__xludf.DUMMYFUNCTION("googletranslate(D3209,""id"",""en"")"),"There is no other way except for proper and systematic handling. Lots of testing, many vaccines per day at least can be consistent a million a million, PPKM must be maximized and decisive not loose, extra protection for nakes, guarantee of basic needs for"&amp;" poor masy.")</f>
        <v>There is no other way except for proper and systematic handling. Lots of testing, many vaccines per day at least can be consistent a million a million, PPKM must be maximized and decisive not loose, extra protection for nakes, guarantee of basic needs for poor masy.</v>
      </c>
    </row>
    <row r="3210" ht="15.75" customHeight="1">
      <c r="A3210" s="2">
        <v>3209.0</v>
      </c>
      <c r="B3210" s="5" t="s">
        <v>5870</v>
      </c>
      <c r="C3210" s="6">
        <v>1.0</v>
      </c>
      <c r="D3210" s="7" t="s">
        <v>5871</v>
      </c>
      <c r="E3210" s="8" t="str">
        <f>IFERROR(__xludf.DUMMYFUNCTION("googletranslate(D3210,""id"",""en"")"),"Length the origin of those whose workplace is closed to give a replacement for the workplace for them waiting for PPKM to finish ...")</f>
        <v>Length the origin of those whose workplace is closed to give a replacement for the workplace for them waiting for PPKM to finish ...</v>
      </c>
    </row>
    <row r="3211" ht="15.75" customHeight="1">
      <c r="A3211" s="2">
        <v>3210.0</v>
      </c>
      <c r="B3211" s="5" t="s">
        <v>5872</v>
      </c>
      <c r="C3211" s="6">
        <v>1.0</v>
      </c>
      <c r="D3211" s="7" t="s">
        <v>5872</v>
      </c>
      <c r="E3211" s="8" t="str">
        <f>IFERROR(__xludf.DUMMYFUNCTION("googletranslate(D3211,""id"",""en"")"),"PPKM: Slowly we are crazy.")</f>
        <v>PPKM: Slowly we are crazy.</v>
      </c>
    </row>
    <row r="3212" ht="15.75" customHeight="1">
      <c r="A3212" s="2">
        <v>3211.0</v>
      </c>
      <c r="B3212" s="5" t="s">
        <v>5873</v>
      </c>
      <c r="C3212" s="6">
        <v>1.0</v>
      </c>
      <c r="D3212" s="9" t="s">
        <v>5874</v>
      </c>
      <c r="E3212" s="8" t="str">
        <f>IFERROR(__xludf.DUMMYFUNCTION("googletranslate(D3212,""id"",""en"")"),"Still thinking good conditions ?? You might still feel good and safe conditions today Different from before this PPKM.")</f>
        <v>Still thinking good conditions ?? You might still feel good and safe conditions today Different from before this PPKM.</v>
      </c>
    </row>
    <row r="3213" ht="15.75" customHeight="1">
      <c r="A3213" s="2">
        <v>3212.0</v>
      </c>
      <c r="B3213" s="5" t="s">
        <v>5875</v>
      </c>
      <c r="C3213" s="6">
        <v>2.0</v>
      </c>
      <c r="D3213" s="7" t="s">
        <v>5875</v>
      </c>
      <c r="E3213" s="8" t="str">
        <f>IFERROR(__xludf.DUMMYFUNCTION("googletranslate(D3213,""id"",""en"")"),"Yesterday PSBB is now PPKM tomorrow, especially if IPA, IPS, PPKN, MTK, Haa especially?")</f>
        <v>Yesterday PSBB is now PPKM tomorrow, especially if IPA, IPS, PPKN, MTK, Haa especially?</v>
      </c>
    </row>
    <row r="3214" ht="15.75" customHeight="1">
      <c r="A3214" s="2">
        <v>3213.0</v>
      </c>
      <c r="B3214" s="5" t="s">
        <v>5876</v>
      </c>
      <c r="C3214" s="6">
        <v>1.0</v>
      </c>
      <c r="D3214" s="7" t="s">
        <v>5877</v>
      </c>
      <c r="E3214" s="8" t="str">
        <f>IFERROR(__xludf.DUMMYFUNCTION("googletranslate(D3214,""id"",""en"")"),"Annoying emang mi ppkm")</f>
        <v>Annoying emang mi ppkm</v>
      </c>
    </row>
    <row r="3215" ht="15.75" customHeight="1">
      <c r="A3215" s="2">
        <v>3214.0</v>
      </c>
      <c r="B3215" s="5" t="s">
        <v>5878</v>
      </c>
      <c r="C3215" s="6">
        <v>1.0</v>
      </c>
      <c r="D3215" s="7" t="s">
        <v>5878</v>
      </c>
      <c r="E3215" s="8" t="str">
        <f>IFERROR(__xludf.DUMMYFUNCTION("googletranslate(D3215,""id"",""en"")"),"Want PPKM for a year but the implementation only uses the absorption motto, it will not finish this outbreak. Is it going to add new problems, unemployment.")</f>
        <v>Want PPKM for a year but the implementation only uses the absorption motto, it will not finish this outbreak. Is it going to add new problems, unemployment.</v>
      </c>
    </row>
    <row r="3216" ht="15.75" customHeight="1">
      <c r="A3216" s="2">
        <v>3215.0</v>
      </c>
      <c r="B3216" s="5" t="s">
        <v>5879</v>
      </c>
      <c r="C3216" s="6">
        <v>2.0</v>
      </c>
      <c r="D3216" s="7" t="s">
        <v>5880</v>
      </c>
      <c r="E3216" s="8" t="str">
        <f>IFERROR(__xludf.DUMMYFUNCTION("googletranslate(D3216,""id"",""en"")"),"In the photo discussed Pancasila, in the title of ppkm ... well the relationship is the relationship ??")</f>
        <v>In the photo discussed Pancasila, in the title of ppkm ... well the relationship is the relationship ??</v>
      </c>
    </row>
    <row r="3217" ht="15.75" customHeight="1">
      <c r="A3217" s="2">
        <v>3216.0</v>
      </c>
      <c r="B3217" s="5" t="s">
        <v>5881</v>
      </c>
      <c r="C3217" s="6">
        <v>2.0</v>
      </c>
      <c r="D3217" s="9" t="s">
        <v>5882</v>
      </c>
      <c r="E3217" s="8" t="str">
        <f>IFERROR(__xludf.DUMMYFUNCTION("googletranslate(D3217,""id"",""en"")"),"Why is Google Assistant lately tell me WFO? Hey you don't know this again ppkm!")</f>
        <v>Why is Google Assistant lately tell me WFO? Hey you don't know this again ppkm!</v>
      </c>
    </row>
    <row r="3218" ht="15.75" customHeight="1">
      <c r="A3218" s="2">
        <v>3217.0</v>
      </c>
      <c r="B3218" s="5" t="s">
        <v>5883</v>
      </c>
      <c r="C3218" s="6">
        <v>2.0</v>
      </c>
      <c r="D3218" s="7" t="s">
        <v>5883</v>
      </c>
      <c r="E3218" s="8" t="str">
        <f>IFERROR(__xludf.DUMMYFUNCTION("googletranslate(D3218,""id"",""en"")"),"PPKM extended to PPKmmmmmmmmmmmmmmmmmmmm")</f>
        <v>PPKM extended to PPKmmmmmmmmmmmmmmmmmmmm</v>
      </c>
    </row>
    <row r="3219" ht="15.75" customHeight="1">
      <c r="A3219" s="2">
        <v>3218.0</v>
      </c>
      <c r="B3219" s="5" t="s">
        <v>5884</v>
      </c>
      <c r="C3219" s="6">
        <v>1.0</v>
      </c>
      <c r="D3219" s="7" t="s">
        <v>5885</v>
      </c>
      <c r="E3219" s="8" t="str">
        <f>IFERROR(__xludf.DUMMYFUNCTION("googletranslate(D3219,""id"",""en"")"),"Help viral in ah, so that the viral continues to be fired, so that you don't do the raid raid, it feels like it feels like this time the PPKM time is done by the position of being fired")</f>
        <v>Help viral in ah, so that the viral continues to be fired, so that you don't do the raid raid, it feels like it feels like this time the PPKM time is done by the position of being fired</v>
      </c>
    </row>
    <row r="3220" ht="15.75" customHeight="1">
      <c r="A3220" s="2">
        <v>3219.0</v>
      </c>
      <c r="B3220" s="5" t="s">
        <v>5886</v>
      </c>
      <c r="C3220" s="6">
        <v>1.0</v>
      </c>
      <c r="D3220" s="7" t="s">
        <v>5887</v>
      </c>
      <c r="E3220" s="8" t="str">
        <f>IFERROR(__xludf.DUMMYFUNCTION("googletranslate(D3220,""id"",""en"")"),"Do you know what you are Pancasila, when your Chinese PPKM people put it in Indonesia")</f>
        <v>Do you know what you are Pancasila, when your Chinese PPKM people put it in Indonesia</v>
      </c>
    </row>
    <row r="3221" ht="15.75" customHeight="1">
      <c r="A3221" s="2">
        <v>3220.0</v>
      </c>
      <c r="B3221" s="5" t="s">
        <v>5888</v>
      </c>
      <c r="C3221" s="6">
        <v>2.0</v>
      </c>
      <c r="D3221" s="9" t="s">
        <v>5889</v>
      </c>
      <c r="E3221" s="8" t="str">
        <f>IFERROR(__xludf.DUMMYFUNCTION("googletranslate(D3221,""id"",""en"")"),"Hit by the ticket ... the PPKM Tuiter JG is closely good morning and always healthy")</f>
        <v>Hit by the ticket ... the PPKM Tuiter JG is closely good morning and always healthy</v>
      </c>
    </row>
    <row r="3222" ht="15.75" customHeight="1">
      <c r="A3222" s="2">
        <v>3221.0</v>
      </c>
      <c r="B3222" s="5" t="s">
        <v>5890</v>
      </c>
      <c r="C3222" s="6">
        <v>1.0</v>
      </c>
      <c r="D3222" s="9" t="s">
        <v>5891</v>
      </c>
      <c r="E3222" s="8" t="str">
        <f>IFERROR(__xludf.DUMMYFUNCTION("googletranslate(D3222,""id"",""en"")"),"PPKM is not appropriate for the right way because the level of people's ngeyel increases exponentially. The wounding is too much")</f>
        <v>PPKM is not appropriate for the right way because the level of people's ngeyel increases exponentially. The wounding is too much</v>
      </c>
    </row>
    <row r="3223" ht="15.75" customHeight="1">
      <c r="A3223" s="2">
        <v>3222.0</v>
      </c>
      <c r="B3223" s="5" t="s">
        <v>5892</v>
      </c>
      <c r="C3223" s="6">
        <v>2.0</v>
      </c>
      <c r="D3223" s="7" t="s">
        <v>5893</v>
      </c>
      <c r="E3223" s="8" t="str">
        <f>IFERROR(__xludf.DUMMYFUNCTION("googletranslate(D3223,""id"",""en"")"),"Relax y. .msh ppkm can't be kemn2")</f>
        <v>Relax y. .msh ppkm can't be kemn2</v>
      </c>
    </row>
    <row r="3224" ht="15.75" customHeight="1">
      <c r="A3224" s="2">
        <v>3223.0</v>
      </c>
      <c r="B3224" s="5" t="s">
        <v>5894</v>
      </c>
      <c r="C3224" s="6">
        <v>1.0</v>
      </c>
      <c r="D3224" s="7" t="s">
        <v>5895</v>
      </c>
      <c r="E3224" s="8" t="str">
        <f>IFERROR(__xludf.DUMMYFUNCTION("googletranslate(D3224,""id"",""en"")"),"Nahan Laper Until the date this is the PPKM even extended! Weve Fucking !!!")</f>
        <v>Nahan Laper Until the date this is the PPKM even extended! Weve Fucking !!!</v>
      </c>
    </row>
    <row r="3225" ht="15.75" customHeight="1">
      <c r="A3225" s="2">
        <v>3224.0</v>
      </c>
      <c r="B3225" s="5" t="s">
        <v>5896</v>
      </c>
      <c r="C3225" s="6">
        <v>1.0</v>
      </c>
      <c r="D3225" s="7" t="s">
        <v>5897</v>
      </c>
      <c r="E3225" s="8" t="str">
        <f>IFERROR(__xludf.DUMMYFUNCTION("googletranslate(D3225,""id"",""en"")"),"PPKM becomes a trigger for the PDDK quarrel. So the sheep fight when we are divided and split")</f>
        <v>PPKM becomes a trigger for the PDDK quarrel. So the sheep fight when we are divided and split</v>
      </c>
    </row>
    <row r="3226" ht="15.75" customHeight="1">
      <c r="A3226" s="2">
        <v>3225.0</v>
      </c>
      <c r="B3226" s="5" t="s">
        <v>5898</v>
      </c>
      <c r="C3226" s="6">
        <v>1.0</v>
      </c>
      <c r="D3226" s="7" t="s">
        <v>5899</v>
      </c>
      <c r="E3226" s="8" t="str">
        <f>IFERROR(__xludf.DUMMYFUNCTION("googletranslate(D3226,""id"",""en"")"),"PPKM is just a program to waste the state of the responsibility ...")</f>
        <v>PPKM is just a program to waste the state of the responsibility ...</v>
      </c>
    </row>
    <row r="3227" ht="15.75" customHeight="1">
      <c r="A3227" s="2">
        <v>3226.0</v>
      </c>
      <c r="B3227" s="5" t="s">
        <v>5900</v>
      </c>
      <c r="C3227" s="6">
        <v>1.0</v>
      </c>
      <c r="D3227" s="7" t="s">
        <v>5901</v>
      </c>
      <c r="E3227" s="8" t="str">
        <f>IFERROR(__xludf.DUMMYFUNCTION("googletranslate(D3227,""id"",""en"")"),"So confused, how come it will be like this PPKM")</f>
        <v>So confused, how come it will be like this PPKM</v>
      </c>
    </row>
    <row r="3228" ht="15.75" customHeight="1">
      <c r="A3228" s="2">
        <v>3227.0</v>
      </c>
      <c r="B3228" s="5" t="s">
        <v>5902</v>
      </c>
      <c r="C3228" s="6">
        <v>1.0</v>
      </c>
      <c r="D3228" s="7" t="s">
        <v>5903</v>
      </c>
      <c r="E3228" s="8" t="str">
        <f>IFERROR(__xludf.DUMMYFUNCTION("googletranslate(D3228,""id"",""en"")"),"... this will be long PPKM, even though the emergency will be revoked, but the condition will not change ... compared to being labeled anti-Islam, it is better to receive the condition of the pandemic will continue to ...")</f>
        <v>... this will be long PPKM, even though the emergency will be revoked, but the condition will not change ... compared to being labeled anti-Islam, it is better to receive the condition of the pandemic will continue to ...</v>
      </c>
    </row>
    <row r="3229" ht="15.75" customHeight="1">
      <c r="A3229" s="2">
        <v>3228.0</v>
      </c>
      <c r="B3229" s="5" t="s">
        <v>5904</v>
      </c>
      <c r="C3229" s="6">
        <v>2.0</v>
      </c>
      <c r="D3229" s="7" t="s">
        <v>5905</v>
      </c>
      <c r="E3229" s="8" t="str">
        <f>IFERROR(__xludf.DUMMYFUNCTION("googletranslate(D3229,""id"",""en"")"),"Want to also go up lawy, but reportedly a lot of mystics there ... Solon is also in the south of Adi Sumarmoppkm there tightly?")</f>
        <v>Want to also go up lawy, but reportedly a lot of mystics there ... Solon is also in the south of Adi Sumarmoppkm there tightly?</v>
      </c>
    </row>
    <row r="3230" ht="15.75" customHeight="1">
      <c r="A3230" s="2">
        <v>3229.0</v>
      </c>
      <c r="B3230" s="5" t="s">
        <v>5906</v>
      </c>
      <c r="C3230" s="6">
        <v>1.0</v>
      </c>
      <c r="D3230" s="9" t="s">
        <v>5906</v>
      </c>
      <c r="E3230" s="8" t="str">
        <f>IFERROR(__xludf.DUMMYFUNCTION("googletranslate(D3230,""id"",""en"")"),"If you are a family burden then PPKM is the burden of the people.")</f>
        <v>If you are a family burden then PPKM is the burden of the people.</v>
      </c>
    </row>
    <row r="3231" ht="15.75" customHeight="1">
      <c r="A3231" s="2">
        <v>3230.0</v>
      </c>
      <c r="B3231" s="5" t="s">
        <v>5907</v>
      </c>
      <c r="C3231" s="6">
        <v>1.0</v>
      </c>
      <c r="D3231" s="9" t="s">
        <v>5908</v>
      </c>
      <c r="E3231" s="8" t="str">
        <f>IFERROR(__xludf.DUMMYFUNCTION("googletranslate(D3231,""id"",""en"")"),"Please BSU be reviewed, which all of them have not been channeled, this has already been ppkm ... many of the program realization is half a half. Give us right ...")</f>
        <v>Please BSU be reviewed, which all of them have not been channeled, this has already been ppkm ... many of the program realization is half a half. Give us right ...</v>
      </c>
    </row>
    <row r="3232" ht="15.75" customHeight="1">
      <c r="A3232" s="2">
        <v>3231.0</v>
      </c>
      <c r="B3232" s="5" t="s">
        <v>5909</v>
      </c>
      <c r="C3232" s="6">
        <v>2.0</v>
      </c>
      <c r="D3232" s="7" t="s">
        <v>5910</v>
      </c>
      <c r="E3232" s="8" t="str">
        <f>IFERROR(__xludf.DUMMYFUNCTION("googletranslate(D3232,""id"",""en"")"),"Maybe there is a ppkm om")</f>
        <v>Maybe there is a ppkm om</v>
      </c>
    </row>
    <row r="3233" ht="15.75" customHeight="1">
      <c r="A3233" s="2">
        <v>3232.0</v>
      </c>
      <c r="B3233" s="5" t="s">
        <v>5911</v>
      </c>
      <c r="C3233" s="6">
        <v>1.0</v>
      </c>
      <c r="D3233" s="7" t="s">
        <v>5911</v>
      </c>
      <c r="E3233" s="8" t="str">
        <f>IFERROR(__xludf.DUMMYFUNCTION("googletranslate(D3233,""id"",""en"")"),"Having a property on the edge of the Road Protocol / Commercial / Highway region is a dream, advantage and pride, but if the PPKM and the government closed certain roads, yes must be the first party affected.")</f>
        <v>Having a property on the edge of the Road Protocol / Commercial / Highway region is a dream, advantage and pride, but if the PPKM and the government closed certain roads, yes must be the first party affected.</v>
      </c>
    </row>
    <row r="3234" ht="15.75" customHeight="1">
      <c r="A3234" s="2">
        <v>3233.0</v>
      </c>
      <c r="B3234" s="5" t="s">
        <v>5912</v>
      </c>
      <c r="C3234" s="6">
        <v>1.0</v>
      </c>
      <c r="D3234" s="9" t="s">
        <v>5913</v>
      </c>
      <c r="E3234" s="8" t="str">
        <f>IFERROR(__xludf.DUMMYFUNCTION("googletranslate(D3234,""id"",""en"")"),"If the ppkm is extended, hopefully there is a demonstration, because the government just gives a policy, don't give a solution, how can everyone who can and get money")</f>
        <v>If the ppkm is extended, hopefully there is a demonstration, because the government just gives a policy, don't give a solution, how can everyone who can and get money</v>
      </c>
    </row>
    <row r="3235" ht="15.75" customHeight="1">
      <c r="A3235" s="2">
        <v>3234.0</v>
      </c>
      <c r="B3235" s="5" t="s">
        <v>5914</v>
      </c>
      <c r="C3235" s="6">
        <v>1.0</v>
      </c>
      <c r="D3235" s="7" t="s">
        <v>5915</v>
      </c>
      <c r="E3235" s="8" t="str">
        <f>IFERROR(__xludf.DUMMYFUNCTION("googletranslate(D3235,""id"",""en"")"),"if it is controlled why is PPKM ... ??")</f>
        <v>if it is controlled why is PPKM ... ??</v>
      </c>
    </row>
    <row r="3236" ht="15.75" customHeight="1">
      <c r="A3236" s="2">
        <v>3235.0</v>
      </c>
      <c r="B3236" s="5" t="s">
        <v>5916</v>
      </c>
      <c r="C3236" s="6">
        <v>1.0</v>
      </c>
      <c r="D3236" s="7" t="s">
        <v>5916</v>
      </c>
      <c r="E3236" s="8" t="str">
        <f>IFERROR(__xludf.DUMMYFUNCTION("googletranslate(D3236,""id"",""en"")"),"Bosen Pen Really Road Yaallah PPKM Extended Tuh Kumaha Yes the story")</f>
        <v>Bosen Pen Really Road Yaallah PPKM Extended Tuh Kumaha Yes the story</v>
      </c>
    </row>
    <row r="3237" ht="15.75" customHeight="1">
      <c r="A3237" s="2">
        <v>3236.0</v>
      </c>
      <c r="B3237" s="5" t="s">
        <v>5917</v>
      </c>
      <c r="C3237" s="6">
        <v>2.0</v>
      </c>
      <c r="D3237" s="9" t="s">
        <v>5918</v>
      </c>
      <c r="E3237" s="8" t="str">
        <f>IFERROR(__xludf.DUMMYFUNCTION("googletranslate(D3237,""id"",""en"")"),"Ngwokegh ~ Wait for PPKM to finish")</f>
        <v>Ngwokegh ~ Wait for PPKM to finish</v>
      </c>
    </row>
    <row r="3238" ht="15.75" customHeight="1">
      <c r="A3238" s="2">
        <v>3237.0</v>
      </c>
      <c r="B3238" s="5" t="s">
        <v>5919</v>
      </c>
      <c r="C3238" s="6">
        <v>2.0</v>
      </c>
      <c r="D3238" s="9" t="s">
        <v>5919</v>
      </c>
      <c r="E3238" s="8" t="str">
        <f>IFERROR(__xludf.DUMMYFUNCTION("googletranslate(D3238,""id"",""en"")"),"Kim Mingyu PPKM Pen")</f>
        <v>Kim Mingyu PPKM Pen</v>
      </c>
    </row>
    <row r="3239" ht="15.75" customHeight="1">
      <c r="A3239" s="2">
        <v>3238.0</v>
      </c>
      <c r="B3239" s="5" t="s">
        <v>5920</v>
      </c>
      <c r="C3239" s="6">
        <v>2.0</v>
      </c>
      <c r="D3239" s="9" t="s">
        <v>5921</v>
      </c>
      <c r="E3239" s="8" t="str">
        <f>IFERROR(__xludf.DUMMYFUNCTION("googletranslate(D3239,""id"",""en"")"),"How come it's never sent a quota to learn again? Even though this is PPKM, does anyone know why?")</f>
        <v>How come it's never sent a quota to learn again? Even though this is PPKM, does anyone know why?</v>
      </c>
    </row>
    <row r="3240" ht="15.75" customHeight="1">
      <c r="A3240" s="2">
        <v>3239.0</v>
      </c>
      <c r="B3240" s="5" t="s">
        <v>5922</v>
      </c>
      <c r="C3240" s="6">
        <v>1.0</v>
      </c>
      <c r="D3240" s="7" t="s">
        <v>5923</v>
      </c>
      <c r="E3240" s="8" t="str">
        <f>IFERROR(__xludf.DUMMYFUNCTION("googletranslate(D3240,""id"",""en"")"),"Silence is sure to ... if you care about the direct merchant give cash change covering his income during Emergency PPKM.")</f>
        <v>Silence is sure to ... if you care about the direct merchant give cash change covering his income during Emergency PPKM.</v>
      </c>
    </row>
    <row r="3241" ht="15.75" customHeight="1">
      <c r="A3241" s="2">
        <v>3240.0</v>
      </c>
      <c r="B3241" s="5" t="s">
        <v>5924</v>
      </c>
      <c r="C3241" s="6">
        <v>1.0</v>
      </c>
      <c r="D3241" s="7" t="s">
        <v>5925</v>
      </c>
      <c r="E3241" s="8" t="str">
        <f>IFERROR(__xludf.DUMMYFUNCTION("googletranslate(D3241,""id"",""en"")"),"It seems like these individuals have an intention to worsen the image of the government, with the pretext of implementing the Rules of PPKM.Wajib is processed, according to the applicable law.")</f>
        <v>It seems like these individuals have an intention to worsen the image of the government, with the pretext of implementing the Rules of PPKM.Wajib is processed, according to the applicable law.</v>
      </c>
    </row>
    <row r="3242" ht="15.75" customHeight="1">
      <c r="A3242" s="2">
        <v>3241.0</v>
      </c>
      <c r="B3242" s="5" t="s">
        <v>5926</v>
      </c>
      <c r="C3242" s="6">
        <v>2.0</v>
      </c>
      <c r="D3242" s="7" t="s">
        <v>5927</v>
      </c>
      <c r="E3242" s="8" t="str">
        <f>IFERROR(__xludf.DUMMYFUNCTION("googletranslate(D3242,""id"",""en"")"),"PPKM Morning - Morning Kangen We Do You Kangen Not?")</f>
        <v>PPKM Morning - Morning Kangen We Do You Kangen Not?</v>
      </c>
    </row>
    <row r="3243" ht="15.75" customHeight="1">
      <c r="A3243" s="2">
        <v>3242.0</v>
      </c>
      <c r="B3243" s="5" t="s">
        <v>5928</v>
      </c>
      <c r="C3243" s="6">
        <v>1.0</v>
      </c>
      <c r="D3243" s="9" t="s">
        <v>5928</v>
      </c>
      <c r="E3243" s="8" t="str">
        <f>IFERROR(__xludf.DUMMYFUNCTION("googletranslate(D3243,""id"",""en"")"),"Dizzy, I don't deliberately see the story of the holidays when PPKM, uploaded the plane ticket with the caption ""a bit complicated, the bund holiday is LG PPKM fortunately there is someone in"", what do you know, bro, bro, but right ...... monmaap lgsg m"&amp;"e mute while just ...")</f>
        <v>Dizzy, I don't deliberately see the story of the holidays when PPKM, uploaded the plane ticket with the caption "a bit complicated, the bund holiday is LG PPKM fortunately there is someone in", what do you know, bro, bro, but right ...... monmaap lgsg me mute while just ...</v>
      </c>
    </row>
    <row r="3244" ht="15.75" customHeight="1">
      <c r="A3244" s="2">
        <v>3243.0</v>
      </c>
      <c r="B3244" s="5" t="s">
        <v>5929</v>
      </c>
      <c r="C3244" s="6">
        <v>2.0</v>
      </c>
      <c r="D3244" s="7" t="s">
        <v>5930</v>
      </c>
      <c r="E3244" s="8" t="str">
        <f>IFERROR(__xludf.DUMMYFUNCTION("googletranslate(D3244,""id"",""en"")"),"Initial chat of PPKM together")</f>
        <v>Initial chat of PPKM together</v>
      </c>
    </row>
    <row r="3245" ht="15.75" customHeight="1">
      <c r="A3245" s="2">
        <v>3244.0</v>
      </c>
      <c r="B3245" s="5" t="s">
        <v>5931</v>
      </c>
      <c r="C3245" s="6">
        <v>1.0</v>
      </c>
      <c r="D3245" s="9" t="s">
        <v>5932</v>
      </c>
      <c r="E3245" s="8" t="str">
        <f>IFERROR(__xludf.DUMMYFUNCTION("googletranslate(D3245,""id"",""en"")"),"Which groceries arrive? Nyampe was circumcised. What is the empty comfort sentence Can't work? People are disbursed to choose to get a virus or die hungry. Soon, it will turn into Chaos. The demo is definitely.")</f>
        <v>Which groceries arrive? Nyampe was circumcised. What is the empty comfort sentence Can't work? People are disbursed to choose to get a virus or die hungry. Soon, it will turn into Chaos. The demo is definitely.</v>
      </c>
    </row>
    <row r="3246" ht="15.75" customHeight="1">
      <c r="A3246" s="2">
        <v>3245.0</v>
      </c>
      <c r="B3246" s="5" t="s">
        <v>5933</v>
      </c>
      <c r="C3246" s="6">
        <v>1.0</v>
      </c>
      <c r="D3246" s="9" t="s">
        <v>5934</v>
      </c>
      <c r="E3246" s="8" t="str">
        <f>IFERROR(__xludf.DUMMYFUNCTION("googletranslate(D3246,""id"",""en"")"),"Actually, I sense PSBB and PPKM yesterday yesterday NTU would be smooth if the government would like to sell the lives of the people. Kek gives groceries etc. But I want to wonder, bansos are eaten. From the top of giving K, until the people of CM RB beca"&amp;"use it is cut in every layer.")</f>
        <v>Actually, I sense PSBB and PPKM yesterday yesterday NTU would be smooth if the government would like to sell the lives of the people. Kek gives groceries etc. But I want to wonder, bansos are eaten. From the top of giving K, until the people of CM RB because it is cut in every layer.</v>
      </c>
    </row>
    <row r="3247" ht="15.75" customHeight="1">
      <c r="A3247" s="2">
        <v>3246.0</v>
      </c>
      <c r="B3247" s="5" t="s">
        <v>5935</v>
      </c>
      <c r="C3247" s="6">
        <v>3.0</v>
      </c>
      <c r="D3247" s="9" t="s">
        <v>5936</v>
      </c>
      <c r="E3247" s="8" t="str">
        <f>IFERROR(__xludf.DUMMYFUNCTION("googletranslate(D3247,""id"",""en"")"),"Morning BBYS! Don't forget to have breakfast, don't leave the house remember PPKM okay!")</f>
        <v>Morning BBYS! Don't forget to have breakfast, don't leave the house remember PPKM okay!</v>
      </c>
    </row>
    <row r="3248" ht="15.75" customHeight="1">
      <c r="A3248" s="2">
        <v>3247.0</v>
      </c>
      <c r="B3248" s="5" t="s">
        <v>5937</v>
      </c>
      <c r="C3248" s="6">
        <v>2.0</v>
      </c>
      <c r="D3248" s="7" t="s">
        <v>5938</v>
      </c>
      <c r="E3248" s="8" t="str">
        <f>IFERROR(__xludf.DUMMYFUNCTION("googletranslate(D3248,""id"",""en"")"),"Emergency PPKM, who benefits, tries to explore emergencies")</f>
        <v>Emergency PPKM, who benefits, tries to explore emergencies</v>
      </c>
    </row>
    <row r="3249" ht="15.75" customHeight="1">
      <c r="A3249" s="2">
        <v>3248.0</v>
      </c>
      <c r="B3249" s="5" t="s">
        <v>5939</v>
      </c>
      <c r="C3249" s="6">
        <v>2.0</v>
      </c>
      <c r="D3249" s="9" t="s">
        <v>5940</v>
      </c>
      <c r="E3249" s="8" t="str">
        <f>IFERROR(__xludf.DUMMYFUNCTION("googletranslate(D3249,""id"",""en"")"),"Later, if the PPKM is over ... Siyak Akuh Iyess ...")</f>
        <v>Later, if the PPKM is over ... Siyak Akuh Iyess ...</v>
      </c>
    </row>
    <row r="3250" ht="15.75" customHeight="1">
      <c r="A3250" s="2">
        <v>3249.0</v>
      </c>
      <c r="B3250" s="5" t="s">
        <v>5941</v>
      </c>
      <c r="C3250" s="6">
        <v>2.0</v>
      </c>
      <c r="D3250" s="7" t="s">
        <v>5942</v>
      </c>
      <c r="E3250" s="8" t="str">
        <f>IFERROR(__xludf.DUMMYFUNCTION("googletranslate(D3250,""id"",""en"")"),"content again, gta v ppkm")</f>
        <v>content again, gta v ppkm</v>
      </c>
    </row>
    <row r="3251" ht="15.75" customHeight="1">
      <c r="A3251" s="2">
        <v>3250.0</v>
      </c>
      <c r="B3251" s="5" t="s">
        <v>5943</v>
      </c>
      <c r="C3251" s="6">
        <v>1.0</v>
      </c>
      <c r="D3251" s="7" t="s">
        <v>5944</v>
      </c>
      <c r="E3251" s="8" t="str">
        <f>IFERROR(__xludf.DUMMYFUNCTION("googletranslate(D3251,""id"",""en"")"),"Mending gausah ppkm dah. It's not too useful, the record continues to covid")</f>
        <v>Mending gausah ppkm dah. It's not too useful, the record continues to covid</v>
      </c>
    </row>
    <row r="3252" ht="15.75" customHeight="1">
      <c r="A3252" s="2">
        <v>3251.0</v>
      </c>
      <c r="B3252" s="5" t="s">
        <v>5945</v>
      </c>
      <c r="C3252" s="6">
        <v>2.0</v>
      </c>
      <c r="D3252" s="7" t="s">
        <v>5946</v>
      </c>
      <c r="E3252" s="8" t="str">
        <f>IFERROR(__xludf.DUMMYFUNCTION("googletranslate(D3252,""id"",""en"")"),"Good morning at PPKM day to ... How is your day?")</f>
        <v>Good morning at PPKM day to ... How is your day?</v>
      </c>
    </row>
    <row r="3253" ht="15.75" customHeight="1">
      <c r="A3253" s="2">
        <v>3252.0</v>
      </c>
      <c r="B3253" s="5" t="s">
        <v>5947</v>
      </c>
      <c r="C3253" s="6">
        <v>2.0</v>
      </c>
      <c r="D3253" s="7" t="s">
        <v>5948</v>
      </c>
      <c r="E3253" s="8" t="str">
        <f>IFERROR(__xludf.DUMMYFUNCTION("googletranslate(D3253,""id"",""en"")"),"So ..... no ppkm extended ... ????")</f>
        <v>So ..... no ppkm extended ... ????</v>
      </c>
    </row>
    <row r="3254" ht="15.75" customHeight="1">
      <c r="A3254" s="2">
        <v>3253.0</v>
      </c>
      <c r="B3254" s="5" t="s">
        <v>5949</v>
      </c>
      <c r="C3254" s="6">
        <v>1.0</v>
      </c>
      <c r="D3254" s="7" t="s">
        <v>5950</v>
      </c>
      <c r="E3254" s="8" t="str">
        <f>IFERROR(__xludf.DUMMYFUNCTION("googletranslate(D3254,""id"",""en"")"),"The government must be more firm, but it's kind of best. Firmly in this policy, Kyk PPKM, vaccine, and helps help is not wrong. But, the most important number: Don't be corrupted again Wooyy money country !!")</f>
        <v>The government must be more firm, but it's kind of best. Firmly in this policy, Kyk PPKM, vaccine, and helps help is not wrong. But, the most important number: Don't be corrupted again Wooyy money country !!</v>
      </c>
    </row>
    <row r="3255" ht="15.75" customHeight="1">
      <c r="A3255" s="2">
        <v>3254.0</v>
      </c>
      <c r="B3255" s="5" t="s">
        <v>5951</v>
      </c>
      <c r="C3255" s="6">
        <v>1.0</v>
      </c>
      <c r="D3255" s="7" t="s">
        <v>5952</v>
      </c>
      <c r="E3255" s="8" t="str">
        <f>IFERROR(__xludf.DUMMYFUNCTION("googletranslate(D3255,""id"",""en"")"),"Already, but because ppkm becomes distop")</f>
        <v>Already, but because ppkm becomes distop</v>
      </c>
    </row>
    <row r="3256" ht="15.75" customHeight="1">
      <c r="A3256" s="2">
        <v>3255.0</v>
      </c>
      <c r="B3256" s="5" t="s">
        <v>5953</v>
      </c>
      <c r="C3256" s="6">
        <v>1.0</v>
      </c>
      <c r="D3256" s="7" t="s">
        <v>5954</v>
      </c>
      <c r="E3256" s="8" t="str">
        <f>IFERROR(__xludf.DUMMYFUNCTION("googletranslate(D3256,""id"",""en"")"),"Emergency PPKM does not apply to WNA?")</f>
        <v>Emergency PPKM does not apply to WNA?</v>
      </c>
    </row>
    <row r="3257" ht="15.75" customHeight="1">
      <c r="A3257" s="2">
        <v>3256.0</v>
      </c>
      <c r="B3257" s="5" t="s">
        <v>5955</v>
      </c>
      <c r="C3257" s="6">
        <v>2.0</v>
      </c>
      <c r="D3257" s="9" t="s">
        <v>5956</v>
      </c>
      <c r="E3257" s="8" t="str">
        <f>IFERROR(__xludf.DUMMYFUNCTION("googletranslate(D3257,""id"",""en"")"),"If the PPKM is extended so the year you will do?")</f>
        <v>If the PPKM is extended so the year you will do?</v>
      </c>
    </row>
    <row r="3258" ht="15.75" customHeight="1">
      <c r="A3258" s="2">
        <v>3257.0</v>
      </c>
      <c r="B3258" s="5" t="s">
        <v>5957</v>
      </c>
      <c r="C3258" s="6">
        <v>1.0</v>
      </c>
      <c r="D3258" s="7" t="s">
        <v>5958</v>
      </c>
      <c r="E3258" s="8" t="str">
        <f>IFERROR(__xludf.DUMMYFUNCTION("googletranslate(D3258,""id"",""en"")"),"Just as well as the Satpol PP already this behavior, the dog emg! PPKM: Pamong Praja Kok Map ~")</f>
        <v>Just as well as the Satpol PP already this behavior, the dog emg! PPKM: Pamong Praja Kok Map ~</v>
      </c>
    </row>
    <row r="3259" ht="15.75" customHeight="1">
      <c r="A3259" s="2">
        <v>3258.0</v>
      </c>
      <c r="B3259" s="5" t="s">
        <v>5959</v>
      </c>
      <c r="C3259" s="6">
        <v>1.0</v>
      </c>
      <c r="D3259" s="9" t="s">
        <v>5959</v>
      </c>
      <c r="E3259" s="8" t="str">
        <f>IFERROR(__xludf.DUMMYFUNCTION("googletranslate(D3259,""id"",""en"")"),"Try neutral. There is a PPKM Loading Learn and Reply to Pregnant Women ... It was seen from the video Kya Udh was ahead of the officer, it seems that the officers must have mental debriefing to receive public complaints. I have to patience ... because it "&amp;"can be anything that comes out of his mouth")</f>
        <v>Try neutral. There is a PPKM Loading Learn and Reply to Pregnant Women ... It was seen from the video Kya Udh was ahead of the officer, it seems that the officers must have mental debriefing to receive public complaints. I have to patience ... because it can be anything that comes out of his mouth</v>
      </c>
    </row>
    <row r="3260" ht="15.75" customHeight="1">
      <c r="A3260" s="2">
        <v>3259.0</v>
      </c>
      <c r="B3260" s="5" t="s">
        <v>5960</v>
      </c>
      <c r="C3260" s="6">
        <v>1.0</v>
      </c>
      <c r="D3260" s="9" t="s">
        <v>5961</v>
      </c>
      <c r="E3260" s="8" t="str">
        <f>IFERROR(__xludf.DUMMYFUNCTION("googletranslate(D3260,""id"",""en"")"),"The country is difficult ... the plesiran officials for work when PPKM, tens of thousands of work from the hotel work from hotels in Bali with Harbur scattered the budget, you weve syaitonirojim")</f>
        <v>The country is difficult ... the plesiran officials for work when PPKM, tens of thousands of work from the hotel work from hotels in Bali with Harbur scattered the budget, you weve syaitonirojim</v>
      </c>
    </row>
    <row r="3261" ht="15.75" customHeight="1">
      <c r="A3261" s="2">
        <v>3260.0</v>
      </c>
      <c r="B3261" s="5" t="s">
        <v>5962</v>
      </c>
      <c r="C3261" s="6">
        <v>1.0</v>
      </c>
      <c r="D3261" s="9" t="s">
        <v>5962</v>
      </c>
      <c r="E3261" s="8" t="str">
        <f>IFERROR(__xludf.DUMMYFUNCTION("googletranslate(D3261,""id"",""en"")"),"After the first surge in the case successfully pressed down. Currently with a new Delta variant whose deployment is very fast, the implementation should be more stringent than the previous PSBB. Want to extend PPKM if there are still many mobility org2 re"&amp;"sults are less effective.")</f>
        <v>After the first surge in the case successfully pressed down. Currently with a new Delta variant whose deployment is very fast, the implementation should be more stringent than the previous PSBB. Want to extend PPKM if there are still many mobility org2 results are less effective.</v>
      </c>
    </row>
    <row r="3262" ht="15.75" customHeight="1">
      <c r="A3262" s="2">
        <v>3261.0</v>
      </c>
      <c r="B3262" s="5" t="s">
        <v>5963</v>
      </c>
      <c r="C3262" s="6">
        <v>1.0</v>
      </c>
      <c r="D3262" s="9" t="s">
        <v>5964</v>
      </c>
      <c r="E3262" s="8" t="str">
        <f>IFERROR(__xludf.DUMMYFUNCTION("googletranslate(D3262,""id"",""en"")"),"Stop Mafia Disease Should Be Proud There Is G-Nose, Before Selling Esemka No PPKM")</f>
        <v>Stop Mafia Disease Should Be Proud There Is G-Nose, Before Selling Esemka No PPKM</v>
      </c>
    </row>
    <row r="3263" ht="15.75" customHeight="1">
      <c r="A3263" s="2">
        <v>3262.0</v>
      </c>
      <c r="B3263" s="5" t="s">
        <v>5965</v>
      </c>
      <c r="C3263" s="6">
        <v>1.0</v>
      </c>
      <c r="D3263" s="7" t="s">
        <v>5966</v>
      </c>
      <c r="E3263" s="8" t="str">
        <f>IFERROR(__xludf.DUMMYFUNCTION("googletranslate(D3263,""id"",""en"")"),"It's strangely at the PPKM, how many people die ...")</f>
        <v>It's strangely at the PPKM, how many people die ...</v>
      </c>
    </row>
    <row r="3264" ht="15.75" customHeight="1">
      <c r="A3264" s="2">
        <v>3263.0</v>
      </c>
      <c r="B3264" s="5" t="s">
        <v>5967</v>
      </c>
      <c r="C3264" s="6">
        <v>1.0</v>
      </c>
      <c r="D3264" s="7" t="s">
        <v>5968</v>
      </c>
      <c r="E3264" s="8" t="str">
        <f>IFERROR(__xludf.DUMMYFUNCTION("googletranslate(D3264,""id"",""en"")"),"Do you know the son? The hardest, in the time of the PPKM you want to extend. Father must struggle to make a living, while fighting kedzoliman so that you can still live and school.")</f>
        <v>Do you know the son? The hardest, in the time of the PPKM you want to extend. Father must struggle to make a living, while fighting kedzoliman so that you can still live and school.</v>
      </c>
    </row>
    <row r="3265" ht="15.75" customHeight="1">
      <c r="A3265" s="2">
        <v>3264.0</v>
      </c>
      <c r="B3265" s="5" t="s">
        <v>5969</v>
      </c>
      <c r="C3265" s="6">
        <v>3.0</v>
      </c>
      <c r="D3265" s="7" t="s">
        <v>5970</v>
      </c>
      <c r="E3265" s="8" t="str">
        <f>IFERROR(__xludf.DUMMYFUNCTION("googletranslate(D3265,""id"",""en"")"),"Emergency Emergency PPKM Mr. President Bu, taken the move to save the lives of the Indonesian people, LBH both loses livelihoods than losing life")</f>
        <v>Emergency Emergency PPKM Mr. President Bu, taken the move to save the lives of the Indonesian people, LBH both loses livelihoods than losing life</v>
      </c>
    </row>
    <row r="3266" ht="15.75" customHeight="1">
      <c r="A3266" s="2">
        <v>3265.0</v>
      </c>
      <c r="B3266" s="5" t="s">
        <v>5971</v>
      </c>
      <c r="C3266" s="6">
        <v>1.0</v>
      </c>
      <c r="D3266" s="9" t="s">
        <v>5972</v>
      </c>
      <c r="E3266" s="8" t="str">
        <f>IFERROR(__xludf.DUMMYFUNCTION("googletranslate(D3266,""id"",""en"")"),"Annual (Jl. Soekarno-Hatta) -Jepara (Jl. Diponegoro) How Min? During the PPKM out of the house when it works, it doesn't understand everywhere the road is closed")</f>
        <v>Annual (Jl. Soekarno-Hatta) -Jepara (Jl. Diponegoro) How Min? During the PPKM out of the house when it works, it doesn't understand everywhere the road is closed</v>
      </c>
    </row>
    <row r="3267" ht="15.75" customHeight="1">
      <c r="A3267" s="2">
        <v>3266.0</v>
      </c>
      <c r="B3267" s="5" t="s">
        <v>5973</v>
      </c>
      <c r="C3267" s="6">
        <v>1.0</v>
      </c>
      <c r="D3267" s="9" t="s">
        <v>5974</v>
      </c>
      <c r="E3267" s="8" t="str">
        <f>IFERROR(__xludf.DUMMYFUNCTION("googletranslate(D3267,""id"",""en"")"),"Extends the PPKM is a cowarder of the people to eat alone and in rich in criminals told me at home without a cowardly allowance if you dare to lockdown the fee of all the needs of the people and fees, electricity, pertridge and tax we are ready to get out"&amp;" of the people")</f>
        <v>Extends the PPKM is a cowarder of the people to eat alone and in rich in criminals told me at home without a cowardly allowance if you dare to lockdown the fee of all the needs of the people and fees, electricity, pertridge and tax we are ready to get out of the people</v>
      </c>
    </row>
    <row r="3268" ht="15.75" customHeight="1">
      <c r="A3268" s="2">
        <v>3267.0</v>
      </c>
      <c r="B3268" s="5" t="s">
        <v>5975</v>
      </c>
      <c r="C3268" s="6">
        <v>1.0</v>
      </c>
      <c r="D3268" s="7" t="s">
        <v>5976</v>
      </c>
      <c r="E3268" s="8" t="str">
        <f>IFERROR(__xludf.DUMMYFUNCTION("googletranslate(D3268,""id"",""en"")"),"Ppkm may just how about hungry people and have to pay electricity, installments, pay bills etc. Is there a real assistance to the need? Sorry to take it")</f>
        <v>Ppkm may just how about hungry people and have to pay electricity, installments, pay bills etc. Is there a real assistance to the need? Sorry to take it</v>
      </c>
    </row>
    <row r="3269" ht="15.75" customHeight="1">
      <c r="A3269" s="2">
        <v>3268.0</v>
      </c>
      <c r="B3269" s="5" t="s">
        <v>5977</v>
      </c>
      <c r="C3269" s="6">
        <v>1.0</v>
      </c>
      <c r="D3269" s="7" t="s">
        <v>5978</v>
      </c>
      <c r="E3269" s="8" t="str">
        <f>IFERROR(__xludf.DUMMYFUNCTION("googletranslate(D3269,""id"",""en"")"),"PPKM officers who over acting, aka excessive as this is very prone to trigger riots in the community of small traders who are currently having hard to make a living, remember they are not robbers and thieves, only the arrogant officers")</f>
        <v>PPKM officers who over acting, aka excessive as this is very prone to trigger riots in the community of small traders who are currently having hard to make a living, remember they are not robbers and thieves, only the arrogant officers</v>
      </c>
    </row>
    <row r="3270" ht="15.75" customHeight="1">
      <c r="A3270" s="2">
        <v>3269.0</v>
      </c>
      <c r="B3270" s="5" t="s">
        <v>5979</v>
      </c>
      <c r="C3270" s="6">
        <v>1.0</v>
      </c>
      <c r="D3270" s="9" t="s">
        <v>5980</v>
      </c>
      <c r="E3270" s="8" t="str">
        <f>IFERROR(__xludf.DUMMYFUNCTION("googletranslate(D3270,""id"",""en"")"),"Disband the merchant because PPKM is not given a benefit for everyday life even in a fine of Million Hahaha Bintang Emon is also losing funny")</f>
        <v>Disband the merchant because PPKM is not given a benefit for everyday life even in a fine of Million Hahaha Bintang Emon is also losing funny</v>
      </c>
    </row>
    <row r="3271" ht="15.75" customHeight="1">
      <c r="A3271" s="2">
        <v>3270.0</v>
      </c>
      <c r="B3271" s="5" t="s">
        <v>5981</v>
      </c>
      <c r="C3271" s="6">
        <v>2.0</v>
      </c>
      <c r="D3271" s="7" t="s">
        <v>5981</v>
      </c>
      <c r="E3271" s="8" t="str">
        <f>IFERROR(__xludf.DUMMYFUNCTION("googletranslate(D3271,""id"",""en"")"),"Ppkm until when? I've missed you know!")</f>
        <v>Ppkm until when? I've missed you know!</v>
      </c>
    </row>
    <row r="3272" ht="15.75" customHeight="1">
      <c r="A3272" s="2">
        <v>3271.0</v>
      </c>
      <c r="B3272" s="5" t="s">
        <v>5982</v>
      </c>
      <c r="C3272" s="6">
        <v>2.0</v>
      </c>
      <c r="D3272" s="7" t="s">
        <v>5983</v>
      </c>
      <c r="E3272" s="8" t="str">
        <f>IFERROR(__xludf.DUMMYFUNCTION("googletranslate(D3272,""id"",""en"")"),"PPKM week all the way is closed, except the door of the repentance.")</f>
        <v>PPKM week all the way is closed, except the door of the repentance.</v>
      </c>
    </row>
    <row r="3273" ht="15.75" customHeight="1">
      <c r="A3273" s="2">
        <v>3272.0</v>
      </c>
      <c r="B3273" s="5" t="s">
        <v>5984</v>
      </c>
      <c r="C3273" s="6">
        <v>1.0</v>
      </c>
      <c r="D3273" s="9" t="s">
        <v>5985</v>
      </c>
      <c r="E3273" s="8" t="str">
        <f>IFERROR(__xludf.DUMMYFUNCTION("googletranslate(D3273,""id"",""en"")"),"PPKM works on the limit of jd sift2an, AD who enters the clock there is a hour, the funny thing is the one who enters the clock until it is still clocked. From the clock of smpe, just do it, it's the same as the employee,% y? Then what is the point of syp"&amp;"ht2an try ??")</f>
        <v>PPKM works on the limit of jd sift2an, AD who enters the clock there is a hour, the funny thing is the one who enters the clock until it is still clocked. From the clock of smpe, just do it, it's the same as the employee,% y? Then what is the point of sypht2an try ??</v>
      </c>
    </row>
    <row r="3274" ht="15.75" customHeight="1">
      <c r="A3274" s="2">
        <v>3273.0</v>
      </c>
      <c r="B3274" s="5" t="s">
        <v>5986</v>
      </c>
      <c r="C3274" s="6">
        <v>2.0</v>
      </c>
      <c r="D3274" s="9" t="s">
        <v>5987</v>
      </c>
      <c r="E3274" s="8" t="str">
        <f>IFERROR(__xludf.DUMMYFUNCTION("googletranslate(D3274,""id"",""en"")"),"Ppkmplokplokkeluke")</f>
        <v>Ppkmplokplokkeluke</v>
      </c>
    </row>
    <row r="3275" ht="15.75" customHeight="1">
      <c r="A3275" s="2">
        <v>3274.0</v>
      </c>
      <c r="B3275" s="5" t="s">
        <v>5988</v>
      </c>
      <c r="C3275" s="6">
        <v>1.0</v>
      </c>
      <c r="D3275" s="7" t="s">
        <v>5989</v>
      </c>
      <c r="E3275" s="8" t="str">
        <f>IFERROR(__xludf.DUMMYFUNCTION("googletranslate(D3275,""id"",""en"")"),"Concerned ... PPKM ... There are still many victims. Not only in RNH sick, the isan also .... almost every day there is sad news.")</f>
        <v>Concerned ... PPKM ... There are still many victims. Not only in RNH sick, the isan also .... almost every day there is sad news.</v>
      </c>
    </row>
    <row r="3276" ht="15.75" customHeight="1">
      <c r="A3276" s="2">
        <v>3275.0</v>
      </c>
      <c r="B3276" s="5" t="s">
        <v>5990</v>
      </c>
      <c r="C3276" s="6">
        <v>2.0</v>
      </c>
      <c r="D3276" s="7" t="s">
        <v>5991</v>
      </c>
      <c r="E3276" s="8" t="str">
        <f>IFERROR(__xludf.DUMMYFUNCTION("googletranslate(D3276,""id"",""en"")"),"Ppkm in Indonesia is not there?")</f>
        <v>Ppkm in Indonesia is not there?</v>
      </c>
    </row>
    <row r="3277" ht="15.75" customHeight="1">
      <c r="A3277" s="2">
        <v>3276.0</v>
      </c>
      <c r="B3277" s="5" t="s">
        <v>5992</v>
      </c>
      <c r="C3277" s="6">
        <v>1.0</v>
      </c>
      <c r="D3277" s="9" t="s">
        <v>5993</v>
      </c>
      <c r="E3277" s="8" t="str">
        <f>IFERROR(__xludf.DUMMYFUNCTION("googletranslate(D3277,""id"",""en"")"),"Where can it haven't channeled everything in a fair and evenly distributed! It's already ppkm anymore ... many work programs are half a half, set up one by one so it doesn't overlap, we also have rights, we are listed on")</f>
        <v>Where can it haven't channeled everything in a fair and evenly distributed! It's already ppkm anymore ... many work programs are half a half, set up one by one so it doesn't overlap, we also have rights, we are listed on</v>
      </c>
    </row>
    <row r="3278" ht="15.75" customHeight="1">
      <c r="A3278" s="2">
        <v>3277.0</v>
      </c>
      <c r="B3278" s="5" t="s">
        <v>5994</v>
      </c>
      <c r="C3278" s="6">
        <v>2.0</v>
      </c>
      <c r="D3278" s="7" t="s">
        <v>5995</v>
      </c>
      <c r="E3278" s="8" t="str">
        <f>IFERROR(__xludf.DUMMYFUNCTION("googletranslate(D3278,""id"",""en"")"),"Not ppkm but regional quarantine")</f>
        <v>Not ppkm but regional quarantine</v>
      </c>
    </row>
    <row r="3279" ht="15.75" customHeight="1">
      <c r="A3279" s="2">
        <v>3278.0</v>
      </c>
      <c r="B3279" s="5" t="s">
        <v>5996</v>
      </c>
      <c r="C3279" s="6">
        <v>2.0</v>
      </c>
      <c r="D3279" s="10" t="s">
        <v>5997</v>
      </c>
      <c r="E3279" s="8" t="str">
        <f>IFERROR(__xludf.DUMMYFUNCTION("googletranslate(D3279,""id"",""en"")"),"PPKM Boss")</f>
        <v>PPKM Boss</v>
      </c>
    </row>
    <row r="3280" ht="15.75" customHeight="1">
      <c r="A3280" s="2">
        <v>3279.0</v>
      </c>
      <c r="B3280" s="5" t="s">
        <v>5998</v>
      </c>
      <c r="C3280" s="6">
        <v>1.0</v>
      </c>
      <c r="D3280" s="9" t="s">
        <v>5998</v>
      </c>
      <c r="E3280" s="8" t="str">
        <f>IFERROR(__xludf.DUMMYFUNCTION("googletranslate(D3280,""id"",""en"")"),"Keep the umpteen day. Oxygen and PPKM. Gabisa reset the algorithm for a while because our needs are still around it. So yes that comes out that's all. Wes Rapopo Aki Bolone Gusti")</f>
        <v>Keep the umpteen day. Oxygen and PPKM. Gabisa reset the algorithm for a while because our needs are still around it. So yes that comes out that's all. Wes Rapopo Aki Bolone Gusti</v>
      </c>
    </row>
    <row r="3281" ht="15.75" customHeight="1">
      <c r="A3281" s="2">
        <v>3280.0</v>
      </c>
      <c r="B3281" s="5" t="s">
        <v>5999</v>
      </c>
      <c r="C3281" s="6">
        <v>1.0</v>
      </c>
      <c r="D3281" s="9" t="s">
        <v>6000</v>
      </c>
      <c r="E3281" s="8" t="str">
        <f>IFERROR(__xludf.DUMMYFUNCTION("googletranslate(D3281,""id"",""en"")"),"Ppkm shop2 lid closed ampe lebaran, the issue will be renewedyeehhhhhhblom know the appetite cave gapernah holiday")</f>
        <v>Ppkm shop2 lid closed ampe lebaran, the issue will be renewedyeehhhhhhblom know the appetite cave gapernah holiday</v>
      </c>
    </row>
    <row r="3282" ht="15.75" customHeight="1">
      <c r="A3282" s="2">
        <v>3281.0</v>
      </c>
      <c r="B3282" s="5" t="s">
        <v>6001</v>
      </c>
      <c r="C3282" s="6">
        <v>2.0</v>
      </c>
      <c r="D3282" s="7" t="s">
        <v>6002</v>
      </c>
      <c r="E3282" s="8" t="str">
        <f>IFERROR(__xludf.DUMMYFUNCTION("googletranslate(D3282,""id"",""en"")"),"Already, today is the first day of the lesson but online ... the problem is getting ppkm")</f>
        <v>Already, today is the first day of the lesson but online ... the problem is getting ppkm</v>
      </c>
    </row>
    <row r="3283" ht="15.75" customHeight="1">
      <c r="A3283" s="2">
        <v>3282.0</v>
      </c>
      <c r="B3283" s="5" t="s">
        <v>6003</v>
      </c>
      <c r="C3283" s="6">
        <v>1.0</v>
      </c>
      <c r="D3283" s="9" t="s">
        <v>6003</v>
      </c>
      <c r="E3283" s="8" t="str">
        <f>IFERROR(__xludf.DUMMYFUNCTION("googletranslate(D3283,""id"",""en"")"),"What is this, ppkm until when ?????? I've been dizzy overthinking trs this ....")</f>
        <v>What is this, ppkm until when ?????? I've been dizzy overthinking trs this ....</v>
      </c>
    </row>
    <row r="3284" ht="15.75" customHeight="1">
      <c r="A3284" s="2">
        <v>3283.0</v>
      </c>
      <c r="B3284" s="5" t="s">
        <v>6004</v>
      </c>
      <c r="C3284" s="6">
        <v>1.0</v>
      </c>
      <c r="D3284" s="9" t="s">
        <v>6005</v>
      </c>
      <c r="E3284" s="8" t="str">
        <f>IFERROR(__xludf.DUMMYFUNCTION("googletranslate(D3284,""id"",""en"")"),"Udh entered the truzz of foreign thunders")</f>
        <v>Udh entered the truzz of foreign thunders</v>
      </c>
    </row>
    <row r="3285" ht="15.75" customHeight="1">
      <c r="A3285" s="2">
        <v>3284.0</v>
      </c>
      <c r="B3285" s="5" t="s">
        <v>6006</v>
      </c>
      <c r="C3285" s="6">
        <v>2.0</v>
      </c>
      <c r="D3285" s="7" t="s">
        <v>6007</v>
      </c>
      <c r="E3285" s="8" t="str">
        <f>IFERROR(__xludf.DUMMYFUNCTION("googletranslate(D3285,""id"",""en"")"),"Regulation (...) ppkm (?) Gataau too, sorry yaaa")</f>
        <v>Regulation (...) ppkm (?) Gataau too, sorry yaaa</v>
      </c>
    </row>
    <row r="3286" ht="15.75" customHeight="1">
      <c r="A3286" s="2">
        <v>3285.0</v>
      </c>
      <c r="B3286" s="5" t="s">
        <v>6008</v>
      </c>
      <c r="C3286" s="6">
        <v>1.0</v>
      </c>
      <c r="D3286" s="7" t="s">
        <v>6009</v>
      </c>
      <c r="E3286" s="8" t="str">
        <f>IFERROR(__xludf.DUMMYFUNCTION("googletranslate(D3286,""id"",""en"")"),"Monthly money for eating actually can be economical, only because PPKM finally becomes wasteful because of the gofood / grabfood message continues")</f>
        <v>Monthly money for eating actually can be economical, only because PPKM finally becomes wasteful because of the gofood / grabfood message continues</v>
      </c>
    </row>
    <row r="3287" ht="15.75" customHeight="1">
      <c r="A3287" s="2">
        <v>3286.0</v>
      </c>
      <c r="B3287" s="5" t="s">
        <v>6010</v>
      </c>
      <c r="C3287" s="6">
        <v>1.0</v>
      </c>
      <c r="D3287" s="7" t="s">
        <v>6011</v>
      </c>
      <c r="E3287" s="8" t="str">
        <f>IFERROR(__xludf.DUMMYFUNCTION("googletranslate(D3287,""id"",""en"")"),"A shine to think about what a big demo GT opposed the PPKM and Korona Tai")</f>
        <v>A shine to think about what a big demo GT opposed the PPKM and Korona Tai</v>
      </c>
    </row>
    <row r="3288" ht="15.75" customHeight="1">
      <c r="A3288" s="2">
        <v>3287.0</v>
      </c>
      <c r="B3288" s="5" t="s">
        <v>6012</v>
      </c>
      <c r="C3288" s="6">
        <v>1.0</v>
      </c>
      <c r="D3288" s="7" t="s">
        <v>6012</v>
      </c>
      <c r="E3288" s="8" t="str">
        <f>IFERROR(__xludf.DUMMYFUNCTION("googletranslate(D3288,""id"",""en"")"),"Wake up to see the highway, if you think again in the zombie movie turns PPKM time (satisfied ko ruled)")</f>
        <v>Wake up to see the highway, if you think again in the zombie movie turns PPKM time (satisfied ko ruled)</v>
      </c>
    </row>
    <row r="3289" ht="15.75" customHeight="1">
      <c r="A3289" s="2">
        <v>3288.0</v>
      </c>
      <c r="B3289" s="5" t="s">
        <v>6013</v>
      </c>
      <c r="C3289" s="6">
        <v>1.0</v>
      </c>
      <c r="D3289" s="7" t="s">
        <v>6014</v>
      </c>
      <c r="E3289" s="8" t="str">
        <f>IFERROR(__xludf.DUMMYFUNCTION("googletranslate(D3289,""id"",""en"")"),"This is just an example of a person who is hard to find money in the time of the PPKM and there are millions of people who are in trouble ... but who make a PPKM policy where to care about it ... because the officials and bureaucratic lives are borne by t"&amp;"he state try the salary of their salary psti Want PPKM.")</f>
        <v>This is just an example of a person who is hard to find money in the time of the PPKM and there are millions of people who are in trouble ... but who make a PPKM policy where to care about it ... because the officials and bureaucratic lives are borne by the state try the salary of their salary psti Want PPKM.</v>
      </c>
    </row>
    <row r="3290" ht="15.75" customHeight="1">
      <c r="A3290" s="2">
        <v>3289.0</v>
      </c>
      <c r="B3290" s="5" t="s">
        <v>6015</v>
      </c>
      <c r="C3290" s="6">
        <v>1.0</v>
      </c>
      <c r="D3290" s="9" t="s">
        <v>6016</v>
      </c>
      <c r="E3290" s="8" t="str">
        <f>IFERROR(__xludf.DUMMYFUNCTION("googletranslate(D3290,""id"",""en"")"),"In my opinion, to break the chain of transmission of Covid19 with WFH total weeks no activity outside the house and all food clothing needs are fulfilled better than the PPKM of a diagter that makes tired of all parties.")</f>
        <v>In my opinion, to break the chain of transmission of Covid19 with WFH total weeks no activity outside the house and all food clothing needs are fulfilled better than the PPKM of a diagter that makes tired of all parties.</v>
      </c>
    </row>
    <row r="3291" ht="15.75" customHeight="1">
      <c r="A3291" s="2">
        <v>3290.0</v>
      </c>
      <c r="B3291" s="5" t="s">
        <v>6017</v>
      </c>
      <c r="C3291" s="6">
        <v>3.0</v>
      </c>
      <c r="D3291" s="9" t="s">
        <v>6018</v>
      </c>
      <c r="E3291" s="8" t="str">
        <f>IFERROR(__xludf.DUMMYFUNCTION("googletranslate(D3291,""id"",""en"")"),"Good morning. PPKM Day-13. Hopefully bear fruit. Always maintain health")</f>
        <v>Good morning. PPKM Day-13. Hopefully bear fruit. Always maintain health</v>
      </c>
    </row>
    <row r="3292" ht="15.75" customHeight="1">
      <c r="A3292" s="2">
        <v>3291.0</v>
      </c>
      <c r="B3292" s="5" t="s">
        <v>6019</v>
      </c>
      <c r="C3292" s="6">
        <v>1.0</v>
      </c>
      <c r="D3292" s="7" t="s">
        <v>6019</v>
      </c>
      <c r="E3292" s="8" t="str">
        <f>IFERROR(__xludf.DUMMYFUNCTION("googletranslate(D3292,""id"",""en"")"),"President Ame ranks the communist cine regime, ready ""aje dah kite ppkm (slowly slowly kite dead)")</f>
        <v>President Ame ranks the communist cine regime, ready "aje dah kite ppkm (slowly slowly kite dead)</v>
      </c>
    </row>
    <row r="3293" ht="15.75" customHeight="1">
      <c r="A3293" s="2">
        <v>3292.0</v>
      </c>
      <c r="B3293" s="5" t="s">
        <v>6020</v>
      </c>
      <c r="C3293" s="6">
        <v>1.0</v>
      </c>
      <c r="D3293" s="7" t="s">
        <v>6020</v>
      </c>
      <c r="E3293" s="8" t="str">
        <f>IFERROR(__xludf.DUMMYFUNCTION("googletranslate(D3293,""id"",""en"")"),"I'm still surprising as long as the PPKM can't eat in place and shouldn't go crowding why with the Satpol PP side comes with a crowded and crowding ??? Remember that your Satpol PP pack is clustered so don't blame the people if the people are clerk")</f>
        <v>I'm still surprising as long as the PPKM can't eat in place and shouldn't go crowding why with the Satpol PP side comes with a crowded and crowding ??? Remember that your Satpol PP pack is clustered so don't blame the people if the people are clerk</v>
      </c>
    </row>
    <row r="3294" ht="15.75" customHeight="1">
      <c r="A3294" s="2">
        <v>3293.0</v>
      </c>
      <c r="B3294" s="5" t="s">
        <v>6021</v>
      </c>
      <c r="C3294" s="6">
        <v>1.0</v>
      </c>
      <c r="D3294" s="7" t="s">
        <v>6022</v>
      </c>
      <c r="E3294" s="8" t="str">
        <f>IFERROR(__xludf.DUMMYFUNCTION("googletranslate(D3294,""id"",""en"")"),"Corona ... conspiracy of the engineering of funds..rakyat not guaranteed his life. All at home. How come you can work Bong.")</f>
        <v>Corona ... conspiracy of the engineering of funds..rakyat not guaranteed his life. All at home. How come you can work Bong.</v>
      </c>
    </row>
    <row r="3295" ht="15.75" customHeight="1">
      <c r="A3295" s="2">
        <v>3294.0</v>
      </c>
      <c r="B3295" s="5" t="s">
        <v>6023</v>
      </c>
      <c r="C3295" s="6">
        <v>1.0</v>
      </c>
      <c r="D3295" s="9" t="s">
        <v>6024</v>
      </c>
      <c r="E3295" s="8" t="str">
        <f>IFERROR(__xludf.DUMMYFUNCTION("googletranslate(D3295,""id"",""en"")"),"Yes, Pak just remember that the PPKM was the enactment of restrictions on community activities, the people were not officials")</f>
        <v>Yes, Pak just remember that the PPKM was the enactment of restrictions on community activities, the people were not officials</v>
      </c>
    </row>
    <row r="3296" ht="15.75" customHeight="1">
      <c r="A3296" s="2">
        <v>3295.0</v>
      </c>
      <c r="B3296" s="5" t="s">
        <v>6025</v>
      </c>
      <c r="C3296" s="6">
        <v>2.0</v>
      </c>
      <c r="D3296" s="7" t="s">
        <v>6026</v>
      </c>
      <c r="E3296" s="8" t="str">
        <f>IFERROR(__xludf.DUMMYFUNCTION("googletranslate(D3296,""id"",""en"")"),"Yes, but right ppkm dated")</f>
        <v>Yes, but right ppkm dated</v>
      </c>
    </row>
    <row r="3297" ht="15.75" customHeight="1">
      <c r="A3297" s="2">
        <v>3296.0</v>
      </c>
      <c r="B3297" s="5" t="s">
        <v>6027</v>
      </c>
      <c r="C3297" s="6">
        <v>2.0</v>
      </c>
      <c r="D3297" s="9" t="s">
        <v>6028</v>
      </c>
      <c r="E3297" s="8" t="str">
        <f>IFERROR(__xludf.DUMMYFUNCTION("googletranslate(D3297,""id"",""en"")"),"If the ppkm has finished having to be sunmory, to the safari park, to Bromo, to the beach, and coffee lg")</f>
        <v>If the ppkm has finished having to be sunmory, to the safari park, to Bromo, to the beach, and coffee lg</v>
      </c>
    </row>
    <row r="3298" ht="15.75" customHeight="1">
      <c r="A3298" s="2">
        <v>3297.0</v>
      </c>
      <c r="B3298" s="5" t="s">
        <v>6029</v>
      </c>
      <c r="C3298" s="6">
        <v>2.0</v>
      </c>
      <c r="D3298" s="9" t="s">
        <v>6030</v>
      </c>
      <c r="E3298" s="8" t="str">
        <f>IFERROR(__xludf.DUMMYFUNCTION("googletranslate(D3298,""id"",""en"")"),"Again ppkm mbak ntr if I widened the invitation there came the police station PP with Hansip")</f>
        <v>Again ppkm mbak ntr if I widened the invitation there came the police station PP with Hansip</v>
      </c>
    </row>
    <row r="3299" ht="15.75" customHeight="1">
      <c r="A3299" s="2">
        <v>3298.0</v>
      </c>
      <c r="B3299" s="5" t="s">
        <v>6031</v>
      </c>
      <c r="C3299" s="6">
        <v>1.0</v>
      </c>
      <c r="D3299" s="7" t="s">
        <v>6032</v>
      </c>
      <c r="E3299" s="8" t="str">
        <f>IFERROR(__xludf.DUMMYFUNCTION("googletranslate(D3299,""id"",""en"")"),"Afraid of student movements until it extends the PPKN ... eh ppkm ...")</f>
        <v>Afraid of student movements until it extends the PPKN ... eh ppkm ...</v>
      </c>
    </row>
    <row r="3300" ht="15.75" customHeight="1">
      <c r="A3300" s="2">
        <v>3299.0</v>
      </c>
      <c r="B3300" s="5" t="s">
        <v>6033</v>
      </c>
      <c r="C3300" s="6">
        <v>1.0</v>
      </c>
      <c r="D3300" s="7" t="s">
        <v>6034</v>
      </c>
      <c r="E3300" s="8" t="str">
        <f>IFERROR(__xludf.DUMMYFUNCTION("googletranslate(D3300,""id"",""en"")"),"Because it is not a quarantine of the region but PPKM Darurot. Auto article is not valid.")</f>
        <v>Because it is not a quarantine of the region but PPKM Darurot. Auto article is not valid.</v>
      </c>
    </row>
    <row r="3301" ht="15.75" customHeight="1">
      <c r="A3301" s="2">
        <v>3300.0</v>
      </c>
      <c r="B3301" s="5" t="s">
        <v>6035</v>
      </c>
      <c r="C3301" s="6">
        <v>1.0</v>
      </c>
      <c r="D3301" s="7" t="s">
        <v>6036</v>
      </c>
      <c r="E3301" s="8" t="str">
        <f>IFERROR(__xludf.DUMMYFUNCTION("googletranslate(D3301,""id"",""en"")"),"Now the problem they can't read the rules well, it's the turn of the people who get angry, so far many ways that are not civilized at this PPKM")</f>
        <v>Now the problem they can't read the rules well, it's the turn of the people who get angry, so far many ways that are not civilized at this PPKM</v>
      </c>
    </row>
    <row r="3302" ht="15.75" customHeight="1">
      <c r="A3302" s="2">
        <v>3301.0</v>
      </c>
      <c r="B3302" s="5" t="s">
        <v>6037</v>
      </c>
      <c r="C3302" s="6">
        <v>1.0</v>
      </c>
      <c r="D3302" s="7" t="s">
        <v>6037</v>
      </c>
      <c r="E3302" s="8" t="str">
        <f>IFERROR(__xludf.DUMMYFUNCTION("googletranslate(D3302,""id"",""en"")"),"Bertrylyun Development Projects can, Bansos are corrupted, the cost of eating the People's Gabisa. But I want to quarantine the guise of PPKM.")</f>
        <v>Bertrylyun Development Projects can, Bansos are corrupted, the cost of eating the People's Gabisa. But I want to quarantine the guise of PPKM.</v>
      </c>
    </row>
    <row r="3303" ht="15.75" customHeight="1">
      <c r="A3303" s="2">
        <v>3302.0</v>
      </c>
      <c r="B3303" s="5" t="s">
        <v>6038</v>
      </c>
      <c r="C3303" s="6">
        <v>2.0</v>
      </c>
      <c r="D3303" s="7" t="s">
        <v>6039</v>
      </c>
      <c r="E3303" s="8" t="str">
        <f>IFERROR(__xludf.DUMMYFUNCTION("googletranslate(D3303,""id"",""en"")"),"Hooh is his agency again PPKM, Maybe quarter")</f>
        <v>Hooh is his agency again PPKM, Maybe quarter</v>
      </c>
    </row>
    <row r="3304" ht="15.75" customHeight="1">
      <c r="A3304" s="2">
        <v>3303.0</v>
      </c>
      <c r="B3304" s="5" t="s">
        <v>6040</v>
      </c>
      <c r="C3304" s="6">
        <v>2.0</v>
      </c>
      <c r="D3304" s="7" t="s">
        <v>6041</v>
      </c>
      <c r="E3304" s="8" t="str">
        <f>IFERROR(__xludf.DUMMYFUNCTION("googletranslate(D3304,""id"",""en"")"),"PPKmpanlan surely we want")</f>
        <v>PPKmpanlan surely we want</v>
      </c>
    </row>
    <row r="3305" ht="15.75" customHeight="1">
      <c r="A3305" s="2">
        <v>3304.0</v>
      </c>
      <c r="B3305" s="5" t="s">
        <v>6042</v>
      </c>
      <c r="C3305" s="6">
        <v>1.0</v>
      </c>
      <c r="D3305" s="7" t="s">
        <v>6043</v>
      </c>
      <c r="E3305" s="8" t="str">
        <f>IFERROR(__xludf.DUMMYFUNCTION("googletranslate(D3305,""id"",""en"")"),"PPKM, at home, the street is closed, communal space is closed ......... death lights during working hours. Surely")</f>
        <v>PPKM, at home, the street is closed, communal space is closed ......... death lights during working hours. Surely</v>
      </c>
    </row>
    <row r="3306" ht="15.75" customHeight="1">
      <c r="A3306" s="2">
        <v>3305.0</v>
      </c>
      <c r="B3306" s="5" t="s">
        <v>6044</v>
      </c>
      <c r="C3306" s="6">
        <v>2.0</v>
      </c>
      <c r="D3306" s="7" t="s">
        <v>6045</v>
      </c>
      <c r="E3306" s="8" t="str">
        <f>IFERROR(__xludf.DUMMYFUNCTION("googletranslate(D3306,""id"",""en"")"),"Day-13 PPKM: Where have you been with the mattress?")</f>
        <v>Day-13 PPKM: Where have you been with the mattress?</v>
      </c>
    </row>
    <row r="3307" ht="15.75" customHeight="1">
      <c r="A3307" s="2">
        <v>3306.0</v>
      </c>
      <c r="B3307" s="5" t="s">
        <v>6046</v>
      </c>
      <c r="C3307" s="6">
        <v>2.0</v>
      </c>
      <c r="D3307" s="7" t="s">
        <v>6047</v>
      </c>
      <c r="E3307" s="8" t="str">
        <f>IFERROR(__xludf.DUMMYFUNCTION("googletranslate(D3307,""id"",""en"")"),"PPKM extended until Dikikan Ceunah Euy")</f>
        <v>PPKM extended until Dikikan Ceunah Euy</v>
      </c>
    </row>
    <row r="3308" ht="15.75" customHeight="1">
      <c r="A3308" s="2">
        <v>3307.0</v>
      </c>
      <c r="B3308" s="5" t="s">
        <v>6048</v>
      </c>
      <c r="C3308" s="6">
        <v>1.0</v>
      </c>
      <c r="D3308" s="9" t="s">
        <v>6049</v>
      </c>
      <c r="E3308" s="8" t="str">
        <f>IFERROR(__xludf.DUMMYFUNCTION("googletranslate(D3308,""id"",""en"")"),"They know the PPKM ended in July, so there was a little chance for them for a rowdy demonstration, they could have to be patient until July, but they didn't expect the PPKM to just want to bring down the President. SY agreed if it ended, it was not July")</f>
        <v>They know the PPKM ended in July, so there was a little chance for them for a rowdy demonstration, they could have to be patient until July, but they didn't expect the PPKM to just want to bring down the President. SY agreed if it ended, it was not July</v>
      </c>
    </row>
    <row r="3309" ht="15.75" customHeight="1">
      <c r="A3309" s="2">
        <v>3308.0</v>
      </c>
      <c r="B3309" s="5" t="s">
        <v>6050</v>
      </c>
      <c r="C3309" s="6">
        <v>1.0</v>
      </c>
      <c r="D3309" s="7" t="s">
        <v>6051</v>
      </c>
      <c r="E3309" s="8" t="str">
        <f>IFERROR(__xludf.DUMMYFUNCTION("googletranslate(D3309,""id"",""en"")"),"Small people cry with PPKM")</f>
        <v>Small people cry with PPKM</v>
      </c>
    </row>
    <row r="3310" ht="15.75" customHeight="1">
      <c r="A3310" s="2">
        <v>3309.0</v>
      </c>
      <c r="B3310" s="5" t="s">
        <v>6052</v>
      </c>
      <c r="C3310" s="6">
        <v>1.0</v>
      </c>
      <c r="D3310" s="7" t="s">
        <v>6053</v>
      </c>
      <c r="E3310" s="8" t="str">
        <f>IFERROR(__xludf.DUMMYFUNCTION("googletranslate(D3310,""id"",""en"")"),"The bitter coffee doesn't hurt hearing the news of the PPKM extended")</f>
        <v>The bitter coffee doesn't hurt hearing the news of the PPKM extended</v>
      </c>
    </row>
    <row r="3311" ht="15.75" customHeight="1">
      <c r="A3311" s="2">
        <v>3310.0</v>
      </c>
      <c r="B3311" s="5" t="s">
        <v>6054</v>
      </c>
      <c r="C3311" s="6">
        <v>2.0</v>
      </c>
      <c r="D3311" s="10" t="s">
        <v>6055</v>
      </c>
      <c r="E3311" s="8" t="str">
        <f>IFERROR(__xludf.DUMMYFUNCTION("googletranslate(D3311,""id"",""en"")"),"Get ppkm")</f>
        <v>Get ppkm</v>
      </c>
    </row>
    <row r="3312" ht="15.75" customHeight="1">
      <c r="A3312" s="2">
        <v>3311.0</v>
      </c>
      <c r="B3312" s="5" t="s">
        <v>6056</v>
      </c>
      <c r="C3312" s="6">
        <v>2.0</v>
      </c>
      <c r="D3312" s="7" t="s">
        <v>6057</v>
      </c>
      <c r="E3312" s="8" t="str">
        <f>IFERROR(__xludf.DUMMYFUNCTION("googletranslate(D3312,""id"",""en"")"),"Can't you open the recitation again PPKM /?")</f>
        <v>Can't you open the recitation again PPKM /?</v>
      </c>
    </row>
    <row r="3313" ht="15.75" customHeight="1">
      <c r="A3313" s="2">
        <v>3312.0</v>
      </c>
      <c r="B3313" s="5" t="s">
        <v>6058</v>
      </c>
      <c r="C3313" s="6">
        <v>1.0</v>
      </c>
      <c r="D3313" s="9" t="s">
        <v>6059</v>
      </c>
      <c r="E3313" s="8" t="str">
        <f>IFERROR(__xludf.DUMMYFUNCTION("googletranslate(D3313,""id"",""en"")"),"Mmg Jahad, the Indonesian opposition politician Mrs. Dok, which in his brain cm demo2 made a new cluster. I don't think about the life of her nakes, it's actually what is what is thinking about, the proof extends the PPKM. The spirit of Mrs., work and sur"&amp;"render sincerely to God")</f>
        <v>Mmg Jahad, the Indonesian opposition politician Mrs. Dok, which in his brain cm demo2 made a new cluster. I don't think about the life of her nakes, it's actually what is what is thinking about, the proof extends the PPKM. The spirit of Mrs., work and surrender sincerely to God</v>
      </c>
    </row>
    <row r="3314" ht="15.75" customHeight="1">
      <c r="A3314" s="2">
        <v>3313.0</v>
      </c>
      <c r="B3314" s="5" t="s">
        <v>6060</v>
      </c>
      <c r="C3314" s="6">
        <v>1.0</v>
      </c>
      <c r="D3314" s="9" t="s">
        <v>6060</v>
      </c>
      <c r="E3314" s="8" t="str">
        <f>IFERROR(__xludf.DUMMYFUNCTION("googletranslate(D3314,""id"",""en"")"),"This is a friend, why is it very close to marriage when PPKM gini. If the contract is gpp, this is also the same as the recipe for everything. I'm really afraid of it")</f>
        <v>This is a friend, why is it very close to marriage when PPKM gini. If the contract is gpp, this is also the same as the recipe for everything. I'm really afraid of it</v>
      </c>
    </row>
    <row r="3315" ht="15.75" customHeight="1">
      <c r="A3315" s="2">
        <v>3314.0</v>
      </c>
      <c r="B3315" s="5" t="s">
        <v>6061</v>
      </c>
      <c r="C3315" s="6">
        <v>2.0</v>
      </c>
      <c r="D3315" s="7" t="s">
        <v>6062</v>
      </c>
      <c r="E3315" s="8" t="str">
        <f>IFERROR(__xludf.DUMMYFUNCTION("googletranslate(D3315,""id"",""en"")"),"I am as the parking attendant to leave for work and maintain health because the deposit is required when PPKM")</f>
        <v>I am as the parking attendant to leave for work and maintain health because the deposit is required when PPKM</v>
      </c>
    </row>
    <row r="3316" ht="15.75" customHeight="1">
      <c r="A3316" s="2">
        <v>3315.0</v>
      </c>
      <c r="B3316" s="5" t="s">
        <v>6063</v>
      </c>
      <c r="C3316" s="6">
        <v>2.0</v>
      </c>
      <c r="D3316" s="7" t="s">
        <v>6064</v>
      </c>
      <c r="E3316" s="8" t="str">
        <f>IFERROR(__xludf.DUMMYFUNCTION("googletranslate(D3316,""id"",""en"")"),"PPKMPAGI morning I miss you")</f>
        <v>PPKMPAGI morning I miss you</v>
      </c>
    </row>
    <row r="3317" ht="15.75" customHeight="1">
      <c r="A3317" s="2">
        <v>3316.0</v>
      </c>
      <c r="B3317" s="5" t="s">
        <v>6065</v>
      </c>
      <c r="C3317" s="6">
        <v>2.0</v>
      </c>
      <c r="D3317" s="7" t="s">
        <v>6066</v>
      </c>
      <c r="E3317" s="8" t="str">
        <f>IFERROR(__xludf.DUMMYFUNCTION("googletranslate(D3317,""id"",""en"")"),"Until PPKM finished mol")</f>
        <v>Until PPKM finished mol</v>
      </c>
    </row>
    <row r="3318" ht="15.75" customHeight="1">
      <c r="A3318" s="2">
        <v>3317.0</v>
      </c>
      <c r="B3318" s="5" t="s">
        <v>6067</v>
      </c>
      <c r="C3318" s="6">
        <v>2.0</v>
      </c>
      <c r="D3318" s="7" t="s">
        <v>6067</v>
      </c>
      <c r="E3318" s="8" t="str">
        <f>IFERROR(__xludf.DUMMYFUNCTION("googletranslate(D3318,""id"",""en"")"),"What is the PDKT that I know only PSBB and PPKM ...")</f>
        <v>What is the PDKT that I know only PSBB and PPKM ...</v>
      </c>
    </row>
    <row r="3319" ht="15.75" customHeight="1">
      <c r="A3319" s="2">
        <v>3318.0</v>
      </c>
      <c r="B3319" s="5" t="s">
        <v>6068</v>
      </c>
      <c r="C3319" s="6">
        <v>1.0</v>
      </c>
      <c r="D3319" s="7" t="s">
        <v>6069</v>
      </c>
      <c r="E3319" s="8" t="str">
        <f>IFERROR(__xludf.DUMMYFUNCTION("googletranslate(D3319,""id"",""en"")"),"When will this PPKM end ... we need work, you need to eat, you need to pay rent a house ... I'm afraid to die because of hunger")</f>
        <v>When will this PPKM end ... we need work, you need to eat, you need to pay rent a house ... I'm afraid to die because of hunger</v>
      </c>
    </row>
    <row r="3320" ht="15.75" customHeight="1">
      <c r="A3320" s="2">
        <v>3319.0</v>
      </c>
      <c r="B3320" s="5" t="s">
        <v>6070</v>
      </c>
      <c r="C3320" s="6">
        <v>2.0</v>
      </c>
      <c r="D3320" s="7" t="s">
        <v>6071</v>
      </c>
      <c r="E3320" s="8" t="str">
        <f>IFERROR(__xludf.DUMMYFUNCTION("googletranslate(D3320,""id"",""en"")"),"iyaaaa abis ppkm yaaaa obliged yola bone yola yola yaaaa so but there is the meat of the bone so eat the meat just the bones are lepeh")</f>
        <v>iyaaaa abis ppkm yaaaa obliged yola bone yola yola yaaaa so but there is the meat of the bone so eat the meat just the bones are lepeh</v>
      </c>
    </row>
    <row r="3321" ht="15.75" customHeight="1">
      <c r="A3321" s="2">
        <v>3320.0</v>
      </c>
      <c r="B3321" s="5" t="s">
        <v>6072</v>
      </c>
      <c r="C3321" s="6">
        <v>1.0</v>
      </c>
      <c r="D3321" s="7" t="s">
        <v>6073</v>
      </c>
      <c r="E3321" s="8" t="str">
        <f>IFERROR(__xludf.DUMMYFUNCTION("googletranslate(D3321,""id"",""en"")"),"obliged to retreat jeduanyalahapi how is the ppkm lord")</f>
        <v>obliged to retreat jeduanyalahapi how is the ppkm lord</v>
      </c>
    </row>
    <row r="3322" ht="15.75" customHeight="1">
      <c r="A3322" s="2">
        <v>3321.0</v>
      </c>
      <c r="B3322" s="5" t="s">
        <v>6074</v>
      </c>
      <c r="C3322" s="6">
        <v>2.0</v>
      </c>
      <c r="D3322" s="10" t="s">
        <v>3179</v>
      </c>
      <c r="E3322" s="8" t="str">
        <f>IFERROR(__xludf.DUMMYFUNCTION("googletranslate(D3322,""id"",""en"")"),"PPKM effect")</f>
        <v>PPKM effect</v>
      </c>
    </row>
    <row r="3323" ht="15.75" customHeight="1">
      <c r="A3323" s="2">
        <v>3322.0</v>
      </c>
      <c r="B3323" s="5" t="s">
        <v>6075</v>
      </c>
      <c r="C3323" s="6">
        <v>3.0</v>
      </c>
      <c r="D3323" s="9" t="s">
        <v>6076</v>
      </c>
      <c r="E3323" s="8" t="str">
        <f>IFERROR(__xludf.DUMMYFUNCTION("googletranslate(D3323,""id"",""en"")"),"Positive thinking for PPKM / Lockdown so that the Republic of Indonesia's economy skyrocketed")</f>
        <v>Positive thinking for PPKM / Lockdown so that the Republic of Indonesia's economy skyrocketed</v>
      </c>
    </row>
    <row r="3324" ht="15.75" customHeight="1">
      <c r="A3324" s="2">
        <v>3323.0</v>
      </c>
      <c r="B3324" s="5" t="s">
        <v>6077</v>
      </c>
      <c r="C3324" s="6">
        <v>3.0</v>
      </c>
      <c r="D3324" s="9" t="s">
        <v>6078</v>
      </c>
      <c r="E3324" s="8" t="str">
        <f>IFERROR(__xludf.DUMMYFUNCTION("googletranslate(D3324,""id"",""en"")"),"Do it ... then it's the mo of Beteman ... Who urges RI Apply strict restrictions after PPKM is loosened")</f>
        <v>Do it ... then it's the mo of Beteman ... Who urges RI Apply strict restrictions after PPKM is loosened</v>
      </c>
    </row>
    <row r="3325" ht="15.75" customHeight="1">
      <c r="A3325" s="2">
        <v>3324.0</v>
      </c>
      <c r="B3325" s="5" t="s">
        <v>6079</v>
      </c>
      <c r="C3325" s="6">
        <v>2.0</v>
      </c>
      <c r="D3325" s="7" t="s">
        <v>6080</v>
      </c>
      <c r="E3325" s="8" t="str">
        <f>IFERROR(__xludf.DUMMYFUNCTION("googletranslate(D3325,""id"",""en"")"),"Coffee ppkm on the terrace")</f>
        <v>Coffee ppkm on the terrace</v>
      </c>
    </row>
    <row r="3326" ht="15.75" customHeight="1">
      <c r="A3326" s="2">
        <v>3325.0</v>
      </c>
      <c r="B3326" s="5" t="s">
        <v>6081</v>
      </c>
      <c r="C3326" s="6">
        <v>1.0</v>
      </c>
      <c r="D3326" s="7" t="s">
        <v>6082</v>
      </c>
      <c r="E3326" s="8" t="str">
        <f>IFERROR(__xludf.DUMMYFUNCTION("googletranslate(D3326,""id"",""en"")"),"Rich Metro TV, MSLH PPKM leads the opinion that the wrong head area")</f>
        <v>Rich Metro TV, MSLH PPKM leads the opinion that the wrong head area</v>
      </c>
    </row>
    <row r="3327" ht="15.75" customHeight="1">
      <c r="A3327" s="2">
        <v>3326.0</v>
      </c>
      <c r="B3327" s="5" t="s">
        <v>6083</v>
      </c>
      <c r="C3327" s="6">
        <v>1.0</v>
      </c>
      <c r="D3327" s="9" t="s">
        <v>6084</v>
      </c>
      <c r="E3327" s="8" t="str">
        <f>IFERROR(__xludf.DUMMYFUNCTION("googletranslate(D3327,""id"",""en"")"),"Easy way for foreigners who may not get out of Indonesia is to break the PPKM command. You will be deported by immigration.")</f>
        <v>Easy way for foreigners who may not get out of Indonesia is to break the PPKM command. You will be deported by immigration.</v>
      </c>
    </row>
    <row r="3328" ht="15.75" customHeight="1">
      <c r="A3328" s="2">
        <v>3327.0</v>
      </c>
      <c r="B3328" s="5" t="s">
        <v>6085</v>
      </c>
      <c r="C3328" s="6">
        <v>2.0</v>
      </c>
      <c r="D3328" s="7" t="s">
        <v>6086</v>
      </c>
      <c r="E3328" s="8" t="str">
        <f>IFERROR(__xludf.DUMMYFUNCTION("googletranslate(D3328,""id"",""en"")"),"You know, not PPKM?")</f>
        <v>You know, not PPKM?</v>
      </c>
    </row>
    <row r="3329" ht="15.75" customHeight="1">
      <c r="A3329" s="2">
        <v>3328.0</v>
      </c>
      <c r="B3329" s="5" t="s">
        <v>6087</v>
      </c>
      <c r="C3329" s="6">
        <v>1.0</v>
      </c>
      <c r="D3329" s="9" t="s">
        <v>6088</v>
      </c>
      <c r="E3329" s="8" t="str">
        <f>IFERROR(__xludf.DUMMYFUNCTION("googletranslate(D3329,""id"",""en"")"),"Really this. Because of this rich people, the PPKM is extended to the mulu aim and troubles the people who need to work")</f>
        <v>Really this. Because of this rich people, the PPKM is extended to the mulu aim and troubles the people who need to work</v>
      </c>
    </row>
    <row r="3330" ht="15.75" customHeight="1">
      <c r="A3330" s="2">
        <v>3329.0</v>
      </c>
      <c r="B3330" s="5" t="s">
        <v>6089</v>
      </c>
      <c r="C3330" s="6">
        <v>3.0</v>
      </c>
      <c r="D3330" s="9" t="s">
        <v>6090</v>
      </c>
      <c r="E3330" s="8" t="str">
        <f>IFERROR(__xludf.DUMMYFUNCTION("googletranslate(D3330,""id"",""en"")"),"Congratulations on their achievements, it's not SIA2 Rename Quarantine / Lockdown to PSBB or PPKM ...")</f>
        <v>Congratulations on their achievements, it's not SIA2 Rename Quarantine / Lockdown to PSBB or PPKM ...</v>
      </c>
    </row>
    <row r="3331" ht="15.75" customHeight="1">
      <c r="A3331" s="2">
        <v>3330.0</v>
      </c>
      <c r="B3331" s="5" t="s">
        <v>6091</v>
      </c>
      <c r="C3331" s="6">
        <v>1.0</v>
      </c>
      <c r="D3331" s="7" t="s">
        <v>6092</v>
      </c>
      <c r="E3331" s="8" t="str">
        <f>IFERROR(__xludf.DUMMYFUNCTION("googletranslate(D3331,""id"",""en"")"),"State Laen Uda This is still busy with the term PSBB Micro Macro PPKM Level -")</f>
        <v>State Laen Uda This is still busy with the term PSBB Micro Macro PPKM Level -</v>
      </c>
    </row>
    <row r="3332" ht="15.75" customHeight="1">
      <c r="A3332" s="2">
        <v>3331.0</v>
      </c>
      <c r="B3332" s="5" t="s">
        <v>6093</v>
      </c>
      <c r="C3332" s="6">
        <v>3.0</v>
      </c>
      <c r="D3332" s="7" t="s">
        <v>6094</v>
      </c>
      <c r="E3332" s="8" t="str">
        <f>IFERROR(__xludf.DUMMYFUNCTION("googletranslate(D3332,""id"",""en"")"),"The community can still sell by obeying the health protocol. And the purpose of the PPKM is to reduce the positive number of Covid-19.")</f>
        <v>The community can still sell by obeying the health protocol. And the purpose of the PPKM is to reduce the positive number of Covid-19.</v>
      </c>
    </row>
    <row r="3333" ht="15.75" customHeight="1">
      <c r="A3333" s="2">
        <v>3332.0</v>
      </c>
      <c r="B3333" s="5" t="s">
        <v>6095</v>
      </c>
      <c r="C3333" s="6">
        <v>3.0</v>
      </c>
      <c r="D3333" s="7" t="s">
        <v>6096</v>
      </c>
      <c r="E3333" s="8" t="str">
        <f>IFERROR(__xludf.DUMMYFUNCTION("googletranslate(D3333,""id"",""en"")"),"The micro is right. Because this is like this can suppress the copit transmission. Moreover, the Jokowi government prepares social safety nets in the form of social assistance to various groups of efforts to hold this Dr PPKM effect.")</f>
        <v>The micro is right. Because this is like this can suppress the copit transmission. Moreover, the Jokowi government prepares social safety nets in the form of social assistance to various groups of efforts to hold this Dr PPKM effect.</v>
      </c>
    </row>
    <row r="3334" ht="15.75" customHeight="1">
      <c r="A3334" s="2">
        <v>3333.0</v>
      </c>
      <c r="B3334" s="5" t="s">
        <v>6097</v>
      </c>
      <c r="C3334" s="6">
        <v>1.0</v>
      </c>
      <c r="D3334" s="9" t="s">
        <v>6097</v>
      </c>
      <c r="E3334" s="8" t="str">
        <f>IFERROR(__xludf.DUMMYFUNCTION("googletranslate(D3334,""id"",""en"")"),"Watching news this morning, then seeing in a daeraj citizen brings with the ppkm until ngibarin putih flag, reflex I cry: ""the end of this emotional bgt, bad conditions are bad everywhere, so it's easy to cry")</f>
        <v>Watching news this morning, then seeing in a daeraj citizen brings with the ppkm until ngibarin putih flag, reflex I cry: "the end of this emotional bgt, bad conditions are bad everywhere, so it's easy to cry</v>
      </c>
    </row>
    <row r="3335" ht="15.75" customHeight="1">
      <c r="A3335" s="2">
        <v>3334.0</v>
      </c>
      <c r="B3335" s="5" t="s">
        <v>6098</v>
      </c>
      <c r="C3335" s="6">
        <v>2.0</v>
      </c>
      <c r="D3335" s="7" t="s">
        <v>6099</v>
      </c>
      <c r="E3335" s="8" t="str">
        <f>IFERROR(__xludf.DUMMYFUNCTION("googletranslate(D3335,""id"",""en"")"),"PPKM Day to Bank Nytonika")</f>
        <v>PPKM Day to Bank Nytonika</v>
      </c>
    </row>
    <row r="3336" ht="15.75" customHeight="1">
      <c r="A3336" s="2">
        <v>3335.0</v>
      </c>
      <c r="B3336" s="5" t="s">
        <v>6100</v>
      </c>
      <c r="C3336" s="6">
        <v>1.0</v>
      </c>
      <c r="D3336" s="9" t="s">
        <v>6101</v>
      </c>
      <c r="E3336" s="8" t="str">
        <f>IFERROR(__xludf.DUMMYFUNCTION("googletranslate(D3336,""id"",""en"")"),"The problem is PD Pak Luhut himself as the one who made Corona increased because of the beginning of the pandemic, he continued to bring Chinese TKA to Emergency PPKM for the sake of investment, the people did not ever feel the results of the investment.")</f>
        <v>The problem is PD Pak Luhut himself as the one who made Corona increased because of the beginning of the pandemic, he continued to bring Chinese TKA to Emergency PPKM for the sake of investment, the people did not ever feel the results of the investment.</v>
      </c>
    </row>
    <row r="3337" ht="15.75" customHeight="1">
      <c r="A3337" s="2">
        <v>3336.0</v>
      </c>
      <c r="B3337" s="5" t="s">
        <v>6102</v>
      </c>
      <c r="C3337" s="6">
        <v>3.0</v>
      </c>
      <c r="D3337" s="9" t="s">
        <v>6103</v>
      </c>
      <c r="E3337" s="8" t="str">
        <f>IFERROR(__xludf.DUMMYFUNCTION("googletranslate(D3337,""id"",""en"")"),"Prokes tightened let me let the ppkm be continued, the more difficult if until it continues. Stay safe &amp; amp; Healthy")</f>
        <v>Prokes tightened let me let the ppkm be continued, the more difficult if until it continues. Stay safe &amp; amp; Healthy</v>
      </c>
    </row>
    <row r="3338" ht="15.75" customHeight="1">
      <c r="A3338" s="2">
        <v>3337.0</v>
      </c>
      <c r="B3338" s="5" t="s">
        <v>6104</v>
      </c>
      <c r="C3338" s="6">
        <v>2.0</v>
      </c>
      <c r="D3338" s="7" t="s">
        <v>6105</v>
      </c>
      <c r="E3338" s="8" t="str">
        <f>IFERROR(__xludf.DUMMYFUNCTION("googletranslate(D3338,""id"",""en"")"),"PPKM level becomes a statue")</f>
        <v>PPKM level becomes a statue</v>
      </c>
    </row>
    <row r="3339" ht="15.75" customHeight="1">
      <c r="A3339" s="2">
        <v>3338.0</v>
      </c>
      <c r="B3339" s="5" t="s">
        <v>6106</v>
      </c>
      <c r="C3339" s="6">
        <v>1.0</v>
      </c>
      <c r="D3339" s="9" t="s">
        <v>6107</v>
      </c>
      <c r="E3339" s="8" t="str">
        <f>IFERROR(__xludf.DUMMYFUNCTION("googletranslate(D3339,""id"",""en"")"),"I already want to work ... the land is looking for rizkiny on the closed ppkm volume ... expenditure there is no income ...")</f>
        <v>I already want to work ... the land is looking for rizkiny on the closed ppkm volume ... expenditure there is no income ...</v>
      </c>
    </row>
    <row r="3340" ht="15.75" customHeight="1">
      <c r="A3340" s="2">
        <v>3339.0</v>
      </c>
      <c r="B3340" s="5" t="s">
        <v>6108</v>
      </c>
      <c r="C3340" s="6">
        <v>1.0</v>
      </c>
      <c r="D3340" s="7" t="s">
        <v>6109</v>
      </c>
      <c r="E3340" s="8" t="str">
        <f>IFERROR(__xludf.DUMMYFUNCTION("googletranslate(D3340,""id"",""en"")"),"Yesterday Malem Want to Buy Eat for Cuman Gegara PPKM Smua Toko Close, Alahasil Intention for Indomie, just entered the noodles, Allah Gas LPIgnya Abis")</f>
        <v>Yesterday Malem Want to Buy Eat for Cuman Gegara PPKM Smua Toko Close, Alahasil Intention for Indomie, just entered the noodles, Allah Gas LPIgnya Abis</v>
      </c>
    </row>
    <row r="3341" ht="15.75" customHeight="1">
      <c r="A3341" s="2">
        <v>3340.0</v>
      </c>
      <c r="B3341" s="5" t="s">
        <v>6110</v>
      </c>
      <c r="C3341" s="6">
        <v>1.0</v>
      </c>
      <c r="D3341" s="7" t="s">
        <v>6111</v>
      </c>
      <c r="E3341" s="8" t="str">
        <f>IFERROR(__xludf.DUMMYFUNCTION("googletranslate(D3341,""id"",""en"")"),"Ppkm this gini who was a celebration of the Fix wanted to burden my colleague and the surrounding person, really looked for profits amid economic difficulties, aka ready for")</f>
        <v>Ppkm this gini who was a celebration of the Fix wanted to burden my colleague and the surrounding person, really looked for profits amid economic difficulties, aka ready for</v>
      </c>
    </row>
    <row r="3342" ht="15.75" customHeight="1">
      <c r="A3342" s="2">
        <v>3341.0</v>
      </c>
      <c r="B3342" s="5" t="s">
        <v>6112</v>
      </c>
      <c r="C3342" s="6">
        <v>1.0</v>
      </c>
      <c r="D3342" s="7" t="s">
        <v>6113</v>
      </c>
      <c r="E3342" s="8" t="str">
        <f>IFERROR(__xludf.DUMMYFUNCTION("googletranslate(D3342,""id"",""en"")"),"I have a work holiday")</f>
        <v>I have a work holiday</v>
      </c>
    </row>
    <row r="3343" ht="15.75" customHeight="1">
      <c r="A3343" s="2">
        <v>3342.0</v>
      </c>
      <c r="B3343" s="5" t="s">
        <v>6114</v>
      </c>
      <c r="C3343" s="6">
        <v>1.0</v>
      </c>
      <c r="D3343" s="7" t="s">
        <v>6115</v>
      </c>
      <c r="E3343" s="8" t="str">
        <f>IFERROR(__xludf.DUMMYFUNCTION("googletranslate(D3343,""id"",""en"")"),"Nyambi can be m / bln .... gogog really ... while many residents to eat aj difficult ... what else is the condition of the ppkm hadeuh ...")</f>
        <v>Nyambi can be m / bln .... gogog really ... while many residents to eat aj difficult ... what else is the condition of the ppkm hadeuh ...</v>
      </c>
    </row>
    <row r="3344" ht="15.75" customHeight="1">
      <c r="A3344" s="2">
        <v>3343.0</v>
      </c>
      <c r="B3344" s="5" t="s">
        <v>6116</v>
      </c>
      <c r="C3344" s="6">
        <v>1.0</v>
      </c>
      <c r="D3344" s="9" t="s">
        <v>6117</v>
      </c>
      <c r="E3344" s="8" t="str">
        <f>IFERROR(__xludf.DUMMYFUNCTION("googletranslate(D3344,""id"",""en"")"),"the most delicious skksks play keluartapy ppkmohhasuuuuuuu")</f>
        <v>the most delicious skksks play keluartapy ppkmohhasuuuuuuu</v>
      </c>
    </row>
    <row r="3345" ht="15.75" customHeight="1">
      <c r="A3345" s="2">
        <v>3344.0</v>
      </c>
      <c r="B3345" s="5" t="s">
        <v>6118</v>
      </c>
      <c r="C3345" s="6">
        <v>3.0</v>
      </c>
      <c r="D3345" s="9" t="s">
        <v>6118</v>
      </c>
      <c r="E3345" s="8" t="str">
        <f>IFERROR(__xludf.DUMMYFUNCTION("googletranslate(D3345,""id"",""en"")"),"Gapapa deh ppkm extended facing it after being extended ndang already ngonolo covid e. Can holiday again, it doesn't get complicated, meet friends (without a mask). Istilahe has been sick first while having fun later")</f>
        <v>Gapapa deh ppkm extended facing it after being extended ndang already ngonolo covid e. Can holiday again, it doesn't get complicated, meet friends (without a mask). Istilahe has been sick first while having fun later</v>
      </c>
    </row>
    <row r="3346" ht="15.75" customHeight="1">
      <c r="A3346" s="2">
        <v>3345.0</v>
      </c>
      <c r="B3346" s="5" t="s">
        <v>6119</v>
      </c>
      <c r="C3346" s="6">
        <v>2.0</v>
      </c>
      <c r="D3346" s="7" t="s">
        <v>6120</v>
      </c>
      <c r="E3346" s="8" t="str">
        <f>IFERROR(__xludf.DUMMYFUNCTION("googletranslate(D3346,""id"",""en"")"),"Ppkmpangkalan thigh less input")</f>
        <v>Ppkmpangkalan thigh less input</v>
      </c>
    </row>
    <row r="3347" ht="15.75" customHeight="1">
      <c r="A3347" s="2">
        <v>3346.0</v>
      </c>
      <c r="B3347" s="5" t="s">
        <v>6121</v>
      </c>
      <c r="C3347" s="6">
        <v>2.0</v>
      </c>
      <c r="D3347" s="7" t="s">
        <v>6122</v>
      </c>
      <c r="E3347" s="8" t="str">
        <f>IFERROR(__xludf.DUMMYFUNCTION("googletranslate(D3347,""id"",""en"")"),"PPKM Level: Bekasi Hesitant, Bogor Ganjil Even")</f>
        <v>PPKM Level: Bekasi Hesitant, Bogor Ganjil Even</v>
      </c>
    </row>
    <row r="3348" ht="15.75" customHeight="1">
      <c r="A3348" s="2">
        <v>3347.0</v>
      </c>
      <c r="B3348" s="5" t="s">
        <v>6123</v>
      </c>
      <c r="C3348" s="6">
        <v>2.0</v>
      </c>
      <c r="D3348" s="7" t="s">
        <v>6124</v>
      </c>
      <c r="E3348" s="8" t="str">
        <f>IFERROR(__xludf.DUMMYFUNCTION("googletranslate(D3348,""id"",""en"")"),"Afternoon min, after all day yesterday there is maintnance from first media, how come the speed is very decreased min? Please check, soon, bro, all of the PPKM all all-round WFH via zoom")</f>
        <v>Afternoon min, after all day yesterday there is maintnance from first media, how come the speed is very decreased min? Please check, soon, bro, all of the PPKM all all-round WFH via zoom</v>
      </c>
    </row>
    <row r="3349" ht="15.75" customHeight="1">
      <c r="A3349" s="2">
        <v>3348.0</v>
      </c>
      <c r="B3349" s="5" t="s">
        <v>6125</v>
      </c>
      <c r="C3349" s="6">
        <v>2.0</v>
      </c>
      <c r="D3349" s="7" t="s">
        <v>6126</v>
      </c>
      <c r="E3349" s="8" t="str">
        <f>IFERROR(__xludf.DUMMYFUNCTION("googletranslate(D3349,""id"",""en"")"),"ppkm = morning my morning melts")</f>
        <v>ppkm = morning my morning melts</v>
      </c>
    </row>
    <row r="3350" ht="15.75" customHeight="1">
      <c r="A3350" s="2">
        <v>3349.0</v>
      </c>
      <c r="B3350" s="5" t="s">
        <v>6127</v>
      </c>
      <c r="C3350" s="6">
        <v>2.0</v>
      </c>
      <c r="D3350" s="7" t="s">
        <v>6128</v>
      </c>
      <c r="E3350" s="8" t="str">
        <f>IFERROR(__xludf.DUMMYFUNCTION("googletranslate(D3350,""id"",""en"")"),"At home, PPKM")</f>
        <v>At home, PPKM</v>
      </c>
    </row>
    <row r="3351" ht="15.75" customHeight="1">
      <c r="A3351" s="2">
        <v>3350.0</v>
      </c>
      <c r="B3351" s="5" t="s">
        <v>6129</v>
      </c>
      <c r="C3351" s="6">
        <v>1.0</v>
      </c>
      <c r="D3351" s="9" t="s">
        <v>6130</v>
      </c>
      <c r="E3351" s="8" t="str">
        <f>IFERROR(__xludf.DUMMYFUNCTION("googletranslate(D3351,""id"",""en"")"),"My friend also in Cikampek hasn't been able to get a vaccine because the DKI KTP, wants to go to DKI is also difficult because Emergency PPKM.")</f>
        <v>My friend also in Cikampek hasn't been able to get a vaccine because the DKI KTP, wants to go to DKI is also difficult because Emergency PPKM.</v>
      </c>
    </row>
    <row r="3352" ht="15.75" customHeight="1">
      <c r="A3352" s="2">
        <v>3351.0</v>
      </c>
      <c r="B3352" s="5" t="s">
        <v>6131</v>
      </c>
      <c r="C3352" s="6">
        <v>3.0</v>
      </c>
      <c r="D3352" s="7" t="s">
        <v>6132</v>
      </c>
      <c r="E3352" s="8" t="str">
        <f>IFERROR(__xludf.DUMMYFUNCTION("googletranslate(D3352,""id"",""en"")"),"If the case trend continues to decline, then July, the government will conduct a gradual opening.Soal PPKM, the government continues to monitor and hear the voice of the community")</f>
        <v>If the case trend continues to decline, then July, the government will conduct a gradual opening.Soal PPKM, the government continues to monitor and hear the voice of the community</v>
      </c>
    </row>
    <row r="3353" ht="15.75" customHeight="1">
      <c r="A3353" s="2">
        <v>3352.0</v>
      </c>
      <c r="B3353" s="5" t="s">
        <v>6133</v>
      </c>
      <c r="C3353" s="6">
        <v>2.0</v>
      </c>
      <c r="D3353" s="7" t="s">
        <v>6134</v>
      </c>
      <c r="E3353" s="8" t="str">
        <f>IFERROR(__xludf.DUMMYFUNCTION("googletranslate(D3353,""id"",""en"")"),"-------- PPKM -------- (Never PDKT to MU)")</f>
        <v>-------- PPKM -------- (Never PDKT to MU)</v>
      </c>
    </row>
    <row r="3354" ht="15.75" customHeight="1">
      <c r="A3354" s="2">
        <v>3353.0</v>
      </c>
      <c r="B3354" s="5" t="s">
        <v>6135</v>
      </c>
      <c r="C3354" s="6">
        <v>2.0</v>
      </c>
      <c r="D3354" s="7" t="s">
        <v>6136</v>
      </c>
      <c r="E3354" s="8" t="str">
        <f>IFERROR(__xludf.DUMMYFUNCTION("googletranslate(D3354,""id"",""en"")"),"PPKM: Want to be your girlfriend Mas Sehun (version of the faith)")</f>
        <v>PPKM: Want to be your girlfriend Mas Sehun (version of the faith)</v>
      </c>
    </row>
    <row r="3355" ht="15.75" customHeight="1">
      <c r="A3355" s="2">
        <v>3354.0</v>
      </c>
      <c r="B3355" s="5" t="s">
        <v>6137</v>
      </c>
      <c r="C3355" s="6">
        <v>1.0</v>
      </c>
      <c r="D3355" s="9" t="s">
        <v>6138</v>
      </c>
      <c r="E3355" s="8" t="str">
        <f>IFERROR(__xludf.DUMMYFUNCTION("googletranslate(D3355,""id"",""en"")"),"Yes, how much your friend doesn't come because of PPKM, the time is told to break a wrote")</f>
        <v>Yes, how much your friend doesn't come because of PPKM, the time is told to break a wrote</v>
      </c>
    </row>
    <row r="3356" ht="15.75" customHeight="1">
      <c r="A3356" s="2">
        <v>3355.0</v>
      </c>
      <c r="B3356" s="5" t="s">
        <v>6139</v>
      </c>
      <c r="C3356" s="6">
        <v>1.0</v>
      </c>
      <c r="D3356" s="9" t="s">
        <v>6140</v>
      </c>
      <c r="E3356" s="8" t="str">
        <f>IFERROR(__xludf.DUMMYFUNCTION("googletranslate(D3356,""id"",""en"")"),"Make bankrupt all restaurants, a lot in layoffs, it's hard to find sustenance all because the PPKM is not clear about the adequate assistance to the regulation of the solution does not exist")</f>
        <v>Make bankrupt all restaurants, a lot in layoffs, it's hard to find sustenance all because the PPKM is not clear about the adequate assistance to the regulation of the solution does not exist</v>
      </c>
    </row>
    <row r="3357" ht="15.75" customHeight="1">
      <c r="A3357" s="2">
        <v>3356.0</v>
      </c>
      <c r="B3357" s="5" t="s">
        <v>6141</v>
      </c>
      <c r="C3357" s="6">
        <v>1.0</v>
      </c>
      <c r="D3357" s="7" t="s">
        <v>6141</v>
      </c>
      <c r="E3357" s="8" t="str">
        <f>IFERROR(__xludf.DUMMYFUNCTION("googletranslate(D3357,""id"",""en"")"),"So curious, why don't you know what kind of ngusik taun kapan2 anymore? I think the PPKM is a lot of people baper, just troublesome ...")</f>
        <v>So curious, why don't you know what kind of ngusik taun kapan2 anymore? I think the PPKM is a lot of people baper, just troublesome ...</v>
      </c>
    </row>
    <row r="3358" ht="15.75" customHeight="1">
      <c r="A3358" s="2">
        <v>3357.0</v>
      </c>
      <c r="B3358" s="5" t="s">
        <v>6142</v>
      </c>
      <c r="C3358" s="6">
        <v>3.0</v>
      </c>
      <c r="D3358" s="9" t="s">
        <v>6143</v>
      </c>
      <c r="E3358" s="8" t="str">
        <f>IFERROR(__xludf.DUMMYFUNCTION("googletranslate(D3358,""id"",""en"")"),"Government assistance continues to flow especially when PPKM is carried out")</f>
        <v>Government assistance continues to flow especially when PPKM is carried out</v>
      </c>
    </row>
    <row r="3359" ht="15.75" customHeight="1">
      <c r="A3359" s="2">
        <v>3358.0</v>
      </c>
      <c r="B3359" s="5" t="s">
        <v>6144</v>
      </c>
      <c r="C3359" s="6">
        <v>1.0</v>
      </c>
      <c r="D3359" s="9" t="s">
        <v>6145</v>
      </c>
      <c r="E3359" s="8" t="str">
        <f>IFERROR(__xludf.DUMMYFUNCTION("googletranslate(D3359,""id"",""en"")"),"Which violates the emergency PPKM must also be active, the public should not come out, eh there is a leader who exits night tap tap the door of the person to bring reporters, I want to ask violate the PPKM? His capacity as the leader of what ordinary soci"&amp;"ety?")</f>
        <v>Which violates the emergency PPKM must also be active, the public should not come out, eh there is a leader who exits night tap tap the door of the person to bring reporters, I want to ask violate the PPKM? His capacity as the leader of what ordinary society?</v>
      </c>
    </row>
    <row r="3360" ht="15.75" customHeight="1">
      <c r="A3360" s="2">
        <v>3359.0</v>
      </c>
      <c r="B3360" s="5" t="s">
        <v>6146</v>
      </c>
      <c r="C3360" s="6">
        <v>2.0</v>
      </c>
      <c r="D3360" s="7" t="s">
        <v>6147</v>
      </c>
      <c r="E3360" s="8" t="str">
        <f>IFERROR(__xludf.DUMMYFUNCTION("googletranslate(D3360,""id"",""en"")"),"LG PPKM tries sane")</f>
        <v>LG PPKM tries sane</v>
      </c>
    </row>
    <row r="3361" ht="15.75" customHeight="1">
      <c r="A3361" s="2">
        <v>3360.0</v>
      </c>
      <c r="B3361" s="5" t="s">
        <v>6148</v>
      </c>
      <c r="C3361" s="6">
        <v>2.0</v>
      </c>
      <c r="D3361" s="7" t="s">
        <v>6149</v>
      </c>
      <c r="E3361" s="8" t="str">
        <f>IFERROR(__xludf.DUMMYFUNCTION("googletranslate(D3361,""id"",""en"")"),"Leaning on Yon Arhanud trucks that are again ""guard"" PPKM Level $ Number $")</f>
        <v>Leaning on Yon Arhanud trucks that are again "guard" PPKM Level $ Number $</v>
      </c>
    </row>
    <row r="3362" ht="15.75" customHeight="1">
      <c r="A3362" s="2">
        <v>3361.0</v>
      </c>
      <c r="B3362" s="5" t="s">
        <v>6150</v>
      </c>
      <c r="C3362" s="6">
        <v>2.0</v>
      </c>
      <c r="D3362" s="10" t="s">
        <v>6151</v>
      </c>
      <c r="E3362" s="8" t="str">
        <f>IFERROR(__xludf.DUMMYFUNCTION("googletranslate(D3362,""id"",""en"")"),"Selekas PPKM.")</f>
        <v>Selekas PPKM.</v>
      </c>
    </row>
    <row r="3363" ht="15.75" customHeight="1">
      <c r="A3363" s="2">
        <v>3362.0</v>
      </c>
      <c r="B3363" s="5" t="s">
        <v>6152</v>
      </c>
      <c r="C3363" s="6">
        <v>3.0</v>
      </c>
      <c r="D3363" s="7" t="s">
        <v>6153</v>
      </c>
      <c r="E3363" s="8" t="str">
        <f>IFERROR(__xludf.DUMMYFUNCTION("googletranslate(D3363,""id"",""en"")"),"Assalamualaikum wr wbmet morning met weekend residents still obedient ppkm with red and white spirit")</f>
        <v>Assalamualaikum wr wbmet morning met weekend residents still obedient ppkm with red and white spirit</v>
      </c>
    </row>
    <row r="3364" ht="15.75" customHeight="1">
      <c r="A3364" s="2">
        <v>3363.0</v>
      </c>
      <c r="B3364" s="5" t="s">
        <v>6154</v>
      </c>
      <c r="C3364" s="6">
        <v>3.0</v>
      </c>
      <c r="D3364" s="7" t="s">
        <v>6155</v>
      </c>
      <c r="E3364" s="8" t="str">
        <f>IFERROR(__xludf.DUMMYFUNCTION("googletranslate(D3364,""id"",""en"")"),"Just invite you? After the PPKM but still obeyed the health protocol. yes as a form of self-introduction directly")</f>
        <v>Just invite you? After the PPKM but still obeyed the health protocol. yes as a form of self-introduction directly</v>
      </c>
    </row>
    <row r="3365" ht="15.75" customHeight="1">
      <c r="A3365" s="2">
        <v>3364.0</v>
      </c>
      <c r="B3365" s="5" t="s">
        <v>6156</v>
      </c>
      <c r="C3365" s="6">
        <v>3.0</v>
      </c>
      <c r="D3365" s="7" t="s">
        <v>6094</v>
      </c>
      <c r="E3365" s="8" t="str">
        <f>IFERROR(__xludf.DUMMYFUNCTION("googletranslate(D3365,""id"",""en"")"),"The community can still sell by obeying the health protocol. And the purpose of the PPKM is to reduce the positive number of Covid-19.")</f>
        <v>The community can still sell by obeying the health protocol. And the purpose of the PPKM is to reduce the positive number of Covid-19.</v>
      </c>
    </row>
    <row r="3366" ht="15.75" customHeight="1">
      <c r="A3366" s="2">
        <v>3365.0</v>
      </c>
      <c r="B3366" s="5" t="s">
        <v>6157</v>
      </c>
      <c r="C3366" s="6">
        <v>2.0</v>
      </c>
      <c r="D3366" s="7" t="s">
        <v>6158</v>
      </c>
      <c r="E3366" s="8" t="str">
        <f>IFERROR(__xludf.DUMMYFUNCTION("googletranslate(D3366,""id"",""en"")"),"Gokil Max is indeed very helpful on the internet especially when this PPKM")</f>
        <v>Gokil Max is indeed very helpful on the internet especially when this PPKM</v>
      </c>
    </row>
    <row r="3367" ht="15.75" customHeight="1">
      <c r="A3367" s="2">
        <v>3366.0</v>
      </c>
      <c r="B3367" s="5" t="s">
        <v>6159</v>
      </c>
      <c r="C3367" s="6">
        <v>1.0</v>
      </c>
      <c r="D3367" s="7" t="s">
        <v>6160</v>
      </c>
      <c r="E3367" s="8" t="str">
        <f>IFERROR(__xludf.DUMMYFUNCTION("googletranslate(D3367,""id"",""en"")"),"The most crunchy ppkmpmer call")</f>
        <v>The most crunchy ppkmpmer call</v>
      </c>
    </row>
    <row r="3368" ht="15.75" customHeight="1">
      <c r="A3368" s="2">
        <v>3367.0</v>
      </c>
      <c r="B3368" s="5" t="s">
        <v>6161</v>
      </c>
      <c r="C3368" s="6">
        <v>1.0</v>
      </c>
      <c r="D3368" s="7" t="s">
        <v>6162</v>
      </c>
      <c r="E3368" s="8" t="str">
        <f>IFERROR(__xludf.DUMMYFUNCTION("googletranslate(D3368,""id"",""en"")"),"I don't know, PPKM, I don't operate Odong, using Gojek we to the top gate")</f>
        <v>I don't know, PPKM, I don't operate Odong, using Gojek we to the top gate</v>
      </c>
    </row>
    <row r="3369" ht="15.75" customHeight="1">
      <c r="A3369" s="2">
        <v>3368.0</v>
      </c>
      <c r="B3369" s="5" t="s">
        <v>6163</v>
      </c>
      <c r="C3369" s="6">
        <v>2.0</v>
      </c>
      <c r="D3369" s="9" t="s">
        <v>6164</v>
      </c>
      <c r="E3369" s="8" t="str">
        <f>IFERROR(__xludf.DUMMYFUNCTION("googletranslate(D3369,""id"",""en"")"),"Before the PPKM managed to fall. As long as PPKM rises kg")</f>
        <v>Before the PPKM managed to fall. As long as PPKM rises kg</v>
      </c>
    </row>
    <row r="3370" ht="15.75" customHeight="1">
      <c r="A3370" s="2">
        <v>3369.0</v>
      </c>
      <c r="B3370" s="5" t="s">
        <v>6165</v>
      </c>
      <c r="C3370" s="6">
        <v>1.0</v>
      </c>
      <c r="D3370" s="9" t="s">
        <v>6166</v>
      </c>
      <c r="E3370" s="8" t="str">
        <f>IFERROR(__xludf.DUMMYFUNCTION("googletranslate(D3370,""id"",""en"")"),"Situ talking well huh? Ngaku2 represents the voice of the people. Koar2 asks for Lockdown while the underworld under death asks for PPKM to be pulled out.")</f>
        <v>Situ talking well huh? Ngaku2 represents the voice of the people. Koar2 asks for Lockdown while the underworld under death asks for PPKM to be pulled out.</v>
      </c>
    </row>
    <row r="3371" ht="15.75" customHeight="1">
      <c r="A3371" s="2">
        <v>3370.0</v>
      </c>
      <c r="B3371" s="5" t="s">
        <v>6167</v>
      </c>
      <c r="C3371" s="6">
        <v>2.0</v>
      </c>
      <c r="D3371" s="7" t="s">
        <v>6168</v>
      </c>
      <c r="E3371" s="8" t="str">
        <f>IFERROR(__xludf.DUMMYFUNCTION("googletranslate(D3371,""id"",""en"")"),"Ppkm is already like there is a level. I just want to eat until the level")</f>
        <v>Ppkm is already like there is a level. I just want to eat until the level</v>
      </c>
    </row>
    <row r="3372" ht="15.75" customHeight="1">
      <c r="A3372" s="2">
        <v>3371.0</v>
      </c>
      <c r="B3372" s="5" t="s">
        <v>6169</v>
      </c>
      <c r="C3372" s="6">
        <v>1.0</v>
      </c>
      <c r="D3372" s="7" t="s">
        <v>6170</v>
      </c>
      <c r="E3372" s="8" t="str">
        <f>IFERROR(__xludf.DUMMYFUNCTION("googletranslate(D3372,""id"",""en"")"),"Udh makes stress eh there is a PPKM making immunnel get down, so we vacation. Once a defense of a clown")</f>
        <v>Udh makes stress eh there is a PPKM making immunnel get down, so we vacation. Once a defense of a clown</v>
      </c>
    </row>
    <row r="3373" ht="15.75" customHeight="1">
      <c r="A3373" s="2">
        <v>3372.0</v>
      </c>
      <c r="B3373" s="5" t="s">
        <v>6171</v>
      </c>
      <c r="C3373" s="6">
        <v>3.0</v>
      </c>
      <c r="D3373" s="7" t="s">
        <v>6172</v>
      </c>
      <c r="E3373" s="8" t="str">
        <f>IFERROR(__xludf.DUMMYFUNCTION("googletranslate(D3373,""id"",""en"")"),"Let's increase our mentality when this emergency PPKM")</f>
        <v>Let's increase our mentality when this emergency PPKM</v>
      </c>
    </row>
    <row r="3374" ht="15.75" customHeight="1">
      <c r="A3374" s="2">
        <v>3373.0</v>
      </c>
      <c r="B3374" s="5" t="s">
        <v>6173</v>
      </c>
      <c r="C3374" s="6">
        <v>1.0</v>
      </c>
      <c r="D3374" s="7" t="s">
        <v>6173</v>
      </c>
      <c r="E3374" s="8" t="str">
        <f>IFERROR(__xludf.DUMMYFUNCTION("googletranslate(D3374,""id"",""en"")"),"Uda stress ama ppkm")</f>
        <v>Uda stress ama ppkm</v>
      </c>
    </row>
    <row r="3375" ht="15.75" customHeight="1">
      <c r="A3375" s="2">
        <v>3374.0</v>
      </c>
      <c r="B3375" s="5" t="s">
        <v>6174</v>
      </c>
      <c r="C3375" s="6">
        <v>2.0</v>
      </c>
      <c r="D3375" s="7" t="s">
        <v>6175</v>
      </c>
      <c r="E3375" s="8" t="str">
        <f>IFERROR(__xludf.DUMMYFUNCTION("googletranslate(D3375,""id"",""en"")"),"If for example from the beginning of Corona to Indonesia directly PPKM continues to be given a rich bansos gini (most important enough to eat and the internet for students) Do you think you succeed?")</f>
        <v>If for example from the beginning of Corona to Indonesia directly PPKM continues to be given a rich bansos gini (most important enough to eat and the internet for students) Do you think you succeed?</v>
      </c>
    </row>
    <row r="3376" ht="15.75" customHeight="1">
      <c r="A3376" s="2">
        <v>3375.0</v>
      </c>
      <c r="B3376" s="5" t="s">
        <v>6176</v>
      </c>
      <c r="C3376" s="6">
        <v>1.0</v>
      </c>
      <c r="D3376" s="7" t="s">
        <v>6177</v>
      </c>
      <c r="E3376" s="8" t="str">
        <f>IFERROR(__xludf.DUMMYFUNCTION("googletranslate(D3376,""id"",""en"")"),"Already the level of KEK PPKM")</f>
        <v>Already the level of KEK PPKM</v>
      </c>
    </row>
    <row r="3377" ht="15.75" customHeight="1">
      <c r="A3377" s="2">
        <v>3376.0</v>
      </c>
      <c r="B3377" s="5" t="s">
        <v>6178</v>
      </c>
      <c r="C3377" s="6">
        <v>2.0</v>
      </c>
      <c r="D3377" s="7" t="s">
        <v>6178</v>
      </c>
      <c r="E3377" s="8" t="str">
        <f>IFERROR(__xludf.DUMMYFUNCTION("googletranslate(D3377,""id"",""en"")"),"Good morning, friend, PPKM, Pura Kangen said")</f>
        <v>Good morning, friend, PPKM, Pura Kangen said</v>
      </c>
    </row>
    <row r="3378" ht="15.75" customHeight="1">
      <c r="A3378" s="2">
        <v>3378.0</v>
      </c>
      <c r="B3378" s="5" t="s">
        <v>6179</v>
      </c>
      <c r="C3378" s="6">
        <v>2.0</v>
      </c>
      <c r="D3378" s="7" t="s">
        <v>6180</v>
      </c>
      <c r="E3378" s="8" t="str">
        <f>IFERROR(__xludf.DUMMYFUNCTION("googletranslate(D3378,""id"",""en"")"),"Who will be themed about strong mentality when emergency ppkm")</f>
        <v>Who will be themed about strong mentality when emergency ppkm</v>
      </c>
    </row>
    <row r="3379" ht="15.75" customHeight="1">
      <c r="A3379" s="2">
        <v>3379.0</v>
      </c>
      <c r="B3379" s="5" t="s">
        <v>6181</v>
      </c>
      <c r="C3379" s="6">
        <v>2.0</v>
      </c>
      <c r="D3379" s="10" t="s">
        <v>6182</v>
      </c>
      <c r="E3379" s="8" t="str">
        <f>IFERROR(__xludf.DUMMYFUNCTION("googletranslate(D3379,""id"",""en"")"),"Sek PPKM Nad.")</f>
        <v>Sek PPKM Nad.</v>
      </c>
    </row>
    <row r="3380" ht="15.75" customHeight="1">
      <c r="A3380" s="2">
        <v>3380.0</v>
      </c>
      <c r="B3380" s="5" t="s">
        <v>6183</v>
      </c>
      <c r="C3380" s="6">
        <v>1.0</v>
      </c>
      <c r="D3380" s="7" t="s">
        <v>6184</v>
      </c>
      <c r="E3380" s="8" t="str">
        <f>IFERROR(__xludf.DUMMYFUNCTION("googletranslate(D3380,""id"",""en"")"),"PPKMperthe government backwards")</f>
        <v>PPKMperthe government backwards</v>
      </c>
    </row>
    <row r="3381" ht="15.75" customHeight="1">
      <c r="A3381" s="2">
        <v>3381.0</v>
      </c>
      <c r="B3381" s="5" t="s">
        <v>6185</v>
      </c>
      <c r="C3381" s="6">
        <v>1.0</v>
      </c>
      <c r="D3381" s="10" t="s">
        <v>6185</v>
      </c>
      <c r="E3381" s="8" t="str">
        <f>IFERROR(__xludf.DUMMYFUNCTION("googletranslate(D3381,""id"",""en"")"),"eh ppkm anjir.")</f>
        <v>eh ppkm anjir.</v>
      </c>
    </row>
    <row r="3382" ht="15.75" customHeight="1">
      <c r="A3382" s="2">
        <v>3382.0</v>
      </c>
      <c r="B3382" s="5" t="s">
        <v>6186</v>
      </c>
      <c r="C3382" s="6">
        <v>1.0</v>
      </c>
      <c r="D3382" s="7" t="s">
        <v>6187</v>
      </c>
      <c r="E3382" s="8" t="str">
        <f>IFERROR(__xludf.DUMMYFUNCTION("googletranslate(D3382,""id"",""en"")"),"Malaysia is an example of its sovereign and powerful government with law. Anyone who violates the rules must be legally processed. Let alone shout to the government, just praying for Ied. That's the Law")</f>
        <v>Malaysia is an example of its sovereign and powerful government with law. Anyone who violates the rules must be legally processed. Let alone shout to the government, just praying for Ied. That's the Law</v>
      </c>
    </row>
    <row r="3383" ht="15.75" customHeight="1">
      <c r="A3383" s="2">
        <v>3383.0</v>
      </c>
      <c r="B3383" s="5" t="s">
        <v>6188</v>
      </c>
      <c r="C3383" s="6">
        <v>1.0</v>
      </c>
      <c r="D3383" s="7" t="s">
        <v>6189</v>
      </c>
      <c r="E3383" s="8" t="str">
        <f>IFERROR(__xludf.DUMMYFUNCTION("googletranslate(D3383,""id"",""en"")"),"Not a traveler, because my PPKM wants to go home to Bali which is incidentally if you eat safely, I don't use the domicile letter, look for the vaccine, it's hard to use it!")</f>
        <v>Not a traveler, because my PPKM wants to go home to Bali which is incidentally if you eat safely, I don't use the domicile letter, look for the vaccine, it's hard to use it!</v>
      </c>
    </row>
    <row r="3384" ht="15.75" customHeight="1">
      <c r="A3384" s="2">
        <v>3384.0</v>
      </c>
      <c r="B3384" s="5" t="s">
        <v>6190</v>
      </c>
      <c r="C3384" s="6">
        <v>2.0</v>
      </c>
      <c r="D3384" s="7" t="s">
        <v>6190</v>
      </c>
      <c r="E3384" s="8" t="str">
        <f>IFERROR(__xludf.DUMMYFUNCTION("googletranslate(D3384,""id"",""en"")"),"Ppkm = slowly you disappear")</f>
        <v>Ppkm = slowly you disappear</v>
      </c>
    </row>
    <row r="3385" ht="15.75" customHeight="1">
      <c r="A3385" s="2">
        <v>3385.0</v>
      </c>
      <c r="B3385" s="5" t="s">
        <v>6191</v>
      </c>
      <c r="C3385" s="6">
        <v>1.0</v>
      </c>
      <c r="D3385" s="7" t="s">
        <v>6192</v>
      </c>
      <c r="E3385" s="8" t="str">
        <f>IFERROR(__xludf.DUMMYFUNCTION("googletranslate(D3385,""id"",""en"")"),"PPKM Garry Si, I'm Semaleman Nangis Grgr Sercing Movie Iss Pyar Ko Kya Naam Doon. Once we find it in Disney + Preading Domicile")</f>
        <v>PPKM Garry Si, I'm Semaleman Nangis Grgr Sercing Movie Iss Pyar Ko Kya Naam Doon. Once we find it in Disney + Preading Domicile</v>
      </c>
    </row>
    <row r="3386" ht="15.75" customHeight="1">
      <c r="A3386" s="2">
        <v>3386.0</v>
      </c>
      <c r="B3386" s="5" t="s">
        <v>6193</v>
      </c>
      <c r="C3386" s="6">
        <v>1.0</v>
      </c>
      <c r="D3386" s="7" t="s">
        <v>6194</v>
      </c>
      <c r="E3386" s="8" t="str">
        <f>IFERROR(__xludf.DUMMYFUNCTION("googletranslate(D3386,""id"",""en"")"),"Lg ppkm gabisa k bandung")</f>
        <v>Lg ppkm gabisa k bandung</v>
      </c>
    </row>
    <row r="3387" ht="15.75" customHeight="1">
      <c r="A3387" s="2">
        <v>3387.0</v>
      </c>
      <c r="B3387" s="5" t="s">
        <v>6195</v>
      </c>
      <c r="C3387" s="6">
        <v>1.0</v>
      </c>
      <c r="D3387" s="9" t="s">
        <v>6196</v>
      </c>
      <c r="E3387" s="8" t="str">
        <f>IFERROR(__xludf.DUMMYFUNCTION("googletranslate(D3387,""id"",""en"")"),"DPR and MPR and the Constitutional Court should immediately dismiss a president who is clearly not able to run the Constitution, currently too many Indonesian citizens who suffer from the implementation of PPKM, the people are very difficult")</f>
        <v>DPR and MPR and the Constitutional Court should immediately dismiss a president who is clearly not able to run the Constitution, currently too many Indonesian citizens who suffer from the implementation of PPKM, the people are very difficult</v>
      </c>
    </row>
    <row r="3388" ht="15.75" customHeight="1">
      <c r="A3388" s="2">
        <v>3388.0</v>
      </c>
      <c r="B3388" s="5" t="s">
        <v>6197</v>
      </c>
      <c r="C3388" s="6">
        <v>2.0</v>
      </c>
      <c r="D3388" s="7" t="s">
        <v>6197</v>
      </c>
      <c r="E3388" s="8" t="str">
        <f>IFERROR(__xludf.DUMMYFUNCTION("googletranslate(D3388,""id"",""en"")"),"Abis PPKM Staycation Yu")</f>
        <v>Abis PPKM Staycation Yu</v>
      </c>
    </row>
    <row r="3389" ht="15.75" customHeight="1">
      <c r="A3389" s="2">
        <v>3389.0</v>
      </c>
      <c r="B3389" s="5" t="s">
        <v>6198</v>
      </c>
      <c r="C3389" s="6">
        <v>1.0</v>
      </c>
      <c r="D3389" s="7" t="s">
        <v>6199</v>
      </c>
      <c r="E3389" s="8" t="str">
        <f>IFERROR(__xludf.DUMMYFUNCTION("googletranslate(D3389,""id"",""en"")"),"Qmu don't know it's hard to be the people in the PPKM period")</f>
        <v>Qmu don't know it's hard to be the people in the PPKM period</v>
      </c>
    </row>
    <row r="3390" ht="15.75" customHeight="1">
      <c r="A3390" s="2">
        <v>3390.0</v>
      </c>
      <c r="B3390" s="5" t="s">
        <v>6200</v>
      </c>
      <c r="C3390" s="6">
        <v>1.0</v>
      </c>
      <c r="D3390" s="7" t="s">
        <v>6201</v>
      </c>
      <c r="E3390" s="8" t="str">
        <f>IFERROR(__xludf.DUMMYFUNCTION("googletranslate(D3390,""id"",""en"")"),"ppkm when it's done I want offline counseling")</f>
        <v>ppkm when it's done I want offline counseling</v>
      </c>
    </row>
    <row r="3391" ht="15.75" customHeight="1">
      <c r="A3391" s="2">
        <v>3391.0</v>
      </c>
      <c r="B3391" s="5" t="s">
        <v>6202</v>
      </c>
      <c r="C3391" s="6">
        <v>2.0</v>
      </c>
      <c r="D3391" s="9" t="s">
        <v>6203</v>
      </c>
      <c r="E3391" s="8" t="str">
        <f>IFERROR(__xludf.DUMMYFUNCTION("googletranslate(D3391,""id"",""en"")"),"Ppkm bang, later if I loose my boarding house")</f>
        <v>Ppkm bang, later if I loose my boarding house</v>
      </c>
    </row>
    <row r="3392" ht="15.75" customHeight="1">
      <c r="A3392" s="2">
        <v>3392.0</v>
      </c>
      <c r="B3392" s="5" t="s">
        <v>6204</v>
      </c>
      <c r="C3392" s="6">
        <v>2.0</v>
      </c>
      <c r="D3392" s="9" t="s">
        <v>6204</v>
      </c>
      <c r="E3392" s="8" t="str">
        <f>IFERROR(__xludf.DUMMYFUNCTION("googletranslate(D3392,""id"",""en"")"),"it's not possible if my ppkm gw gw playing bumble and he didn't")</f>
        <v>it's not possible if my ppkm gw gw playing bumble and he didn't</v>
      </c>
    </row>
    <row r="3393" ht="15.75" customHeight="1">
      <c r="A3393" s="2">
        <v>3393.0</v>
      </c>
      <c r="B3393" s="5" t="s">
        <v>6205</v>
      </c>
      <c r="C3393" s="6">
        <v>1.0</v>
      </c>
      <c r="D3393" s="9" t="s">
        <v>6206</v>
      </c>
      <c r="E3393" s="8" t="str">
        <f>IFERROR(__xludf.DUMMYFUNCTION("googletranslate(D3393,""id"",""en"")"),"Yes the risk is always extending the PPKM rules on behalf of Corona. We are SJA JKW supporters are hot with the rules of the rule")</f>
        <v>Yes the risk is always extending the PPKM rules on behalf of Corona. We are SJA JKW supporters are hot with the rules of the rule</v>
      </c>
    </row>
    <row r="3394" ht="15.75" customHeight="1">
      <c r="A3394" s="2">
        <v>3394.0</v>
      </c>
      <c r="B3394" s="5" t="s">
        <v>6207</v>
      </c>
      <c r="C3394" s="6">
        <v>2.0</v>
      </c>
      <c r="D3394" s="7" t="s">
        <v>6208</v>
      </c>
      <c r="E3394" s="8" t="str">
        <f>IFERROR(__xludf.DUMMYFUNCTION("googletranslate(D3394,""id"",""en"")"),"Online beib japri.mana there is LG PPKM shop MZ open")</f>
        <v>Online beib japri.mana there is LG PPKM shop MZ open</v>
      </c>
    </row>
    <row r="3395" ht="15.75" customHeight="1">
      <c r="A3395" s="2">
        <v>3395.0</v>
      </c>
      <c r="B3395" s="5" t="s">
        <v>6209</v>
      </c>
      <c r="C3395" s="6">
        <v>1.0</v>
      </c>
      <c r="D3395" s="9" t="s">
        <v>6209</v>
      </c>
      <c r="E3395" s="8" t="str">
        <f>IFERROR(__xludf.DUMMYFUNCTION("googletranslate(D3395,""id"",""en"")"),"imagine if this is not ppkm and gw on the jkt grrrrrgghhhhhhhh i psti street with him")</f>
        <v>imagine if this is not ppkm and gw on the jkt grrrrrgghhhhhhhh i psti street with him</v>
      </c>
    </row>
    <row r="3396" ht="15.75" customHeight="1">
      <c r="A3396" s="2">
        <v>3396.0</v>
      </c>
      <c r="B3396" s="5" t="s">
        <v>6210</v>
      </c>
      <c r="C3396" s="6">
        <v>1.0</v>
      </c>
      <c r="D3396" s="7" t="s">
        <v>6211</v>
      </c>
      <c r="E3396" s="8" t="str">
        <f>IFERROR(__xludf.DUMMYFUNCTION("googletranslate(D3396,""id"",""en"")"),"It is strange since there is a PSBB then PPKM the number of positive victims continues to increase hehh heh ... Whose game?")</f>
        <v>It is strange since there is a PSBB then PPKM the number of positive victims continues to increase hehh heh ... Whose game?</v>
      </c>
    </row>
    <row r="3397" ht="15.75" customHeight="1">
      <c r="A3397" s="2">
        <v>3397.0</v>
      </c>
      <c r="B3397" s="5" t="s">
        <v>6212</v>
      </c>
      <c r="C3397" s="6">
        <v>1.0</v>
      </c>
      <c r="D3397" s="7" t="s">
        <v>6213</v>
      </c>
      <c r="E3397" s="8" t="str">
        <f>IFERROR(__xludf.DUMMYFUNCTION("googletranslate(D3397,""id"",""en"")"),"PPKM but the border door remains open &amp; amp; Without guarantee needs, will it be effective? Look .. Check out more in this video")</f>
        <v>PPKM but the border door remains open &amp; amp; Without guarantee needs, will it be effective? Look .. Check out more in this video</v>
      </c>
    </row>
    <row r="3398" ht="15.75" customHeight="1">
      <c r="A3398" s="2">
        <v>3398.0</v>
      </c>
      <c r="B3398" s="5" t="s">
        <v>6214</v>
      </c>
      <c r="C3398" s="6">
        <v>1.0</v>
      </c>
      <c r="D3398" s="9" t="s">
        <v>6215</v>
      </c>
      <c r="E3398" s="8" t="str">
        <f>IFERROR(__xludf.DUMMYFUNCTION("googletranslate(D3398,""id"",""en"")"),"If you sorry it's so clearer, Drpd says the maximum PPKM blm - martial arts.")</f>
        <v>If you sorry it's so clearer, Drpd says the maximum PPKM blm - martial arts.</v>
      </c>
    </row>
    <row r="3399" ht="15.75" customHeight="1">
      <c r="A3399" s="2">
        <v>3399.0</v>
      </c>
      <c r="B3399" s="5" t="s">
        <v>6216</v>
      </c>
      <c r="C3399" s="6">
        <v>1.0</v>
      </c>
      <c r="D3399" s="9" t="s">
        <v>6217</v>
      </c>
      <c r="E3399" s="8" t="str">
        <f>IFERROR(__xludf.DUMMYFUNCTION("googletranslate(D3399,""id"",""en"")"),"yeah anjir but the ppkm is still a lot of things that come out can't even though ppkm also let the covid be quickly finished")</f>
        <v>yeah anjir but the ppkm is still a lot of things that come out can't even though ppkm also let the covid be quickly finished</v>
      </c>
    </row>
    <row r="3400" ht="15.75" customHeight="1">
      <c r="A3400" s="2">
        <v>3400.0</v>
      </c>
      <c r="B3400" s="5" t="s">
        <v>6218</v>
      </c>
      <c r="C3400" s="6">
        <v>2.0</v>
      </c>
      <c r="D3400" s="7" t="s">
        <v>6219</v>
      </c>
      <c r="E3400" s="8" t="str">
        <f>IFERROR(__xludf.DUMMYFUNCTION("googletranslate(D3400,""id"",""en"")"),"PPKM Lvel Cabe is lacking")</f>
        <v>PPKM Lvel Cabe is lacking</v>
      </c>
    </row>
    <row r="3401" ht="15.75" customHeight="1">
      <c r="A3401" s="2">
        <v>3401.0</v>
      </c>
      <c r="B3401" s="5" t="s">
        <v>6220</v>
      </c>
      <c r="C3401" s="6">
        <v>1.0</v>
      </c>
      <c r="D3401" s="9" t="s">
        <v>6221</v>
      </c>
      <c r="E3401" s="8" t="str">
        <f>IFERROR(__xludf.DUMMYFUNCTION("googletranslate(D3401,""id"",""en"")"),"Savings already sold out, PPKM extended")</f>
        <v>Savings already sold out, PPKM extended</v>
      </c>
    </row>
    <row r="3402" ht="15.75" customHeight="1">
      <c r="A3402" s="2">
        <v>3402.0</v>
      </c>
      <c r="B3402" s="5" t="s">
        <v>6222</v>
      </c>
      <c r="C3402" s="6">
        <v>1.0</v>
      </c>
      <c r="D3402" s="7" t="s">
        <v>6222</v>
      </c>
      <c r="E3402" s="8" t="str">
        <f>IFERROR(__xludf.DUMMYFUNCTION("googletranslate(D3402,""id"",""en"")"),"merisau me ppkm nda already already")</f>
        <v>merisau me ppkm nda already already</v>
      </c>
    </row>
    <row r="3403" ht="15.75" customHeight="1">
      <c r="A3403" s="2">
        <v>3403.0</v>
      </c>
      <c r="B3403" s="5" t="s">
        <v>6223</v>
      </c>
      <c r="C3403" s="6">
        <v>2.0</v>
      </c>
      <c r="D3403" s="10" t="s">
        <v>6224</v>
      </c>
      <c r="E3403" s="8" t="str">
        <f>IFERROR(__xludf.DUMMYFUNCTION("googletranslate(D3403,""id"",""en"")"),"PPKM BG.")</f>
        <v>PPKM BG.</v>
      </c>
    </row>
    <row r="3404" ht="15.75" customHeight="1">
      <c r="A3404" s="2">
        <v>3404.0</v>
      </c>
      <c r="B3404" s="5" t="s">
        <v>6225</v>
      </c>
      <c r="C3404" s="6">
        <v>1.0</v>
      </c>
      <c r="D3404" s="9" t="s">
        <v>6226</v>
      </c>
      <c r="E3404" s="8" t="str">
        <f>IFERROR(__xludf.DUMMYFUNCTION("googletranslate(D3404,""id"",""en"")"),"Because of my ppkm, I can't go home")</f>
        <v>Because of my ppkm, I can't go home</v>
      </c>
    </row>
    <row r="3405" ht="15.75" customHeight="1">
      <c r="A3405" s="2">
        <v>3405.0</v>
      </c>
      <c r="B3405" s="5" t="s">
        <v>6227</v>
      </c>
      <c r="C3405" s="6">
        <v>2.0</v>
      </c>
      <c r="D3405" s="7" t="s">
        <v>6228</v>
      </c>
      <c r="E3405" s="8" t="str">
        <f>IFERROR(__xludf.DUMMYFUNCTION("googletranslate(D3405,""id"",""en"")"),"July, it's not a ppkm, right? ATOO is there an extension?")</f>
        <v>July, it's not a ppkm, right? ATOO is there an extension?</v>
      </c>
    </row>
    <row r="3406" ht="15.75" customHeight="1">
      <c r="A3406" s="2">
        <v>3406.0</v>
      </c>
      <c r="B3406" s="5" t="s">
        <v>6229</v>
      </c>
      <c r="C3406" s="6">
        <v>1.0</v>
      </c>
      <c r="D3406" s="9" t="s">
        <v>6230</v>
      </c>
      <c r="E3406" s="8" t="str">
        <f>IFERROR(__xludf.DUMMYFUNCTION("googletranslate(D3406,""id"",""en"")"),"Really, the PPKM Gabikin came out of money to hang out but the money was exhausted for the Shopee Rip My Wallet")</f>
        <v>Really, the PPKM Gabikin came out of money to hang out but the money was exhausted for the Shopee Rip My Wallet</v>
      </c>
    </row>
    <row r="3407" ht="15.75" customHeight="1">
      <c r="A3407" s="2">
        <v>3407.0</v>
      </c>
      <c r="B3407" s="5" t="s">
        <v>6231</v>
      </c>
      <c r="C3407" s="6">
        <v>1.0</v>
      </c>
      <c r="D3407" s="7" t="s">
        <v>6232</v>
      </c>
      <c r="E3407" s="8" t="str">
        <f>IFERROR(__xludf.DUMMYFUNCTION("googletranslate(D3407,""id"",""en"")"),"Ihh yeah bangett, i have prepare for the race, late training malemm eh it turns out to be gajadi ppkm asjzkalapznzgg")</f>
        <v>Ihh yeah bangett, i have prepare for the race, late training malemm eh it turns out to be gajadi ppkm asjzkalapznzgg</v>
      </c>
    </row>
    <row r="3408" ht="15.75" customHeight="1">
      <c r="A3408" s="2">
        <v>3408.0</v>
      </c>
      <c r="B3408" s="5" t="s">
        <v>6233</v>
      </c>
      <c r="C3408" s="6">
        <v>1.0</v>
      </c>
      <c r="D3408" s="9" t="s">
        <v>6234</v>
      </c>
      <c r="E3408" s="8" t="str">
        <f>IFERROR(__xludf.DUMMYFUNCTION("googletranslate(D3408,""id"",""en"")"),"My company works, finally the salary deduction is carried out against contract employees, because it cannot stand the PPKM effect, maybe a lot of other companies do the same thing, not to mention the contract because the company collapses / bankrupt")</f>
        <v>My company works, finally the salary deduction is carried out against contract employees, because it cannot stand the PPKM effect, maybe a lot of other companies do the same thing, not to mention the contract because the company collapses / bankrupt</v>
      </c>
    </row>
    <row r="3409" ht="15.75" customHeight="1">
      <c r="A3409" s="2">
        <v>3409.0</v>
      </c>
      <c r="B3409" s="5" t="s">
        <v>6235</v>
      </c>
      <c r="C3409" s="6">
        <v>1.0</v>
      </c>
      <c r="D3409" s="7" t="s">
        <v>6236</v>
      </c>
      <c r="E3409" s="8" t="str">
        <f>IFERROR(__xludf.DUMMYFUNCTION("googletranslate(D3409,""id"",""en"")"),"hate ppkm so it's hard to buy shoes")</f>
        <v>hate ppkm so it's hard to buy shoes</v>
      </c>
    </row>
    <row r="3410" ht="15.75" customHeight="1">
      <c r="A3410" s="2">
        <v>3410.0</v>
      </c>
      <c r="B3410" s="5" t="s">
        <v>6237</v>
      </c>
      <c r="C3410" s="6">
        <v>2.0</v>
      </c>
      <c r="D3410" s="9" t="s">
        <v>6238</v>
      </c>
      <c r="E3410" s="8" t="str">
        <f>IFERROR(__xludf.DUMMYFUNCTION("googletranslate(D3410,""id"",""en"")"),"Starting from the H-1 PPKM I have got a letter of assignment from the office, because I work in Kabianyar while my house is in Badung. Automatically go to work I always pass through Denpasar (Gatsu) to Gianyar. Incidentally there is insulation at the Sout"&amp;"h Simpang Kebo Iwa X South.")</f>
        <v>Starting from the H-1 PPKM I have got a letter of assignment from the office, because I work in Kabianyar while my house is in Badung. Automatically go to work I always pass through Denpasar (Gatsu) to Gianyar. Incidentally there is insulation at the South Simpang Kebo Iwa X South.</v>
      </c>
    </row>
    <row r="3411" ht="15.75" customHeight="1">
      <c r="A3411" s="2">
        <v>3411.0</v>
      </c>
      <c r="B3411" s="5" t="s">
        <v>6239</v>
      </c>
      <c r="C3411" s="6">
        <v>2.0</v>
      </c>
      <c r="D3411" s="7" t="s">
        <v>6240</v>
      </c>
      <c r="E3411" s="8" t="str">
        <f>IFERROR(__xludf.DUMMYFUNCTION("googletranslate(D3411,""id"",""en"")"),"Yok -rek is friends with me. Just the rep tarnished ppkm gas rinjani")</f>
        <v>Yok -rek is friends with me. Just the rep tarnished ppkm gas rinjani</v>
      </c>
    </row>
    <row r="3412" ht="15.75" customHeight="1">
      <c r="A3412" s="2">
        <v>3412.0</v>
      </c>
      <c r="B3412" s="5" t="s">
        <v>6241</v>
      </c>
      <c r="C3412" s="6">
        <v>1.0</v>
      </c>
      <c r="D3412" s="7" t="s">
        <v>6242</v>
      </c>
      <c r="E3412" s="8" t="str">
        <f>IFERROR(__xludf.DUMMYFUNCTION("googletranslate(D3412,""id"",""en"")"),"Samaaaaa, but I'm not eskul eskul because of PPKM, want to join the competition")</f>
        <v>Samaaaaa, but I'm not eskul eskul because of PPKM, want to join the competition</v>
      </c>
    </row>
    <row r="3413" ht="15.75" customHeight="1">
      <c r="A3413" s="2">
        <v>3413.0</v>
      </c>
      <c r="B3413" s="5" t="s">
        <v>6243</v>
      </c>
      <c r="C3413" s="6">
        <v>1.0</v>
      </c>
      <c r="D3413" s="9" t="s">
        <v>6244</v>
      </c>
      <c r="E3413" s="8" t="str">
        <f>IFERROR(__xludf.DUMMYFUNCTION("googletranslate(D3413,""id"",""en"")"),"APBD Wanabud, Condites Cikas Corrupt Funds To Give MKN Buzzerp Hungry Tkg Hoax Kyk Losi Goblog Little Model Wanabud DN SigendutTrihatin Dipuja-Praises Keruh Department. JKT became Covid Episentrum and HoaxseKrg PPKM without providing assistance, the peopl"&amp;"e of Selling Arrested by Ma Wanabuud. Guoblog")</f>
        <v>APBD Wanabud, Condites Cikas Corrupt Funds To Give MKN Buzzerp Hungry Tkg Hoax Kyk Losi Goblog Little Model Wanabud DN SigendutTrihatin Dipuja-Praises Keruh Department. JKT became Covid Episentrum and HoaxseKrg PPKM without providing assistance, the people of Selling Arrested by Ma Wanabuud. Guoblog</v>
      </c>
    </row>
    <row r="3414" ht="15.75" customHeight="1">
      <c r="A3414" s="2">
        <v>3414.0</v>
      </c>
      <c r="B3414" s="5" t="s">
        <v>6245</v>
      </c>
      <c r="C3414" s="6">
        <v>2.0</v>
      </c>
      <c r="D3414" s="7" t="s">
        <v>6246</v>
      </c>
      <c r="E3414" s="8" t="str">
        <f>IFERROR(__xludf.DUMMYFUNCTION("googletranslate(D3414,""id"",""en"")"),"Is there a PPKM renewal info after the date?")</f>
        <v>Is there a PPKM renewal info after the date?</v>
      </c>
    </row>
    <row r="3415" ht="15.75" customHeight="1">
      <c r="A3415" s="2">
        <v>3415.0</v>
      </c>
      <c r="B3415" s="5" t="s">
        <v>6247</v>
      </c>
      <c r="C3415" s="6">
        <v>1.0</v>
      </c>
      <c r="D3415" s="7" t="s">
        <v>6247</v>
      </c>
      <c r="E3415" s="8" t="str">
        <f>IFERROR(__xludf.DUMMYFUNCTION("googletranslate(D3415,""id"",""en"")"),"Pen Service Laptop Tp Masi PPKM Hadehh")</f>
        <v>Pen Service Laptop Tp Masi PPKM Hadehh</v>
      </c>
    </row>
    <row r="3416" ht="15.75" customHeight="1">
      <c r="A3416" s="2">
        <v>3416.0</v>
      </c>
      <c r="B3416" s="5" t="s">
        <v>6248</v>
      </c>
      <c r="C3416" s="6">
        <v>2.0</v>
      </c>
      <c r="D3416" s="9" t="s">
        <v>6249</v>
      </c>
      <c r="E3416" s="8" t="str">
        <f>IFERROR(__xludf.DUMMYFUNCTION("googletranslate(D3416,""id"",""en"")"),"The salon is still open, where is this PPKM? Want to cut hair [bgr]")</f>
        <v>The salon is still open, where is this PPKM? Want to cut hair [bgr]</v>
      </c>
    </row>
    <row r="3417" ht="15.75" customHeight="1">
      <c r="A3417" s="2">
        <v>3417.0</v>
      </c>
      <c r="B3417" s="5" t="s">
        <v>6250</v>
      </c>
      <c r="C3417" s="6">
        <v>2.0</v>
      </c>
      <c r="D3417" s="7" t="s">
        <v>6251</v>
      </c>
      <c r="E3417" s="8" t="str">
        <f>IFERROR(__xludf.DUMMYFUNCTION("googletranslate(D3417,""id"",""en"")"),"Koptu Eko Budi and members of the Jumantono police station carry out monitoring of residents' activities during Emergency PPKM.")</f>
        <v>Koptu Eko Budi and members of the Jumantono police station carry out monitoring of residents' activities during Emergency PPKM.</v>
      </c>
    </row>
    <row r="3418" ht="15.75" customHeight="1">
      <c r="A3418" s="2">
        <v>3418.0</v>
      </c>
      <c r="B3418" s="5" t="s">
        <v>6252</v>
      </c>
      <c r="C3418" s="6">
        <v>2.0</v>
      </c>
      <c r="D3418" s="7" t="s">
        <v>6253</v>
      </c>
      <c r="E3418" s="8" t="str">
        <f>IFERROR(__xludf.DUMMYFUNCTION("googletranslate(D3418,""id"",""en"")"),"Ma'am ... there is already a level of PPKM?")</f>
        <v>Ma'am ... there is already a level of PPKM?</v>
      </c>
    </row>
    <row r="3419" ht="15.75" customHeight="1">
      <c r="A3419" s="2">
        <v>3419.0</v>
      </c>
      <c r="B3419" s="5" t="s">
        <v>6254</v>
      </c>
      <c r="C3419" s="6">
        <v>2.0</v>
      </c>
      <c r="D3419" s="7" t="s">
        <v>6255</v>
      </c>
      <c r="E3419" s="8" t="str">
        <f>IFERROR(__xludf.DUMMYFUNCTION("googletranslate(D3419,""id"",""en"")"),"Well, hopefully the PPKM does not change the name")</f>
        <v>Well, hopefully the PPKM does not change the name</v>
      </c>
    </row>
    <row r="3420" ht="15.75" customHeight="1">
      <c r="A3420" s="2">
        <v>3420.0</v>
      </c>
      <c r="B3420" s="5" t="s">
        <v>6256</v>
      </c>
      <c r="C3420" s="6">
        <v>2.0</v>
      </c>
      <c r="D3420" s="10" t="s">
        <v>6257</v>
      </c>
      <c r="E3420" s="8" t="str">
        <f>IFERROR(__xludf.DUMMYFUNCTION("googletranslate(D3420,""id"",""en"")"),"Ppkm ga brou")</f>
        <v>Ppkm ga brou</v>
      </c>
    </row>
    <row r="3421" ht="15.75" customHeight="1">
      <c r="A3421" s="2">
        <v>3421.0</v>
      </c>
      <c r="B3421" s="5" t="s">
        <v>6258</v>
      </c>
      <c r="C3421" s="6">
        <v>2.0</v>
      </c>
      <c r="D3421" s="9" t="s">
        <v>6258</v>
      </c>
      <c r="E3421" s="8" t="str">
        <f>IFERROR(__xludf.DUMMYFUNCTION("googletranslate(D3421,""id"",""en"")"),"-Rek if from the direction of taking to Kenjeran through Stesia the road is closed, huh? Told to pick up the Sodara but I'm afraid of the PPKM Huhu No Salty, Tmen2 hehe")</f>
        <v>-Rek if from the direction of taking to Kenjeran through Stesia the road is closed, huh? Told to pick up the Sodara but I'm afraid of the PPKM Huhu No Salty, Tmen2 hehe</v>
      </c>
    </row>
    <row r="3422" ht="15.75" customHeight="1">
      <c r="A3422" s="2">
        <v>3422.0</v>
      </c>
      <c r="B3422" s="5" t="s">
        <v>6259</v>
      </c>
      <c r="C3422" s="6">
        <v>2.0</v>
      </c>
      <c r="D3422" s="7" t="s">
        <v>6259</v>
      </c>
      <c r="E3422" s="8" t="str">
        <f>IFERROR(__xludf.DUMMYFUNCTION("googletranslate(D3422,""id"",""en"")"),"tomorrow ppkm is already finished, you have a planning?")</f>
        <v>tomorrow ppkm is already finished, you have a planning?</v>
      </c>
    </row>
    <row r="3423" ht="15.75" customHeight="1">
      <c r="A3423" s="2">
        <v>3423.0</v>
      </c>
      <c r="B3423" s="5" t="s">
        <v>6260</v>
      </c>
      <c r="C3423" s="6">
        <v>2.0</v>
      </c>
      <c r="D3423" s="7" t="s">
        <v>6261</v>
      </c>
      <c r="E3423" s="8" t="str">
        <f>IFERROR(__xludf.DUMMYFUNCTION("googletranslate(D3423,""id"",""en"")"),"Follow the government .. PPKM Level")</f>
        <v>Follow the government .. PPKM Level</v>
      </c>
    </row>
    <row r="3424" ht="15.75" customHeight="1">
      <c r="A3424" s="2">
        <v>3424.0</v>
      </c>
      <c r="B3424" s="5" t="s">
        <v>6262</v>
      </c>
      <c r="C3424" s="6">
        <v>2.0</v>
      </c>
      <c r="D3424" s="7" t="s">
        <v>6262</v>
      </c>
      <c r="E3424" s="8" t="str">
        <f>IFERROR(__xludf.DUMMYFUNCTION("googletranslate(D3424,""id"",""en"")"),"Ppkm extended gaaa?")</f>
        <v>Ppkm extended gaaa?</v>
      </c>
    </row>
    <row r="3425" ht="15.75" customHeight="1">
      <c r="A3425" s="2">
        <v>3425.0</v>
      </c>
      <c r="B3425" s="5" t="s">
        <v>6263</v>
      </c>
      <c r="C3425" s="6">
        <v>2.0</v>
      </c>
      <c r="D3425" s="7" t="s">
        <v>6263</v>
      </c>
      <c r="E3425" s="8" t="str">
        <f>IFERROR(__xludf.DUMMYFUNCTION("googletranslate(D3425,""id"",""en"")"),"Small survey, PPKM or whatever name will be:")</f>
        <v>Small survey, PPKM or whatever name will be:</v>
      </c>
    </row>
    <row r="3426" ht="15.75" customHeight="1">
      <c r="A3426" s="2">
        <v>3426.0</v>
      </c>
      <c r="B3426" s="5" t="s">
        <v>6264</v>
      </c>
      <c r="C3426" s="6">
        <v>1.0</v>
      </c>
      <c r="D3426" s="9" t="s">
        <v>6264</v>
      </c>
      <c r="E3426" s="8" t="str">
        <f>IFERROR(__xludf.DUMMYFUNCTION("googletranslate(D3426,""id"",""en"")"),"what date is the ppkm until what date? my original gabut at home")</f>
        <v>what date is the ppkm until what date? my original gabut at home</v>
      </c>
    </row>
    <row r="3427" ht="15.75" customHeight="1">
      <c r="A3427" s="2">
        <v>3427.0</v>
      </c>
      <c r="B3427" s="5" t="s">
        <v>6265</v>
      </c>
      <c r="C3427" s="6">
        <v>2.0</v>
      </c>
      <c r="D3427" s="7" t="s">
        <v>6266</v>
      </c>
      <c r="E3427" s="8" t="str">
        <f>IFERROR(__xludf.DUMMYFUNCTION("googletranslate(D3427,""id"",""en"")"),"After seeing a Copid daily case in the city, not praying, but I smelled this level PPKM NEXT level")</f>
        <v>After seeing a Copid daily case in the city, not praying, but I smelled this level PPKM NEXT level</v>
      </c>
    </row>
    <row r="3428" ht="15.75" customHeight="1">
      <c r="A3428" s="2">
        <v>3428.0</v>
      </c>
      <c r="B3428" s="5" t="s">
        <v>6267</v>
      </c>
      <c r="C3428" s="6">
        <v>3.0</v>
      </c>
      <c r="D3428" s="9" t="s">
        <v>6268</v>
      </c>
      <c r="E3428" s="8" t="str">
        <f>IFERROR(__xludf.DUMMYFUNCTION("googletranslate(D3428,""id"",""en"")"),"Daily Covid Data in Denpasar Down Even though the Cumulative Case of Balinese Upwards Can Come on, Don't First Dikasi The Mudik Homecoming It to Bali, Stay Take Care, Wear Masks With Charming PPKM")</f>
        <v>Daily Covid Data in Denpasar Down Even though the Cumulative Case of Balinese Upwards Can Come on, Don't First Dikasi The Mudik Homecoming It to Bali, Stay Take Care, Wear Masks With Charming PPKM</v>
      </c>
    </row>
    <row r="3429" ht="15.75" customHeight="1">
      <c r="A3429" s="2">
        <v>3429.0</v>
      </c>
      <c r="B3429" s="5" t="s">
        <v>6269</v>
      </c>
      <c r="C3429" s="6">
        <v>2.0</v>
      </c>
      <c r="D3429" s="9" t="s">
        <v>6270</v>
      </c>
      <c r="E3429" s="8" t="str">
        <f>IFERROR(__xludf.DUMMYFUNCTION("googletranslate(D3429,""id"",""en"")"),"If you wait for the case to drop below Rb per day, it can be until this September the PPKM")</f>
        <v>If you wait for the case to drop below Rb per day, it can be until this September the PPKM</v>
      </c>
    </row>
    <row r="3430" ht="15.75" customHeight="1">
      <c r="A3430" s="2">
        <v>3430.0</v>
      </c>
      <c r="B3430" s="5" t="s">
        <v>6271</v>
      </c>
      <c r="C3430" s="6">
        <v>1.0</v>
      </c>
      <c r="D3430" s="9" t="s">
        <v>6272</v>
      </c>
      <c r="E3430" s="8" t="str">
        <f>IFERROR(__xludf.DUMMYFUNCTION("googletranslate(D3430,""id"",""en"")"),"the same, I'm now ga eskul eskul gata because of this ppkm, rich there is no eskul, even though it has come to the race")</f>
        <v>the same, I'm now ga eskul eskul gata because of this ppkm, rich there is no eskul, even though it has come to the race</v>
      </c>
    </row>
    <row r="3431" ht="15.75" customHeight="1">
      <c r="A3431" s="2">
        <v>3431.0</v>
      </c>
      <c r="B3431" s="5" t="s">
        <v>6273</v>
      </c>
      <c r="C3431" s="6">
        <v>2.0</v>
      </c>
      <c r="D3431" s="7" t="s">
        <v>6273</v>
      </c>
      <c r="E3431" s="8" t="str">
        <f>IFERROR(__xludf.DUMMYFUNCTION("googletranslate(D3431,""id"",""en"")"),"Info Dong area sentul still ppkm no ya ... tks")</f>
        <v>Info Dong area sentul still ppkm no ya ... tks</v>
      </c>
    </row>
    <row r="3432" ht="15.75" customHeight="1">
      <c r="A3432" s="2">
        <v>3432.0</v>
      </c>
      <c r="B3432" s="5" t="s">
        <v>6274</v>
      </c>
      <c r="C3432" s="6">
        <v>1.0</v>
      </c>
      <c r="D3432" s="7" t="s">
        <v>6275</v>
      </c>
      <c r="E3432" s="8" t="str">
        <f>IFERROR(__xludf.DUMMYFUNCTION("googletranslate(D3432,""id"",""en"")"),"Mr. I asked, I was answered, bro, was it blooming and PNPM made by who sir? Mr. Ya? How come it turns out cruel, already knowing the ppkm alone difficulty still, paid deposit, the help of just blooming kg dpet, here I know the purpose of my conscience, th"&amp;"e people are hard sir")</f>
        <v>Mr. I asked, I was answered, bro, was it blooming and PNPM made by who sir? Mr. Ya? How come it turns out cruel, already knowing the ppkm alone difficulty still, paid deposit, the help of just blooming kg dpet, here I know the purpose of my conscience, the people are hard sir</v>
      </c>
    </row>
    <row r="3433" ht="15.75" customHeight="1">
      <c r="A3433" s="2">
        <v>3433.0</v>
      </c>
      <c r="B3433" s="5" t="s">
        <v>6276</v>
      </c>
      <c r="C3433" s="6">
        <v>3.0</v>
      </c>
      <c r="D3433" s="7" t="s">
        <v>6277</v>
      </c>
      <c r="E3433" s="8" t="str">
        <f>IFERROR(__xludf.DUMMYFUNCTION("googletranslate(D3433,""id"",""en"")"),"Support PPKM Level in Perpanjendemesta Supports Jokowi")</f>
        <v>Support PPKM Level in Perpanjendemesta Supports Jokowi</v>
      </c>
    </row>
    <row r="3434" ht="15.75" customHeight="1">
      <c r="A3434" s="2">
        <v>3434.0</v>
      </c>
      <c r="B3434" s="5" t="s">
        <v>6278</v>
      </c>
      <c r="C3434" s="6">
        <v>2.0</v>
      </c>
      <c r="D3434" s="7" t="s">
        <v>6279</v>
      </c>
      <c r="E3434" s="8" t="str">
        <f>IFERROR(__xludf.DUMMYFUNCTION("googletranslate(D3434,""id"",""en"")"),"Still waiting for the PPKM to finish")</f>
        <v>Still waiting for the PPKM to finish</v>
      </c>
    </row>
    <row r="3435" ht="15.75" customHeight="1">
      <c r="A3435" s="2">
        <v>3435.0</v>
      </c>
      <c r="B3435" s="5" t="s">
        <v>6280</v>
      </c>
      <c r="C3435" s="6">
        <v>1.0</v>
      </c>
      <c r="D3435" s="9" t="s">
        <v>6281</v>
      </c>
      <c r="E3435" s="8" t="str">
        <f>IFERROR(__xludf.DUMMYFUNCTION("googletranslate(D3435,""id"",""en"")"),"Sad if it seems that the independence day will have any celebration because of the pandemic and PPKM")</f>
        <v>Sad if it seems that the independence day will have any celebration because of the pandemic and PPKM</v>
      </c>
    </row>
    <row r="3436" ht="15.75" customHeight="1">
      <c r="A3436" s="2">
        <v>3436.0</v>
      </c>
      <c r="B3436" s="5" t="s">
        <v>6282</v>
      </c>
      <c r="C3436" s="6">
        <v>2.0</v>
      </c>
      <c r="D3436" s="7" t="s">
        <v>6282</v>
      </c>
      <c r="E3436" s="8" t="str">
        <f>IFERROR(__xludf.DUMMYFUNCTION("googletranslate(D3436,""id"",""en"")"),"ni ppkm already lnjut")</f>
        <v>ni ppkm already lnjut</v>
      </c>
    </row>
    <row r="3437" ht="15.75" customHeight="1">
      <c r="A3437" s="2">
        <v>3437.0</v>
      </c>
      <c r="B3437" s="5" t="s">
        <v>6283</v>
      </c>
      <c r="C3437" s="6">
        <v>3.0</v>
      </c>
      <c r="D3437" s="7" t="s">
        <v>6277</v>
      </c>
      <c r="E3437" s="8" t="str">
        <f>IFERROR(__xludf.DUMMYFUNCTION("googletranslate(D3437,""id"",""en"")"),"Support PPKM Level in Perpanjendemesta Supports Jokowi")</f>
        <v>Support PPKM Level in Perpanjendemesta Supports Jokowi</v>
      </c>
    </row>
    <row r="3438" ht="15.75" customHeight="1">
      <c r="A3438" s="2">
        <v>3438.0</v>
      </c>
      <c r="B3438" s="5" t="s">
        <v>6284</v>
      </c>
      <c r="C3438" s="6">
        <v>2.0</v>
      </c>
      <c r="D3438" s="7" t="s">
        <v>6285</v>
      </c>
      <c r="E3438" s="8" t="str">
        <f>IFERROR(__xludf.DUMMYFUNCTION("googletranslate(D3438,""id"",""en"")"),"Don't KayaknyadaDa Kayaknya there is a case of PPKM activated for me not as tightly 'it'")</f>
        <v>Don't KayaknyadaDa Kayaknya there is a case of PPKM activated for me not as tightly 'it'</v>
      </c>
    </row>
    <row r="3439" ht="15.75" customHeight="1">
      <c r="A3439" s="2">
        <v>3439.0</v>
      </c>
      <c r="B3439" s="5" t="s">
        <v>6286</v>
      </c>
      <c r="C3439" s="6">
        <v>1.0</v>
      </c>
      <c r="D3439" s="7" t="s">
        <v>6287</v>
      </c>
      <c r="E3439" s="8" t="str">
        <f>IFERROR(__xludf.DUMMYFUNCTION("googletranslate(D3439,""id"",""en"")"),"Again, officials make events / parties when pandemics and PPKM levels like this. Bangan blame there are people who are anti-vaccine or don't believe Covid. Should it be above the love of a good example. Or we who are under the people who have to give a go"&amp;"od example to the official up there?")</f>
        <v>Again, officials make events / parties when pandemics and PPKM levels like this. Bangan blame there are people who are anti-vaccine or don't believe Covid. Should it be above the love of a good example. Or we who are under the people who have to give a good example to the official up there?</v>
      </c>
    </row>
    <row r="3440" ht="15.75" customHeight="1">
      <c r="A3440" s="2">
        <v>3440.0</v>
      </c>
      <c r="B3440" s="5" t="s">
        <v>6288</v>
      </c>
      <c r="C3440" s="6">
        <v>2.0</v>
      </c>
      <c r="D3440" s="7" t="s">
        <v>6289</v>
      </c>
      <c r="E3440" s="8" t="str">
        <f>IFERROR(__xludf.DUMMYFUNCTION("googletranslate(D3440,""id"",""en"")"),"Ppkm not ppkm also still cuddle")</f>
        <v>Ppkm not ppkm also still cuddle</v>
      </c>
    </row>
    <row r="3441" ht="15.75" customHeight="1">
      <c r="A3441" s="2">
        <v>3441.0</v>
      </c>
      <c r="B3441" s="5" t="s">
        <v>6290</v>
      </c>
      <c r="C3441" s="6">
        <v>1.0</v>
      </c>
      <c r="D3441" s="9" t="s">
        <v>6291</v>
      </c>
      <c r="E3441" s="8" t="str">
        <f>IFERROR(__xludf.DUMMYFUNCTION("googletranslate(D3441,""id"",""en"")"),"Strangely LG, in my area there is a path in the same direction, one passing down one by the flyover, this bridge line is closed with the reason PPKM and automatically all passing down, making traffic jams. It was for those who were ngide close the road pl"&amp;"s da aing ge moal hanging out in sublime bridge")</f>
        <v>Strangely LG, in my area there is a path in the same direction, one passing down one by the flyover, this bridge line is closed with the reason PPKM and automatically all passing down, making traffic jams. It was for those who were ngide close the road pls da aing ge moal hanging out in sublime bridge</v>
      </c>
    </row>
    <row r="3442" ht="15.75" customHeight="1">
      <c r="A3442" s="2">
        <v>3442.0</v>
      </c>
      <c r="B3442" s="5" t="s">
        <v>6292</v>
      </c>
      <c r="C3442" s="6">
        <v>1.0</v>
      </c>
      <c r="D3442" s="9" t="s">
        <v>6292</v>
      </c>
      <c r="E3442" s="8" t="str">
        <f>IFERROR(__xludf.DUMMYFUNCTION("googletranslate(D3442,""id"",""en"")"),"The last day of PPKM. Extend again just a motorbike that I haven't sold responsibly nihhh")</f>
        <v>The last day of PPKM. Extend again just a motorbike that I haven't sold responsibly nihhh</v>
      </c>
    </row>
    <row r="3443" ht="15.75" customHeight="1">
      <c r="A3443" s="2">
        <v>3443.0</v>
      </c>
      <c r="B3443" s="5" t="s">
        <v>6293</v>
      </c>
      <c r="C3443" s="6">
        <v>2.0</v>
      </c>
      <c r="D3443" s="9" t="s">
        <v>6293</v>
      </c>
      <c r="E3443" s="8" t="str">
        <f>IFERROR(__xludf.DUMMYFUNCTION("googletranslate(D3443,""id"",""en"")"),"Now if you say ""miss"" he answered ""PPKM, Virtual first"".")</f>
        <v>Now if you say "miss" he answered "PPKM, Virtual first".</v>
      </c>
    </row>
    <row r="3444" ht="15.75" customHeight="1">
      <c r="A3444" s="2">
        <v>3444.0</v>
      </c>
      <c r="B3444" s="5" t="s">
        <v>6294</v>
      </c>
      <c r="C3444" s="6">
        <v>2.0</v>
      </c>
      <c r="D3444" s="7" t="s">
        <v>6295</v>
      </c>
      <c r="E3444" s="8" t="str">
        <f>IFERROR(__xludf.DUMMYFUNCTION("googletranslate(D3444,""id"",""en"")"),"at home aj lg ppkm")</f>
        <v>at home aj lg ppkm</v>
      </c>
    </row>
    <row r="3445" ht="15.75" customHeight="1">
      <c r="A3445" s="2">
        <v>3445.0</v>
      </c>
      <c r="B3445" s="5" t="s">
        <v>6296</v>
      </c>
      <c r="C3445" s="6">
        <v>1.0</v>
      </c>
      <c r="D3445" s="9" t="s">
        <v>6296</v>
      </c>
      <c r="E3445" s="8" t="str">
        <f>IFERROR(__xludf.DUMMYFUNCTION("googletranslate(D3445,""id"",""en"")"),"Ohiya fitting ppkm he should be isan because the family is at a positive house but it wong wong wrote ... instead to the market, nitip his sales to his friend ...")</f>
        <v>Ohiya fitting ppkm he should be isan because the family is at a positive house but it wong wong wrote ... instead to the market, nitip his sales to his friend ...</v>
      </c>
    </row>
    <row r="3446" ht="15.75" customHeight="1">
      <c r="A3446" s="2">
        <v>3446.0</v>
      </c>
      <c r="B3446" s="5" t="s">
        <v>6297</v>
      </c>
      <c r="C3446" s="6">
        <v>2.0</v>
      </c>
      <c r="D3446" s="9" t="s">
        <v>6298</v>
      </c>
      <c r="E3446" s="8" t="str">
        <f>IFERROR(__xludf.DUMMYFUNCTION("googletranslate(D3446,""id"",""en"")"),"Not yet Ms. It was hoaxkalo from the website of the state of the government of the government had not made a decision to extend the PPKM")</f>
        <v>Not yet Ms. It was hoaxkalo from the website of the state of the government of the government had not made a decision to extend the PPKM</v>
      </c>
    </row>
    <row r="3447" ht="15.75" customHeight="1">
      <c r="A3447" s="2">
        <v>3447.0</v>
      </c>
      <c r="B3447" s="5" t="s">
        <v>6299</v>
      </c>
      <c r="C3447" s="6">
        <v>1.0</v>
      </c>
      <c r="D3447" s="9" t="s">
        <v>6300</v>
      </c>
      <c r="E3447" s="8" t="str">
        <f>IFERROR(__xludf.DUMMYFUNCTION("googletranslate(D3447,""id"",""en"")"),"The beginning of the passion before you asked for Lockdwon now PPKM noisy forgiveness for the base of the dog in the gonggon cage just big ..")</f>
        <v>The beginning of the passion before you asked for Lockdwon now PPKM noisy forgiveness for the base of the dog in the gonggon cage just big ..</v>
      </c>
    </row>
    <row r="3448" ht="15.75" customHeight="1">
      <c r="A3448" s="2">
        <v>3448.0</v>
      </c>
      <c r="B3448" s="5" t="s">
        <v>6301</v>
      </c>
      <c r="C3448" s="6">
        <v>2.0</v>
      </c>
      <c r="D3448" s="7" t="s">
        <v>6302</v>
      </c>
      <c r="E3448" s="8" t="str">
        <f>IFERROR(__xludf.DUMMYFUNCTION("googletranslate(D3448,""id"",""en"")"),"see aj ntr slesai ppkm, definitely the action is there ...")</f>
        <v>see aj ntr slesai ppkm, definitely the action is there ...</v>
      </c>
    </row>
    <row r="3449" ht="15.75" customHeight="1">
      <c r="A3449" s="2">
        <v>3449.0</v>
      </c>
      <c r="B3449" s="5" t="s">
        <v>6303</v>
      </c>
      <c r="C3449" s="6">
        <v>2.0</v>
      </c>
      <c r="D3449" s="7" t="s">
        <v>6304</v>
      </c>
      <c r="E3449" s="8" t="str">
        <f>IFERROR(__xludf.DUMMYFUNCTION("googletranslate(D3449,""id"",""en"")"),"open ga ppkm gini?")</f>
        <v>open ga ppkm gini?</v>
      </c>
    </row>
    <row r="3450" ht="15.75" customHeight="1">
      <c r="A3450" s="2">
        <v>3450.0</v>
      </c>
      <c r="B3450" s="5" t="s">
        <v>6305</v>
      </c>
      <c r="C3450" s="6">
        <v>2.0</v>
      </c>
      <c r="D3450" s="10" t="s">
        <v>6306</v>
      </c>
      <c r="E3450" s="8" t="str">
        <f>IFERROR(__xludf.DUMMYFUNCTION("googletranslate(D3450,""id"",""en"")"),"Seh ppkm hmm.")</f>
        <v>Seh ppkm hmm.</v>
      </c>
    </row>
    <row r="3451" ht="15.75" customHeight="1">
      <c r="A3451" s="2">
        <v>3451.0</v>
      </c>
      <c r="B3451" s="5" t="s">
        <v>6307</v>
      </c>
      <c r="C3451" s="6">
        <v>2.0</v>
      </c>
      <c r="D3451" s="7" t="s">
        <v>6308</v>
      </c>
      <c r="E3451" s="8" t="str">
        <f>IFERROR(__xludf.DUMMYFUNCTION("googletranslate(D3451,""id"",""en"")"),"Good morning, happy Sunday, the last day of PPKM, hopefully it will not be extended again Spy BS wanders again looking for fortune")</f>
        <v>Good morning, happy Sunday, the last day of PPKM, hopefully it will not be extended again Spy BS wanders again looking for fortune</v>
      </c>
    </row>
    <row r="3452" ht="15.75" customHeight="1">
      <c r="A3452" s="2">
        <v>3452.0</v>
      </c>
      <c r="B3452" s="5" t="s">
        <v>6309</v>
      </c>
      <c r="C3452" s="6">
        <v>2.0</v>
      </c>
      <c r="D3452" s="7" t="s">
        <v>6310</v>
      </c>
      <c r="E3452" s="8" t="str">
        <f>IFERROR(__xludf.DUMMYFUNCTION("googletranslate(D3452,""id"",""en"")"),"PPKM = Slowly I slowly led to seeing the Mesra TerosSmasih morning want to breathe the air as soon as someone passes by jogging together.")</f>
        <v>PPKM = Slowly I slowly led to seeing the Mesra TerosSmasih morning want to breathe the air as soon as someone passes by jogging together.</v>
      </c>
    </row>
    <row r="3453" ht="15.75" customHeight="1">
      <c r="A3453" s="2">
        <v>3453.0</v>
      </c>
      <c r="B3453" s="5" t="s">
        <v>6311</v>
      </c>
      <c r="C3453" s="6">
        <v>1.0</v>
      </c>
      <c r="D3453" s="9" t="s">
        <v>6312</v>
      </c>
      <c r="E3453" s="8" t="str">
        <f>IFERROR(__xludf.DUMMYFUNCTION("googletranslate(D3453,""id"",""en"")"),"PPKM is Useless, at Least in My Place. I live in a village that is the majority of the contents of old people. They still like leaving out the house whether to gather together, celebration or shopping. If in the city area it is still crowded because many "&amp;"work or play.")</f>
        <v>PPKM is Useless, at Least in My Place. I live in a village that is the majority of the contents of old people. They still like leaving out the house whether to gather together, celebration or shopping. If in the city area it is still crowded because many work or play.</v>
      </c>
    </row>
    <row r="3454" ht="15.75" customHeight="1">
      <c r="A3454" s="2">
        <v>3454.0</v>
      </c>
      <c r="B3454" s="5" t="s">
        <v>6313</v>
      </c>
      <c r="C3454" s="6">
        <v>1.0</v>
      </c>
      <c r="D3454" s="7" t="s">
        <v>6314</v>
      </c>
      <c r="E3454" s="8" t="str">
        <f>IFERROR(__xludf.DUMMYFUNCTION("googletranslate(D3454,""id"",""en"")"),"""PPKM Reborn Rubber Level (Pedes Poll)""")</f>
        <v>"PPKM Reborn Rubber Level (Pedes Poll)"</v>
      </c>
    </row>
    <row r="3455" ht="15.75" customHeight="1">
      <c r="A3455" s="2">
        <v>3455.0</v>
      </c>
      <c r="B3455" s="5" t="s">
        <v>6315</v>
      </c>
      <c r="C3455" s="6">
        <v>1.0</v>
      </c>
      <c r="D3455" s="9" t="s">
        <v>6316</v>
      </c>
      <c r="E3455" s="8" t="str">
        <f>IFERROR(__xludf.DUMMYFUNCTION("googletranslate(D3455,""id"",""en"")"),"It was the fact that it was that after the time of PSBB Ampek PPKM was there, it was in ... his people were told to be in the house. Then ""foreign guest"" is invited to enter")</f>
        <v>It was the fact that it was that after the time of PSBB Ampek PPKM was there, it was in ... his people were told to be in the house. Then "foreign guest" is invited to enter</v>
      </c>
    </row>
    <row r="3456" ht="15.75" customHeight="1">
      <c r="A3456" s="2">
        <v>3456.0</v>
      </c>
      <c r="B3456" s="5" t="s">
        <v>6317</v>
      </c>
      <c r="C3456" s="6">
        <v>1.0</v>
      </c>
      <c r="D3456" s="7" t="s">
        <v>6318</v>
      </c>
      <c r="E3456" s="8" t="str">
        <f>IFERROR(__xludf.DUMMYFUNCTION("googletranslate(D3456,""id"",""en"")"),"Tydac PPKM produces results at all")</f>
        <v>Tydac PPKM produces results at all</v>
      </c>
    </row>
    <row r="3457" ht="15.75" customHeight="1">
      <c r="A3457" s="2">
        <v>3457.0</v>
      </c>
      <c r="B3457" s="5" t="s">
        <v>6319</v>
      </c>
      <c r="C3457" s="6">
        <v>2.0</v>
      </c>
      <c r="D3457" s="7" t="s">
        <v>6320</v>
      </c>
      <c r="E3457" s="8" t="str">
        <f>IFERROR(__xludf.DUMMYFUNCTION("googletranslate(D3457,""id"",""en"")"),"just at home nder right ppkm wkwkwk")</f>
        <v>just at home nder right ppkm wkwkwk</v>
      </c>
    </row>
    <row r="3458" ht="15.75" customHeight="1">
      <c r="A3458" s="2">
        <v>3458.0</v>
      </c>
      <c r="B3458" s="5" t="s">
        <v>6321</v>
      </c>
      <c r="C3458" s="6">
        <v>2.0</v>
      </c>
      <c r="D3458" s="9" t="s">
        <v>6322</v>
      </c>
      <c r="E3458" s="8" t="str">
        <f>IFERROR(__xludf.DUMMYFUNCTION("googletranslate(D3458,""id"",""en"")"),"Nnti deh if it's not possible because I play it on my friend's computer")</f>
        <v>Nnti deh if it's not possible because I play it on my friend's computer</v>
      </c>
    </row>
    <row r="3459" ht="15.75" customHeight="1">
      <c r="A3459" s="2">
        <v>3459.0</v>
      </c>
      <c r="B3459" s="5" t="s">
        <v>6323</v>
      </c>
      <c r="C3459" s="6">
        <v>3.0</v>
      </c>
      <c r="D3459" s="7" t="s">
        <v>6324</v>
      </c>
      <c r="E3459" s="8" t="str">
        <f>IFERROR(__xludf.DUMMYFUNCTION("googletranslate(D3459,""id"",""en"")"),"Do you want to quarantine the region!? ... the PPKM person has a massive demonstration ... the important thing is to obey the proced to prevent transmission")</f>
        <v>Do you want to quarantine the region!? ... the PPKM person has a massive demonstration ... the important thing is to obey the proced to prevent transmission</v>
      </c>
    </row>
    <row r="3460" ht="15.75" customHeight="1">
      <c r="A3460" s="2">
        <v>3460.0</v>
      </c>
      <c r="B3460" s="5" t="s">
        <v>6325</v>
      </c>
      <c r="C3460" s="6">
        <v>1.0</v>
      </c>
      <c r="D3460" s="9" t="s">
        <v>6326</v>
      </c>
      <c r="E3460" s="8" t="str">
        <f>IFERROR(__xludf.DUMMYFUNCTION("googletranslate(D3460,""id"",""en"")"),"The key in the area, regional head, sub-district head, lurah, RW, RT must be one direction with the center if under relax2 prokes are not supervised by PPKM msh losss, it's useless")</f>
        <v>The key in the area, regional head, sub-district head, lurah, RW, RT must be one direction with the center if under relax2 prokes are not supervised by PPKM msh losss, it's useless</v>
      </c>
    </row>
    <row r="3461" ht="15.75" customHeight="1">
      <c r="A3461" s="2">
        <v>3461.0</v>
      </c>
      <c r="B3461" s="5" t="s">
        <v>6327</v>
      </c>
      <c r="C3461" s="6">
        <v>1.0</v>
      </c>
      <c r="D3461" s="7" t="s">
        <v>6328</v>
      </c>
      <c r="E3461" s="8" t="str">
        <f>IFERROR(__xludf.DUMMYFUNCTION("googletranslate(D3461,""id"",""en"")"),"Can't hang out PPKM Guiseee")</f>
        <v>Can't hang out PPKM Guiseee</v>
      </c>
    </row>
    <row r="3462" ht="15.75" customHeight="1">
      <c r="A3462" s="2">
        <v>3462.0</v>
      </c>
      <c r="B3462" s="5" t="s">
        <v>6329</v>
      </c>
      <c r="C3462" s="6">
        <v>2.0</v>
      </c>
      <c r="D3462" s="7" t="s">
        <v>6329</v>
      </c>
      <c r="E3462" s="8" t="str">
        <f>IFERROR(__xludf.DUMMYFUNCTION("googletranslate(D3462,""id"",""en"")"),"gais ppkm extended again or not ???")</f>
        <v>gais ppkm extended again or not ???</v>
      </c>
    </row>
    <row r="3463" ht="15.75" customHeight="1">
      <c r="A3463" s="2">
        <v>3463.0</v>
      </c>
      <c r="B3463" s="5" t="s">
        <v>6330</v>
      </c>
      <c r="C3463" s="6">
        <v>2.0</v>
      </c>
      <c r="D3463" s="7" t="s">
        <v>6330</v>
      </c>
      <c r="E3463" s="8" t="str">
        <f>IFERROR(__xludf.DUMMYFUNCTION("googletranslate(D3463,""id"",""en"")"),"For some people, the PPKM interferes with activities, for others, PPKM is a way to take a short break from the routine of activities.")</f>
        <v>For some people, the PPKM interferes with activities, for others, PPKM is a way to take a short break from the routine of activities.</v>
      </c>
    </row>
    <row r="3464" ht="15.75" customHeight="1">
      <c r="A3464" s="2">
        <v>3464.0</v>
      </c>
      <c r="B3464" s="5" t="s">
        <v>6331</v>
      </c>
      <c r="C3464" s="6">
        <v>2.0</v>
      </c>
      <c r="D3464" s="7" t="s">
        <v>6332</v>
      </c>
      <c r="E3464" s="8" t="str">
        <f>IFERROR(__xludf.DUMMYFUNCTION("googletranslate(D3464,""id"",""en"")"),"Awkaawko, God willing, Bang Abis PPKM H3H3")</f>
        <v>Awkaawko, God willing, Bang Abis PPKM H3H3</v>
      </c>
    </row>
    <row r="3465" ht="15.75" customHeight="1">
      <c r="A3465" s="2">
        <v>3465.0</v>
      </c>
      <c r="B3465" s="5" t="s">
        <v>6333</v>
      </c>
      <c r="C3465" s="6">
        <v>2.0</v>
      </c>
      <c r="D3465" s="9" t="s">
        <v>6334</v>
      </c>
      <c r="E3465" s="8" t="str">
        <f>IFERROR(__xludf.DUMMYFUNCTION("googletranslate(D3465,""id"",""en"")"),"Honestly. Today is the last date of the PPKM right? Tomorrow it's loose again.")</f>
        <v>Honestly. Today is the last date of the PPKM right? Tomorrow it's loose again.</v>
      </c>
    </row>
    <row r="3466" ht="15.75" customHeight="1">
      <c r="A3466" s="2">
        <v>3466.0</v>
      </c>
      <c r="B3466" s="5" t="s">
        <v>6335</v>
      </c>
      <c r="C3466" s="6">
        <v>2.0</v>
      </c>
      <c r="D3466" s="7" t="s">
        <v>6336</v>
      </c>
      <c r="E3466" s="8" t="str">
        <f>IFERROR(__xludf.DUMMYFUNCTION("googletranslate(D3466,""id"",""en"")"),"gapapa udh kan ppkm")</f>
        <v>gapapa udh kan ppkm</v>
      </c>
    </row>
    <row r="3467" ht="15.75" customHeight="1">
      <c r="A3467" s="2">
        <v>3467.0</v>
      </c>
      <c r="B3467" s="5" t="s">
        <v>6337</v>
      </c>
      <c r="C3467" s="6">
        <v>3.0</v>
      </c>
      <c r="D3467" s="7" t="s">
        <v>6338</v>
      </c>
      <c r="E3467" s="8" t="str">
        <f>IFERROR(__xludf.DUMMYFUNCTION("googletranslate(D3467,""id"",""en"")"),"I saw, PPKM became diligent in captured. Make something. This time, making ice cork taste mango")</f>
        <v>I saw, PPKM became diligent in captured. Make something. This time, making ice cork taste mango</v>
      </c>
    </row>
    <row r="3468" ht="15.75" customHeight="1">
      <c r="A3468" s="2">
        <v>3468.0</v>
      </c>
      <c r="B3468" s="5" t="s">
        <v>6339</v>
      </c>
      <c r="C3468" s="6">
        <v>2.0</v>
      </c>
      <c r="D3468" s="7" t="s">
        <v>6339</v>
      </c>
      <c r="E3468" s="8" t="str">
        <f>IFERROR(__xludf.DUMMYFUNCTION("googletranslate(D3468,""id"",""en"")"),"Ppkm udh slesai huh?")</f>
        <v>Ppkm udh slesai huh?</v>
      </c>
    </row>
    <row r="3469" ht="15.75" customHeight="1">
      <c r="A3469" s="2">
        <v>3469.0</v>
      </c>
      <c r="B3469" s="5" t="s">
        <v>6340</v>
      </c>
      <c r="C3469" s="6">
        <v>3.0</v>
      </c>
      <c r="D3469" s="9" t="s">
        <v>6341</v>
      </c>
      <c r="E3469" s="8" t="str">
        <f>IFERROR(__xludf.DUMMYFUNCTION("googletranslate(D3469,""id"",""en"")"),"Progress distribution of village assistance percentage% the highest stone city, for villages that are tried with assistance there are villages and villages that have not yet, the allocation of village funds for micro PPKM for handling Covid-19")</f>
        <v>Progress distribution of village assistance percentage% the highest stone city, for villages that are tried with assistance there are villages and villages that have not yet, the allocation of village funds for micro PPKM for handling Covid-19</v>
      </c>
    </row>
    <row r="3470" ht="15.75" customHeight="1">
      <c r="A3470" s="2">
        <v>3470.0</v>
      </c>
      <c r="B3470" s="5" t="s">
        <v>6342</v>
      </c>
      <c r="C3470" s="6">
        <v>2.0</v>
      </c>
      <c r="D3470" s="10" t="s">
        <v>6343</v>
      </c>
      <c r="E3470" s="8" t="str">
        <f>IFERROR(__xludf.DUMMYFUNCTION("googletranslate(D3470,""id"",""en"")"),"PPKM LANJOOT.")</f>
        <v>PPKM LANJOOT.</v>
      </c>
    </row>
    <row r="3471" ht="15.75" customHeight="1">
      <c r="A3471" s="2">
        <v>3471.0</v>
      </c>
      <c r="B3471" s="5" t="s">
        <v>6344</v>
      </c>
      <c r="C3471" s="6">
        <v>1.0</v>
      </c>
      <c r="D3471" s="7" t="s">
        <v>6345</v>
      </c>
      <c r="E3471" s="8" t="str">
        <f>IFERROR(__xludf.DUMMYFUNCTION("googletranslate(D3471,""id"",""en"")"),"It's time for PPKM to be done")</f>
        <v>It's time for PPKM to be done</v>
      </c>
    </row>
    <row r="3472" ht="15.75" customHeight="1">
      <c r="A3472" s="2">
        <v>3472.0</v>
      </c>
      <c r="B3472" s="5" t="s">
        <v>6346</v>
      </c>
      <c r="C3472" s="6">
        <v>3.0</v>
      </c>
      <c r="D3472" s="7" t="s">
        <v>6347</v>
      </c>
      <c r="E3472" s="8" t="str">
        <f>IFERROR(__xludf.DUMMYFUNCTION("googletranslate(D3472,""id"",""en"")"),"Simpuiting JobDesc Simple2 to the People Ala Buk Risma Gidih Kuda SIK can inspire other ministers so that exyen is similar in the period of PPKM. important so that people are happy")</f>
        <v>Simpuiting JobDesc Simple2 to the People Ala Buk Risma Gidih Kuda SIK can inspire other ministers so that exyen is similar in the period of PPKM. important so that people are happy</v>
      </c>
    </row>
    <row r="3473" ht="15.75" customHeight="1">
      <c r="A3473" s="2">
        <v>3473.0</v>
      </c>
      <c r="B3473" s="5" t="s">
        <v>6348</v>
      </c>
      <c r="C3473" s="6">
        <v>2.0</v>
      </c>
      <c r="D3473" s="10" t="s">
        <v>6349</v>
      </c>
      <c r="E3473" s="8" t="str">
        <f>IFERROR(__xludf.DUMMYFUNCTION("googletranslate(D3473,""id"",""en"")"),"Kan PPKM.")</f>
        <v>Kan PPKM.</v>
      </c>
    </row>
    <row r="3474" ht="15.75" customHeight="1">
      <c r="A3474" s="2">
        <v>3474.0</v>
      </c>
      <c r="B3474" s="5" t="s">
        <v>6350</v>
      </c>
      <c r="C3474" s="6">
        <v>2.0</v>
      </c>
      <c r="D3474" s="7" t="s">
        <v>6350</v>
      </c>
      <c r="E3474" s="8" t="str">
        <f>IFERROR(__xludf.DUMMYFUNCTION("googletranslate(D3474,""id"",""en"")"),"Ppkm jd extended g anyway")</f>
        <v>Ppkm jd extended g anyway</v>
      </c>
    </row>
    <row r="3475" ht="15.75" customHeight="1">
      <c r="A3475" s="2">
        <v>3475.0</v>
      </c>
      <c r="B3475" s="5" t="s">
        <v>6351</v>
      </c>
      <c r="C3475" s="6">
        <v>2.0</v>
      </c>
      <c r="D3475" s="7" t="s">
        <v>6351</v>
      </c>
      <c r="E3475" s="8" t="str">
        <f>IFERROR(__xludf.DUMMYFUNCTION("googletranslate(D3475,""id"",""en"")"),"PPKM ends you where to go?")</f>
        <v>PPKM ends you where to go?</v>
      </c>
    </row>
    <row r="3476" ht="15.75" customHeight="1">
      <c r="A3476" s="2">
        <v>3476.0</v>
      </c>
      <c r="B3476" s="5" t="s">
        <v>6352</v>
      </c>
      <c r="C3476" s="6">
        <v>1.0</v>
      </c>
      <c r="D3476" s="7" t="s">
        <v>6353</v>
      </c>
      <c r="E3476" s="8" t="str">
        <f>IFERROR(__xludf.DUMMYFUNCTION("googletranslate(D3476,""id"",""en"")"),"Earthquake ? Replace the President? Change President of Seroja? Change the presidengunung erupted? Change the president's jammed? Replace President of Corona? Replace the president of the PPKM? Change the President of Mai's true bastards !!!")</f>
        <v>Earthquake ? Replace the President? Change President of Seroja? Change the presidengunung erupted? Change the president's jammed? Replace President of Corona? Replace the president of the PPKM? Change the President of Mai's true bastards !!!</v>
      </c>
    </row>
    <row r="3477" ht="15.75" customHeight="1">
      <c r="A3477" s="2">
        <v>3477.0</v>
      </c>
      <c r="B3477" s="5" t="s">
        <v>6354</v>
      </c>
      <c r="C3477" s="6">
        <v>2.0</v>
      </c>
      <c r="D3477" s="9" t="s">
        <v>6355</v>
      </c>
      <c r="E3477" s="8" t="str">
        <f>IFERROR(__xludf.DUMMYFUNCTION("googletranslate(D3477,""id"",""en"")"),"Does PPKM rules also require the church to close on Sundays?! Please answer our sir in Sorong - West Papua")</f>
        <v>Does PPKM rules also require the church to close on Sundays?! Please answer our sir in Sorong - West Papua</v>
      </c>
    </row>
    <row r="3478" ht="15.75" customHeight="1">
      <c r="A3478" s="2">
        <v>3478.0</v>
      </c>
      <c r="B3478" s="5" t="s">
        <v>6356</v>
      </c>
      <c r="C3478" s="6">
        <v>2.0</v>
      </c>
      <c r="D3478" s="9" t="s">
        <v>6357</v>
      </c>
      <c r="E3478" s="8" t="str">
        <f>IFERROR(__xludf.DUMMYFUNCTION("googletranslate(D3478,""id"",""en"")"),"Here some insist on asking for lockdown &amp; amp; Refuse PPKM. In democracies, it was different from the protest, it was normal, the unusual imposes will, as if his opinion is the most correct. Policy makers must choose those who are rational and according t"&amp;"o circumstances.")</f>
        <v>Here some insist on asking for lockdown &amp; amp; Refuse PPKM. In democracies, it was different from the protest, it was normal, the unusual imposes will, as if his opinion is the most correct. Policy makers must choose those who are rational and according to circumstances.</v>
      </c>
    </row>
    <row r="3479" ht="15.75" customHeight="1">
      <c r="A3479" s="2">
        <v>3479.0</v>
      </c>
      <c r="B3479" s="5" t="s">
        <v>6358</v>
      </c>
      <c r="C3479" s="6">
        <v>1.0</v>
      </c>
      <c r="D3479" s="7" t="s">
        <v>6359</v>
      </c>
      <c r="E3479" s="8" t="str">
        <f>IFERROR(__xludf.DUMMYFUNCTION("googletranslate(D3479,""id"",""en"")"),"Really trachir sentence bro. brasa level kek ppkm. this ppkm what pesen seblak")</f>
        <v>Really trachir sentence bro. brasa level kek ppkm. this ppkm what pesen seblak</v>
      </c>
    </row>
    <row r="3480" ht="15.75" customHeight="1">
      <c r="A3480" s="2">
        <v>3480.0</v>
      </c>
      <c r="B3480" s="5" t="s">
        <v>6360</v>
      </c>
      <c r="C3480" s="6">
        <v>1.0</v>
      </c>
      <c r="D3480" s="7" t="s">
        <v>6361</v>
      </c>
      <c r="E3480" s="8" t="str">
        <f>IFERROR(__xludf.DUMMYFUNCTION("googletranslate(D3480,""id"",""en"")"),"The reason is what PCR is obliged to be encouraged? While others are only antigens. Taiklah PPKM!")</f>
        <v>The reason is what PCR is obliged to be encouraged? While others are only antigens. Taiklah PPKM!</v>
      </c>
    </row>
    <row r="3481" ht="15.75" customHeight="1">
      <c r="A3481" s="2">
        <v>3481.0</v>
      </c>
      <c r="B3481" s="5" t="s">
        <v>6362</v>
      </c>
      <c r="C3481" s="6">
        <v>2.0</v>
      </c>
      <c r="D3481" s="10" t="s">
        <v>6363</v>
      </c>
      <c r="E3481" s="8" t="str">
        <f>IFERROR(__xludf.DUMMYFUNCTION("googletranslate(D3481,""id"",""en"")"),"Ppkm level heart")</f>
        <v>Ppkm level heart</v>
      </c>
    </row>
    <row r="3482" ht="15.75" customHeight="1">
      <c r="A3482" s="2">
        <v>3482.0</v>
      </c>
      <c r="B3482" s="5" t="s">
        <v>6364</v>
      </c>
      <c r="C3482" s="6">
        <v>2.0</v>
      </c>
      <c r="D3482" s="7" t="s">
        <v>6364</v>
      </c>
      <c r="E3482" s="8" t="str">
        <f>IFERROR(__xludf.DUMMYFUNCTION("googletranslate(D3482,""id"",""en"")"),"Jends on PWT PPKM What's up?")</f>
        <v>Jends on PWT PPKM What's up?</v>
      </c>
    </row>
    <row r="3483" ht="15.75" customHeight="1">
      <c r="A3483" s="2">
        <v>3483.0</v>
      </c>
      <c r="B3483" s="5" t="s">
        <v>6365</v>
      </c>
      <c r="C3483" s="6">
        <v>3.0</v>
      </c>
      <c r="D3483" s="9" t="s">
        <v>6366</v>
      </c>
      <c r="E3483" s="8" t="str">
        <f>IFERROR(__xludf.DUMMYFUNCTION("googletranslate(D3483,""id"",""en"")"),"PPKM Level., Whatever Continues Klo is indeed needed. But remember the country's obligations to provide assistance for small people ...")</f>
        <v>PPKM Level., Whatever Continues Klo is indeed needed. But remember the country's obligations to provide assistance for small people ...</v>
      </c>
    </row>
    <row r="3484" ht="15.75" customHeight="1">
      <c r="A3484" s="2">
        <v>3484.0</v>
      </c>
      <c r="B3484" s="5" t="s">
        <v>6367</v>
      </c>
      <c r="C3484" s="6">
        <v>2.0</v>
      </c>
      <c r="D3484" s="7" t="s">
        <v>6367</v>
      </c>
      <c r="E3484" s="8" t="str">
        <f>IFERROR(__xludf.DUMMYFUNCTION("googletranslate(D3484,""id"",""en"")"),"I like PPKM without M")</f>
        <v>I like PPKM without M</v>
      </c>
    </row>
    <row r="3485" ht="15.75" customHeight="1">
      <c r="A3485" s="2">
        <v>3485.0</v>
      </c>
      <c r="B3485" s="5" t="s">
        <v>6368</v>
      </c>
      <c r="C3485" s="6">
        <v>2.0</v>
      </c>
      <c r="D3485" s="10" t="s">
        <v>6369</v>
      </c>
      <c r="E3485" s="8" t="str">
        <f>IFERROR(__xludf.DUMMYFUNCTION("googletranslate(D3485,""id"",""en"")"),"ppkm sis.")</f>
        <v>ppkm sis.</v>
      </c>
    </row>
    <row r="3486" ht="15.75" customHeight="1">
      <c r="A3486" s="2">
        <v>3486.0</v>
      </c>
      <c r="B3486" s="5" t="s">
        <v>6370</v>
      </c>
      <c r="C3486" s="6">
        <v>1.0</v>
      </c>
      <c r="D3486" s="7" t="s">
        <v>6371</v>
      </c>
      <c r="E3486" s="8" t="str">
        <f>IFERROR(__xludf.DUMMYFUNCTION("googletranslate(D3486,""id"",""en"")"),"Forced to cheat because it can't work &amp; amp; Doesn't have this emergency ppkm diamond rice, what is the habit of Nipu People like officials in the Tuban Regional Government for the social development programs who are suspicious of Risma ...?")</f>
        <v>Forced to cheat because it can't work &amp; amp; Doesn't have this emergency ppkm diamond rice, what is the habit of Nipu People like officials in the Tuban Regional Government for the social development programs who are suspicious of Risma ...?</v>
      </c>
    </row>
    <row r="3487" ht="15.75" customHeight="1">
      <c r="A3487" s="2">
        <v>3487.0</v>
      </c>
      <c r="B3487" s="5" t="s">
        <v>6372</v>
      </c>
      <c r="C3487" s="6">
        <v>1.0</v>
      </c>
      <c r="D3487" s="7" t="s">
        <v>6373</v>
      </c>
      <c r="E3487" s="8" t="str">
        <f>IFERROR(__xludf.DUMMYFUNCTION("googletranslate(D3487,""id"",""en"")"),"Makassar PPKM Level, I LEVEL ONLY MI PERCEDIT")</f>
        <v>Makassar PPKM Level, I LEVEL ONLY MI PERCEDIT</v>
      </c>
    </row>
    <row r="3488" ht="15.75" customHeight="1">
      <c r="A3488" s="2">
        <v>3488.0</v>
      </c>
      <c r="B3488" s="5" t="s">
        <v>6374</v>
      </c>
      <c r="C3488" s="6">
        <v>2.0</v>
      </c>
      <c r="D3488" s="9" t="s">
        <v>6374</v>
      </c>
      <c r="E3488" s="8" t="str">
        <f>IFERROR(__xludf.DUMMYFUNCTION("googletranslate(D3488,""id"",""en"")"),"this ppkm if wifi broken how cok")</f>
        <v>this ppkm if wifi broken how cok</v>
      </c>
    </row>
    <row r="3489" ht="15.75" customHeight="1">
      <c r="A3489" s="2">
        <v>3489.0</v>
      </c>
      <c r="B3489" s="5" t="s">
        <v>6375</v>
      </c>
      <c r="C3489" s="6">
        <v>2.0</v>
      </c>
      <c r="D3489" s="7" t="s">
        <v>6376</v>
      </c>
      <c r="E3489" s="8" t="str">
        <f>IFERROR(__xludf.DUMMYFUNCTION("googletranslate(D3489,""id"",""en"")"),"Think of him or his left ppkm? Eh, if the PPKM is delivered or stopped by the level, how come?")</f>
        <v>Think of him or his left ppkm? Eh, if the PPKM is delivered or stopped by the level, how come?</v>
      </c>
    </row>
    <row r="3490" ht="15.75" customHeight="1">
      <c r="A3490" s="2">
        <v>3490.0</v>
      </c>
      <c r="B3490" s="5" t="s">
        <v>6377</v>
      </c>
      <c r="C3490" s="6">
        <v>2.0</v>
      </c>
      <c r="D3490" s="9" t="s">
        <v>6378</v>
      </c>
      <c r="E3490" s="8" t="str">
        <f>IFERROR(__xludf.DUMMYFUNCTION("googletranslate(D3490,""id"",""en"")"),"Gini gangs for those who don't follow, the Java-Bali PPKM is bkal in a loosen gradual per July bsk if there is a trend to reduce Covid cases. Loosen, there is a level, LVL. $ Number $ PPKM Mikrolvl. $ Number $ PPKM Emergency Determination LVL Based on Cov"&amp;"id Case per K PNDukit in a Week")</f>
        <v>Gini gangs for those who don't follow, the Java-Bali PPKM is bkal in a loosen gradual per July bsk if there is a trend to reduce Covid cases. Loosen, there is a level, LVL. $ Number $ PPKM Mikrolvl. $ Number $ PPKM Emergency Determination LVL Based on Covid Case per K PNDukit in a Week</v>
      </c>
    </row>
    <row r="3491" ht="15.75" customHeight="1">
      <c r="A3491" s="2">
        <v>3491.0</v>
      </c>
      <c r="B3491" s="5" t="s">
        <v>6379</v>
      </c>
      <c r="C3491" s="6">
        <v>2.0</v>
      </c>
      <c r="D3491" s="10" t="s">
        <v>6380</v>
      </c>
      <c r="E3491" s="8" t="str">
        <f>IFERROR(__xludf.DUMMYFUNCTION("googletranslate(D3491,""id"",""en"")"),"PPKM Shan.")</f>
        <v>PPKM Shan.</v>
      </c>
    </row>
    <row r="3492" ht="15.75" customHeight="1">
      <c r="A3492" s="2">
        <v>3492.0</v>
      </c>
      <c r="B3492" s="5" t="s">
        <v>6381</v>
      </c>
      <c r="C3492" s="6">
        <v>1.0</v>
      </c>
      <c r="D3492" s="7" t="s">
        <v>6382</v>
      </c>
      <c r="E3492" s="8" t="str">
        <f>IFERROR(__xludf.DUMMYFUNCTION("googletranslate(D3492,""id"",""en"")"),"Nahh ... I know it's empty ... thank you the people get free of vitamins. Or don't his vitality also join PPKM? Hopefully not a new business to be monopolized. Like news news symptoms that there are people who are pedekate to the company ..")</f>
        <v>Nahh ... I know it's empty ... thank you the people get free of vitamins. Or don't his vitality also join PPKM? Hopefully not a new business to be monopolized. Like news news symptoms that there are people who are pedekate to the company ..</v>
      </c>
    </row>
    <row r="3493" ht="15.75" customHeight="1">
      <c r="A3493" s="2">
        <v>3493.0</v>
      </c>
      <c r="B3493" s="5" t="s">
        <v>6383</v>
      </c>
      <c r="C3493" s="6">
        <v>1.0</v>
      </c>
      <c r="D3493" s="7" t="s">
        <v>6384</v>
      </c>
      <c r="E3493" s="8" t="str">
        <f>IFERROR(__xludf.DUMMYFUNCTION("googletranslate(D3493,""id"",""en"")"),"This PPKM is a goal to prevent a chassper, traders should be given directed direction until the shopping gathered, if many who are shopping for waiting for the queue, not limited to the closed of the shop, the community needs to live.")</f>
        <v>This PPKM is a goal to prevent a chassper, traders should be given directed direction until the shopping gathered, if many who are shopping for waiting for the queue, not limited to the closed of the shop, the community needs to live.</v>
      </c>
    </row>
    <row r="3494" ht="15.75" customHeight="1">
      <c r="A3494" s="2">
        <v>3494.0</v>
      </c>
      <c r="B3494" s="5" t="s">
        <v>6385</v>
      </c>
      <c r="C3494" s="6">
        <v>2.0</v>
      </c>
      <c r="D3494" s="7" t="s">
        <v>6385</v>
      </c>
      <c r="E3494" s="8" t="str">
        <f>IFERROR(__xludf.DUMMYFUNCTION("googletranslate(D3494,""id"",""en"")"),"Ppkm extended again ??")</f>
        <v>Ppkm extended again ??</v>
      </c>
    </row>
    <row r="3495" ht="15.75" customHeight="1">
      <c r="A3495" s="2">
        <v>3495.0</v>
      </c>
      <c r="B3495" s="5" t="s">
        <v>6386</v>
      </c>
      <c r="C3495" s="6">
        <v>2.0</v>
      </c>
      <c r="D3495" s="7" t="s">
        <v>6387</v>
      </c>
      <c r="E3495" s="8" t="str">
        <f>IFERROR(__xludf.DUMMYFUNCTION("googletranslate(D3495,""id"",""en"")"),"It seems that the St. Thing I will do after Emergency PPKM is finished is culinary: "") Bay diet hahahaha")</f>
        <v>It seems that the St. Thing I will do after Emergency PPKM is finished is culinary: ") Bay diet hahahaha</v>
      </c>
    </row>
    <row r="3496" ht="15.75" customHeight="1">
      <c r="A3496" s="2">
        <v>3496.0</v>
      </c>
      <c r="B3496" s="5" t="s">
        <v>6388</v>
      </c>
      <c r="C3496" s="6">
        <v>2.0</v>
      </c>
      <c r="D3496" s="7" t="s">
        <v>6388</v>
      </c>
      <c r="E3496" s="8" t="str">
        <f>IFERROR(__xludf.DUMMYFUNCTION("googletranslate(D3496,""id"",""en"")"),"Tomorrow is still ppkm, huh? Want to Jakarta, really laptops.")</f>
        <v>Tomorrow is still ppkm, huh? Want to Jakarta, really laptops.</v>
      </c>
    </row>
    <row r="3497" ht="15.75" customHeight="1">
      <c r="A3497" s="2">
        <v>3497.0</v>
      </c>
      <c r="B3497" s="5" t="s">
        <v>6389</v>
      </c>
      <c r="C3497" s="6">
        <v>1.0</v>
      </c>
      <c r="D3497" s="7" t="s">
        <v>6390</v>
      </c>
      <c r="E3497" s="8" t="str">
        <f>IFERROR(__xludf.DUMMYFUNCTION("googletranslate(D3497,""id"",""en"")"),"already ppkm again again the enemy is really covid ni")</f>
        <v>already ppkm again again the enemy is really covid ni</v>
      </c>
    </row>
    <row r="3498" ht="15.75" customHeight="1">
      <c r="A3498" s="2">
        <v>3498.0</v>
      </c>
      <c r="B3498" s="5" t="s">
        <v>6391</v>
      </c>
      <c r="C3498" s="6">
        <v>1.0</v>
      </c>
      <c r="D3498" s="7" t="s">
        <v>6392</v>
      </c>
      <c r="E3498" s="8" t="str">
        <f>IFERROR(__xludf.DUMMYFUNCTION("googletranslate(D3498,""id"",""en"")"),"The Chinese people mean? When the PPKM arrived at Boncabe Tetep Tetep Benggang Kangkung Enter RI by Airport?")</f>
        <v>The Chinese people mean? When the PPKM arrived at Boncabe Tetep Tetep Benggang Kangkung Enter RI by Airport?</v>
      </c>
    </row>
    <row r="3499" ht="15.75" customHeight="1">
      <c r="A3499" s="2">
        <v>3499.0</v>
      </c>
      <c r="B3499" s="5" t="s">
        <v>6393</v>
      </c>
      <c r="C3499" s="6">
        <v>1.0</v>
      </c>
      <c r="D3499" s="7" t="s">
        <v>6394</v>
      </c>
      <c r="E3499" s="8" t="str">
        <f>IFERROR(__xludf.DUMMYFUNCTION("googletranslate(D3499,""id"",""en"")"),"PPKM here, extended until August. Haduuuuw.")</f>
        <v>PPKM here, extended until August. Haduuuuw.</v>
      </c>
    </row>
    <row r="3500" ht="15.75" customHeight="1">
      <c r="A3500" s="2">
        <v>3500.0</v>
      </c>
      <c r="B3500" s="5" t="s">
        <v>6395</v>
      </c>
      <c r="C3500" s="6">
        <v>1.0</v>
      </c>
      <c r="D3500" s="7" t="s">
        <v>6395</v>
      </c>
      <c r="E3500" s="8" t="str">
        <f>IFERROR(__xludf.DUMMYFUNCTION("googletranslate(D3500,""id"",""en"")"),"During PPKM, especially yesterday, yesterday it didn't control Bangett at BB, until I wanted to see the relevant scale of the IHHH")</f>
        <v>During PPKM, especially yesterday, yesterday it didn't control Bangett at BB, until I wanted to see the relevant scale of the IHHH</v>
      </c>
    </row>
    <row r="3501" ht="15.75" customHeight="1">
      <c r="A3501" s="2">
        <v>3501.0</v>
      </c>
      <c r="B3501" s="5" t="s">
        <v>6396</v>
      </c>
      <c r="C3501" s="6">
        <v>2.0</v>
      </c>
      <c r="D3501" s="10" t="s">
        <v>6397</v>
      </c>
      <c r="E3501" s="8" t="str">
        <f>IFERROR(__xludf.DUMMYFUNCTION("googletranslate(D3501,""id"",""en"")"),"This ppkm ????")</f>
        <v>This ppkm ????</v>
      </c>
    </row>
    <row r="3502" ht="15.75" customHeight="1">
      <c r="A3502" s="2">
        <v>3502.0</v>
      </c>
      <c r="B3502" s="5" t="s">
        <v>6398</v>
      </c>
      <c r="C3502" s="6">
        <v>2.0</v>
      </c>
      <c r="D3502" s="7" t="s">
        <v>6399</v>
      </c>
      <c r="E3502" s="8" t="str">
        <f>IFERROR(__xludf.DUMMYFUNCTION("googletranslate(D3502,""id"",""en"")"),"Again the ppkm like this halal mah what is worked on")</f>
        <v>Again the ppkm like this halal mah what is worked on</v>
      </c>
    </row>
    <row r="3503" ht="15.75" customHeight="1">
      <c r="A3503" s="2">
        <v>3503.0</v>
      </c>
      <c r="B3503" s="5" t="s">
        <v>6400</v>
      </c>
      <c r="C3503" s="6">
        <v>1.0</v>
      </c>
      <c r="D3503" s="9" t="s">
        <v>6401</v>
      </c>
      <c r="E3503" s="8" t="str">
        <f>IFERROR(__xludf.DUMMYFUNCTION("googletranslate(D3503,""id"",""en"")"),"Keep Thesis Thesis and File Files That Are Hinded by PPKM, Make It Gabisa Sleeping Chat Admin Shopee For Nanya Nerbener Fabric Gabisa Bnyk My Mind, Pen Mulu Pdhl Poor")</f>
        <v>Keep Thesis Thesis and File Files That Are Hinded by PPKM, Make It Gabisa Sleeping Chat Admin Shopee For Nanya Nerbener Fabric Gabisa Bnyk My Mind, Pen Mulu Pdhl Poor</v>
      </c>
    </row>
    <row r="3504" ht="15.75" customHeight="1">
      <c r="A3504" s="2">
        <v>3504.0</v>
      </c>
      <c r="B3504" s="5" t="s">
        <v>6402</v>
      </c>
      <c r="C3504" s="6">
        <v>2.0</v>
      </c>
      <c r="D3504" s="7" t="s">
        <v>6403</v>
      </c>
      <c r="E3504" s="8" t="str">
        <f>IFERROR(__xludf.DUMMYFUNCTION("googletranslate(D3504,""id"",""en"")"),"Their rules want to convey the aspirations of the community, regarding the impact of the PPKM.")</f>
        <v>Their rules want to convey the aspirations of the community, regarding the impact of the PPKM.</v>
      </c>
    </row>
    <row r="3505" ht="15.75" customHeight="1">
      <c r="A3505" s="2">
        <v>3505.0</v>
      </c>
      <c r="B3505" s="5" t="s">
        <v>6404</v>
      </c>
      <c r="C3505" s="6">
        <v>1.0</v>
      </c>
      <c r="D3505" s="7" t="s">
        <v>6404</v>
      </c>
      <c r="E3505" s="8" t="str">
        <f>IFERROR(__xludf.DUMMYFUNCTION("googletranslate(D3505,""id"",""en"")"),"Already my stubborn, see your mamak to stretch because of PPKM")</f>
        <v>Already my stubborn, see your mamak to stretch because of PPKM</v>
      </c>
    </row>
    <row r="3506" ht="15.75" customHeight="1">
      <c r="A3506" s="2">
        <v>3506.0</v>
      </c>
      <c r="B3506" s="5" t="s">
        <v>6405</v>
      </c>
      <c r="C3506" s="6">
        <v>2.0</v>
      </c>
      <c r="D3506" s="7" t="s">
        <v>6406</v>
      </c>
      <c r="E3506" s="8" t="str">
        <f>IFERROR(__xludf.DUMMYFUNCTION("googletranslate(D3506,""id"",""en"")"),"Next, there's a ppkm ...")</f>
        <v>Next, there's a ppkm ...</v>
      </c>
    </row>
    <row r="3507" ht="15.75" customHeight="1">
      <c r="A3507" s="2">
        <v>3507.0</v>
      </c>
      <c r="B3507" s="5" t="s">
        <v>6407</v>
      </c>
      <c r="C3507" s="6">
        <v>1.0</v>
      </c>
      <c r="D3507" s="9" t="s">
        <v>6408</v>
      </c>
      <c r="E3507" s="8" t="str">
        <f>IFERROR(__xludf.DUMMYFUNCTION("googletranslate(D3507,""id"",""en"")"),"This is the logic of what? The president does not calm his people with the availability of the drug, instead announced that the drug is difficult to obtain, it is difficult, difficult drugs ... ,, where the state function is so")</f>
        <v>This is the logic of what? The president does not calm his people with the availability of the drug, instead announced that the drug is difficult to obtain, it is difficult, difficult drugs ... ,, where the state function is so</v>
      </c>
    </row>
    <row r="3508" ht="15.75" customHeight="1">
      <c r="A3508" s="2">
        <v>3508.0</v>
      </c>
      <c r="B3508" s="5" t="s">
        <v>6409</v>
      </c>
      <c r="C3508" s="6">
        <v>1.0</v>
      </c>
      <c r="D3508" s="7" t="s">
        <v>6409</v>
      </c>
      <c r="E3508" s="8" t="str">
        <f>IFERROR(__xludf.DUMMYFUNCTION("googletranslate(D3508,""id"",""en"")"),"Current conditions again need dollars, ppkm oh ppkm")</f>
        <v>Current conditions again need dollars, ppkm oh ppkm</v>
      </c>
    </row>
    <row r="3509" ht="15.75" customHeight="1">
      <c r="A3509" s="2">
        <v>3509.0</v>
      </c>
      <c r="B3509" s="5" t="s">
        <v>6410</v>
      </c>
      <c r="C3509" s="6">
        <v>2.0</v>
      </c>
      <c r="D3509" s="7" t="s">
        <v>6411</v>
      </c>
      <c r="E3509" s="8" t="str">
        <f>IFERROR(__xludf.DUMMYFUNCTION("googletranslate(D3509,""id"",""en"")"),"Tomorrow starts PPKM")</f>
        <v>Tomorrow starts PPKM</v>
      </c>
    </row>
    <row r="3510" ht="15.75" customHeight="1">
      <c r="A3510" s="2">
        <v>3510.0</v>
      </c>
      <c r="B3510" s="5" t="s">
        <v>6412</v>
      </c>
      <c r="C3510" s="6">
        <v>2.0</v>
      </c>
      <c r="D3510" s="7" t="s">
        <v>6413</v>
      </c>
      <c r="E3510" s="8" t="str">
        <f>IFERROR(__xludf.DUMMYFUNCTION("googletranslate(D3510,""id"",""en"")"),"It could be that the PPKM time on the highway was the supercar engine")</f>
        <v>It could be that the PPKM time on the highway was the supercar engine</v>
      </c>
    </row>
    <row r="3511" ht="15.75" customHeight="1">
      <c r="A3511" s="2">
        <v>3511.0</v>
      </c>
      <c r="B3511" s="5" t="s">
        <v>6414</v>
      </c>
      <c r="C3511" s="6">
        <v>1.0</v>
      </c>
      <c r="D3511" s="7" t="s">
        <v>6415</v>
      </c>
      <c r="E3511" s="8" t="str">
        <f>IFERROR(__xludf.DUMMYFUNCTION("googletranslate(D3511,""id"",""en"")"),"Crying Checking the Balance of the PLIS Account Lah PPKM Ngahahan Dong, It's Gabisa Survives Longer Again")</f>
        <v>Crying Checking the Balance of the PLIS Account Lah PPKM Ngahahan Dong, It's Gabisa Survives Longer Again</v>
      </c>
    </row>
    <row r="3512" ht="15.75" customHeight="1">
      <c r="A3512" s="2">
        <v>3512.0</v>
      </c>
      <c r="B3512" s="5" t="s">
        <v>6416</v>
      </c>
      <c r="C3512" s="6">
        <v>1.0</v>
      </c>
      <c r="D3512" s="7" t="s">
        <v>6417</v>
      </c>
      <c r="E3512" s="8" t="str">
        <f>IFERROR(__xludf.DUMMYFUNCTION("googletranslate(D3512,""id"",""en"")"),"Today Emergency Emergency PPKM levels, what decisions will be taken. PPKM level or. PPKM is submitted in each area, Plogo will not be able to make a decision !!!")</f>
        <v>Today Emergency Emergency PPKM levels, what decisions will be taken. PPKM level or. PPKM is submitted in each area, Plogo will not be able to make a decision !!!</v>
      </c>
    </row>
    <row r="3513" ht="15.75" customHeight="1">
      <c r="A3513" s="2">
        <v>3513.0</v>
      </c>
      <c r="B3513" s="5" t="s">
        <v>6418</v>
      </c>
      <c r="C3513" s="6">
        <v>2.0</v>
      </c>
      <c r="D3513" s="7" t="s">
        <v>6418</v>
      </c>
      <c r="E3513" s="8" t="str">
        <f>IFERROR(__xludf.DUMMYFUNCTION("googletranslate(D3513,""id"",""en"")"),"Now the last day of the ppkm isn't it?")</f>
        <v>Now the last day of the ppkm isn't it?</v>
      </c>
    </row>
    <row r="3514" ht="15.75" customHeight="1">
      <c r="A3514" s="2">
        <v>3514.0</v>
      </c>
      <c r="B3514" s="5" t="s">
        <v>6419</v>
      </c>
      <c r="C3514" s="6">
        <v>1.0</v>
      </c>
      <c r="D3514" s="7" t="s">
        <v>6420</v>
      </c>
      <c r="E3514" s="8" t="str">
        <f>IFERROR(__xludf.DUMMYFUNCTION("googletranslate(D3514,""id"",""en"")"),"PPKM Makes Males People Males")</f>
        <v>PPKM Makes Males People Males</v>
      </c>
    </row>
    <row r="3515" ht="15.75" customHeight="1">
      <c r="A3515" s="2">
        <v>3515.0</v>
      </c>
      <c r="B3515" s="5" t="s">
        <v>6421</v>
      </c>
      <c r="C3515" s="6">
        <v>1.0</v>
      </c>
      <c r="D3515" s="9" t="s">
        <v>6422</v>
      </c>
      <c r="E3515" s="8" t="str">
        <f>IFERROR(__xludf.DUMMYFUNCTION("googletranslate(D3515,""id"",""en"")"),"Ni people can think it's not ??? Do you know why the PPKM is not Lockdown. Do you know if this PPKM feels lockdown? Maybe he is confused because Mr. Most of the terms. Ntah to save his people or officials.")</f>
        <v>Ni people can think it's not ??? Do you know why the PPKM is not Lockdown. Do you know if this PPKM feels lockdown? Maybe he is confused because Mr. Most of the terms. Ntah to save his people or officials.</v>
      </c>
    </row>
    <row r="3516" ht="15.75" customHeight="1">
      <c r="A3516" s="2">
        <v>3516.0</v>
      </c>
      <c r="B3516" s="5" t="s">
        <v>6423</v>
      </c>
      <c r="C3516" s="6">
        <v>1.0</v>
      </c>
      <c r="D3516" s="7" t="s">
        <v>6424</v>
      </c>
      <c r="E3516" s="8" t="str">
        <f>IFERROR(__xludf.DUMMYFUNCTION("googletranslate(D3516,""id"",""en"")"),"I thought, since the government said he wanted to be prepared to be bansos &amp; amp; Salary subsidies, immediately thought: ""Will definitely be a long time for PPKM""")</f>
        <v>I thought, since the government said he wanted to be prepared to be bansos &amp; amp; Salary subsidies, immediately thought: "Will definitely be a long time for PPKM"</v>
      </c>
    </row>
    <row r="3517" ht="15.75" customHeight="1">
      <c r="A3517" s="2">
        <v>3517.0</v>
      </c>
      <c r="B3517" s="5" t="s">
        <v>6425</v>
      </c>
      <c r="C3517" s="6">
        <v>2.0</v>
      </c>
      <c r="D3517" s="7" t="s">
        <v>6426</v>
      </c>
      <c r="E3517" s="8" t="str">
        <f>IFERROR(__xludf.DUMMYFUNCTION("googletranslate(D3517,""id"",""en"")"),". Rules Starting PSBB SD Emergency PPKM, pre-performing cards do not include the essential / critical sectors. It means that it is not important to urge the budget political MK should be in line. Please budget after a pandemic. I not only discussed KP but"&amp;" I discussed the emergency policy of Pandemi")</f>
        <v>. Rules Starting PSBB SD Emergency PPKM, pre-performing cards do not include the essential / critical sectors. It means that it is not important to urge the budget political MK should be in line. Please budget after a pandemic. I not only discussed KP but I discussed the emergency policy of Pandemi</v>
      </c>
    </row>
    <row r="3518" ht="15.75" customHeight="1">
      <c r="A3518" s="2">
        <v>3518.0</v>
      </c>
      <c r="B3518" s="5" t="s">
        <v>6427</v>
      </c>
      <c r="C3518" s="6">
        <v>1.0</v>
      </c>
      <c r="D3518" s="7" t="s">
        <v>6428</v>
      </c>
      <c r="E3518" s="8" t="str">
        <f>IFERROR(__xludf.DUMMYFUNCTION("googletranslate(D3518,""id"",""en"")"),"What perception? Do you want to invite non-essential sector traders, to violate the PPKM rules to open a business?")</f>
        <v>What perception? Do you want to invite non-essential sector traders, to violate the PPKM rules to open a business?</v>
      </c>
    </row>
    <row r="3519" ht="15.75" customHeight="1">
      <c r="A3519" s="2">
        <v>3519.0</v>
      </c>
      <c r="B3519" s="5" t="s">
        <v>6429</v>
      </c>
      <c r="C3519" s="6">
        <v>3.0</v>
      </c>
      <c r="D3519" s="9" t="s">
        <v>6430</v>
      </c>
      <c r="E3519" s="8" t="str">
        <f>IFERROR(__xludf.DUMMYFUNCTION("googletranslate(D3519,""id"",""en"")"),"Assalamualaikum, Morning friend ... Even though PPKM don't forget sports ... Hopefully this video can be entertaining &amp; amp; add your immune to the Isoman. Insyaa Allah ... the Restor of Your Health Kawanwassalam")</f>
        <v>Assalamualaikum, Morning friend ... Even though PPKM don't forget sports ... Hopefully this video can be entertaining &amp; amp; add your immune to the Isoman. Insyaa Allah ... the Restor of Your Health Kawanwassalam</v>
      </c>
    </row>
    <row r="3520" ht="15.75" customHeight="1">
      <c r="A3520" s="2">
        <v>3520.0</v>
      </c>
      <c r="B3520" s="5" t="s">
        <v>6431</v>
      </c>
      <c r="C3520" s="6">
        <v>1.0</v>
      </c>
      <c r="D3520" s="7" t="s">
        <v>6432</v>
      </c>
      <c r="E3520" s="8" t="str">
        <f>IFERROR(__xludf.DUMMYFUNCTION("googletranslate(D3520,""id"",""en"")"),"Enacted by PPKM of the fungalist")</f>
        <v>Enacted by PPKM of the fungalist</v>
      </c>
    </row>
    <row r="3521" ht="15.75" customHeight="1">
      <c r="A3521" s="2">
        <v>3521.0</v>
      </c>
      <c r="B3521" s="5" t="s">
        <v>6433</v>
      </c>
      <c r="C3521" s="6">
        <v>1.0</v>
      </c>
      <c r="D3521" s="7" t="s">
        <v>6434</v>
      </c>
      <c r="E3521" s="8" t="str">
        <f>IFERROR(__xludf.DUMMYFUNCTION("googletranslate(D3521,""id"",""en"")"),"If the PPKM level is continued, the aprindo is worried about the closed retail continues to grow")</f>
        <v>If the PPKM level is continued, the aprindo is worried about the closed retail continues to grow</v>
      </c>
    </row>
    <row r="3522" ht="15.75" customHeight="1">
      <c r="A3522" s="2">
        <v>3522.0</v>
      </c>
      <c r="B3522" s="5" t="s">
        <v>6435</v>
      </c>
      <c r="C3522" s="6">
        <v>2.0</v>
      </c>
      <c r="D3522" s="7" t="s">
        <v>6436</v>
      </c>
      <c r="E3522" s="8" t="str">
        <f>IFERROR(__xludf.DUMMYFUNCTION("googletranslate(D3522,""id"",""en"")"),"Ppkm finished tp covid there? Wrote house")</f>
        <v>Ppkm finished tp covid there? Wrote house</v>
      </c>
    </row>
    <row r="3523" ht="15.75" customHeight="1">
      <c r="A3523" s="2">
        <v>3523.0</v>
      </c>
      <c r="B3523" s="5" t="s">
        <v>6437</v>
      </c>
      <c r="C3523" s="6">
        <v>3.0</v>
      </c>
      <c r="D3523" s="7" t="s">
        <v>6438</v>
      </c>
      <c r="E3523" s="8" t="str">
        <f>IFERROR(__xludf.DUMMYFUNCTION("googletranslate(D3523,""id"",""en"")"),"The government's decision to continue the PPKM to July was appropriate to prevent a Pandemic of Covid-19 in Indonesia")</f>
        <v>The government's decision to continue the PPKM to July was appropriate to prevent a Pandemic of Covid-19 in Indonesia</v>
      </c>
    </row>
    <row r="3524" ht="15.75" customHeight="1">
      <c r="A3524" s="2">
        <v>3524.0</v>
      </c>
      <c r="B3524" s="5" t="s">
        <v>6439</v>
      </c>
      <c r="C3524" s="6">
        <v>2.0</v>
      </c>
      <c r="D3524" s="7" t="s">
        <v>6439</v>
      </c>
      <c r="E3524" s="8" t="str">
        <f>IFERROR(__xludf.DUMMYFUNCTION("googletranslate(D3524,""id"",""en"")"),"PPKM is finished, does anyone invite serious?")</f>
        <v>PPKM is finished, does anyone invite serious?</v>
      </c>
    </row>
    <row r="3525" ht="15.75" customHeight="1">
      <c r="A3525" s="2">
        <v>3525.0</v>
      </c>
      <c r="B3525" s="5" t="s">
        <v>6440</v>
      </c>
      <c r="C3525" s="6">
        <v>1.0</v>
      </c>
      <c r="D3525" s="9" t="s">
        <v>6441</v>
      </c>
      <c r="E3525" s="8" t="str">
        <f>IFERROR(__xludf.DUMMYFUNCTION("googletranslate(D3525,""id"",""en"")"),"What do you actually actually? Do you want to talk to non-essential sector traders, to violate the PPKM rules to open a business? Think.")</f>
        <v>What do you actually actually? Do you want to talk to non-essential sector traders, to violate the PPKM rules to open a business? Think.</v>
      </c>
    </row>
    <row r="3526" ht="15.75" customHeight="1">
      <c r="A3526" s="2">
        <v>3526.0</v>
      </c>
      <c r="B3526" s="5" t="s">
        <v>6442</v>
      </c>
      <c r="C3526" s="6">
        <v>2.0</v>
      </c>
      <c r="D3526" s="7" t="s">
        <v>6442</v>
      </c>
      <c r="E3526" s="8" t="str">
        <f>IFERROR(__xludf.DUMMYFUNCTION("googletranslate(D3526,""id"",""en"")"),"ppkm extended lg no yes")</f>
        <v>ppkm extended lg no yes</v>
      </c>
    </row>
    <row r="3527" ht="15.75" customHeight="1">
      <c r="A3527" s="2">
        <v>3527.0</v>
      </c>
      <c r="B3527" s="5" t="s">
        <v>6443</v>
      </c>
      <c r="C3527" s="6">
        <v>3.0</v>
      </c>
      <c r="D3527" s="9" t="s">
        <v>6443</v>
      </c>
      <c r="E3527" s="8" t="str">
        <f>IFERROR(__xludf.DUMMYFUNCTION("googletranslate(D3527,""id"",""en"")"),"It's hard to go away if gapenting, right, ppkm")</f>
        <v>It's hard to go away if gapenting, right, ppkm</v>
      </c>
    </row>
    <row r="3528" ht="15.75" customHeight="1">
      <c r="A3528" s="2">
        <v>3528.0</v>
      </c>
      <c r="B3528" s="5" t="s">
        <v>6444</v>
      </c>
      <c r="C3528" s="6">
        <v>2.0</v>
      </c>
      <c r="D3528" s="7" t="s">
        <v>6444</v>
      </c>
      <c r="E3528" s="8" t="str">
        <f>IFERROR(__xludf.DUMMYFUNCTION("googletranslate(D3528,""id"",""en"")"),"[ASKRL] What problems are there in the Klian area due to C0V1D19 and PPKM?")</f>
        <v>[ASKRL] What problems are there in the Klian area due to C0V1D19 and PPKM?</v>
      </c>
    </row>
    <row r="3529" ht="15.75" customHeight="1">
      <c r="A3529" s="2">
        <v>3529.0</v>
      </c>
      <c r="B3529" s="5" t="s">
        <v>6445</v>
      </c>
      <c r="C3529" s="6">
        <v>1.0</v>
      </c>
      <c r="D3529" s="9" t="s">
        <v>6446</v>
      </c>
      <c r="E3529" s="8" t="str">
        <f>IFERROR(__xludf.DUMMYFUNCTION("googletranslate(D3529,""id"",""en"")"),"What is possible until the population of Indonesia% is finished in Vaxxx, if he will continue to keep PPKM level, etc. If there are many who fall he can continue their power in peace")</f>
        <v>What is possible until the population of Indonesia% is finished in Vaxxx, if he will continue to keep PPKM level, etc. If there are many who fall he can continue their power in peace</v>
      </c>
    </row>
    <row r="3530" ht="15.75" customHeight="1">
      <c r="A3530" s="2">
        <v>3530.0</v>
      </c>
      <c r="B3530" s="5" t="s">
        <v>6447</v>
      </c>
      <c r="C3530" s="6">
        <v>2.0</v>
      </c>
      <c r="D3530" s="9" t="s">
        <v>6448</v>
      </c>
      <c r="E3530" s="8" t="str">
        <f>IFERROR(__xludf.DUMMYFUNCTION("googletranslate(D3530,""id"",""en"")"),"The ppkm is not renewed first, hri, then I have just extended it again")</f>
        <v>The ppkm is not renewed first, hri, then I have just extended it again</v>
      </c>
    </row>
    <row r="3531" ht="15.75" customHeight="1">
      <c r="A3531" s="2">
        <v>3531.0</v>
      </c>
      <c r="B3531" s="5" t="s">
        <v>6449</v>
      </c>
      <c r="C3531" s="6">
        <v>1.0</v>
      </c>
      <c r="D3531" s="7" t="s">
        <v>6450</v>
      </c>
      <c r="E3531" s="8" t="str">
        <f>IFERROR(__xludf.DUMMYFUNCTION("googletranslate(D3531,""id"",""en"")"),"Aamiinn ... just relax it hahah .. join this not filling time, while reading read ... sdh bbt bgt ppkm")</f>
        <v>Aamiinn ... just relax it hahah .. join this not filling time, while reading read ... sdh bbt bgt ppkm</v>
      </c>
    </row>
    <row r="3532" ht="15.75" customHeight="1">
      <c r="A3532" s="2">
        <v>3532.0</v>
      </c>
      <c r="B3532" s="5" t="s">
        <v>6451</v>
      </c>
      <c r="C3532" s="6">
        <v>1.0</v>
      </c>
      <c r="D3532" s="9" t="s">
        <v>6452</v>
      </c>
      <c r="E3532" s="8" t="str">
        <f>IFERROR(__xludf.DUMMYFUNCTION("googletranslate(D3532,""id"",""en"")"),"If you want to finish PPKM, help the government ... !! What does the government have helped the people? That's just before ... I'm asking for Lagiserius?! There is a great power that wants to roll Jokowi, he said that person is ......")</f>
        <v>If you want to finish PPKM, help the government ... !! What does the government have helped the people? That's just before ... I'm asking for Lagiserius?! There is a great power that wants to roll Jokowi, he said that person is ......</v>
      </c>
    </row>
    <row r="3533" ht="15.75" customHeight="1">
      <c r="A3533" s="2">
        <v>3533.0</v>
      </c>
      <c r="B3533" s="5" t="s">
        <v>6453</v>
      </c>
      <c r="C3533" s="6">
        <v>1.0</v>
      </c>
      <c r="D3533" s="9" t="s">
        <v>6453</v>
      </c>
      <c r="E3533" s="8" t="str">
        <f>IFERROR(__xludf.DUMMYFUNCTION("googletranslate(D3533,""id"",""en"")"),"Story IG I LGI BNYK Post to Uwu An with Doi Nya, whether the flshbck is high school, which is selfie, who is birthday. Yaa PPKM makes people on Gabut.")</f>
        <v>Story IG I LGI BNYK Post to Uwu An with Doi Nya, whether the flshbck is high school, which is selfie, who is birthday. Yaa PPKM makes people on Gabut.</v>
      </c>
    </row>
    <row r="3534" ht="15.75" customHeight="1">
      <c r="A3534" s="2">
        <v>3534.0</v>
      </c>
      <c r="B3534" s="5" t="s">
        <v>6454</v>
      </c>
      <c r="C3534" s="6">
        <v>2.0</v>
      </c>
      <c r="D3534" s="7" t="s">
        <v>6454</v>
      </c>
      <c r="E3534" s="8" t="str">
        <f>IFERROR(__xludf.DUMMYFUNCTION("googletranslate(D3534,""id"",""en"")"),"Do you ask for the PPKM, this bus or don't work on the operating Gasi Syg travel?")</f>
        <v>Do you ask for the PPKM, this bus or don't work on the operating Gasi Syg travel?</v>
      </c>
    </row>
    <row r="3535" ht="15.75" customHeight="1">
      <c r="A3535" s="2">
        <v>3535.0</v>
      </c>
      <c r="B3535" s="5" t="s">
        <v>6455</v>
      </c>
      <c r="C3535" s="6">
        <v>1.0</v>
      </c>
      <c r="D3535" s="7" t="s">
        <v>6456</v>
      </c>
      <c r="E3535" s="8" t="str">
        <f>IFERROR(__xludf.DUMMYFUNCTION("googletranslate(D3535,""id"",""en"")"),"PPKM extended to August with a level change in name, level. Geez. Why does the government make the rules of the narrative but the government is also underwear.")</f>
        <v>PPKM extended to August with a level change in name, level. Geez. Why does the government make the rules of the narrative but the government is also underwear.</v>
      </c>
    </row>
    <row r="3536" ht="15.75" customHeight="1">
      <c r="A3536" s="2">
        <v>3536.0</v>
      </c>
      <c r="B3536" s="5" t="s">
        <v>6457</v>
      </c>
      <c r="C3536" s="6">
        <v>1.0</v>
      </c>
      <c r="D3536" s="7" t="s">
        <v>6458</v>
      </c>
      <c r="E3536" s="8" t="str">
        <f>IFERROR(__xludf.DUMMYFUNCTION("googletranslate(D3536,""id"",""en"")"),"Tau Ni Kaga Kaga Sabaran Aje Masi PPKM")</f>
        <v>Tau Ni Kaga Kaga Sabaran Aje Masi PPKM</v>
      </c>
    </row>
    <row r="3537" ht="15.75" customHeight="1">
      <c r="A3537" s="2">
        <v>3537.0</v>
      </c>
      <c r="B3537" s="5" t="s">
        <v>6459</v>
      </c>
      <c r="C3537" s="6">
        <v>2.0</v>
      </c>
      <c r="D3537" s="7" t="s">
        <v>6460</v>
      </c>
      <c r="E3537" s="8" t="str">
        <f>IFERROR(__xludf.DUMMYFUNCTION("googletranslate(D3537,""id"",""en"")"),"When this emergency ppkm will end")</f>
        <v>When this emergency ppkm will end</v>
      </c>
    </row>
    <row r="3538" ht="15.75" customHeight="1">
      <c r="A3538" s="2">
        <v>3538.0</v>
      </c>
      <c r="B3538" s="5" t="s">
        <v>6461</v>
      </c>
      <c r="C3538" s="6">
        <v>1.0</v>
      </c>
      <c r="D3538" s="9" t="s">
        <v>6462</v>
      </c>
      <c r="E3538" s="8" t="str">
        <f>IFERROR(__xludf.DUMMYFUNCTION("googletranslate(D3538,""id"",""en"")"),"Yogyakarta residents are angry with PPKM demonstrators ... Cool, you are now ... now many who are many stupid sir ...")</f>
        <v>Yogyakarta residents are angry with PPKM demonstrators ... Cool, you are now ... now many who are many stupid sir ...</v>
      </c>
    </row>
    <row r="3539" ht="15.75" customHeight="1">
      <c r="A3539" s="2">
        <v>3539.0</v>
      </c>
      <c r="B3539" s="5" t="s">
        <v>6463</v>
      </c>
      <c r="C3539" s="6">
        <v>1.0</v>
      </c>
      <c r="D3539" s="7" t="s">
        <v>6464</v>
      </c>
      <c r="E3539" s="8" t="str">
        <f>IFERROR(__xludf.DUMMYFUNCTION("googletranslate(D3539,""id"",""en"")"),"Yesterday it was looking for work already difficult, now the one who has worked instead, whichever is selling that might also have an employee where their child is looking forward to the daily salary to buy rice on the grounds PPKM is prohibited.")</f>
        <v>Yesterday it was looking for work already difficult, now the one who has worked instead, whichever is selling that might also have an employee where their child is looking forward to the daily salary to buy rice on the grounds PPKM is prohibited.</v>
      </c>
    </row>
    <row r="3540" ht="15.75" customHeight="1">
      <c r="A3540" s="2">
        <v>3540.0</v>
      </c>
      <c r="B3540" s="5" t="s">
        <v>6465</v>
      </c>
      <c r="C3540" s="6">
        <v>2.0</v>
      </c>
      <c r="D3540" s="9" t="s">
        <v>6466</v>
      </c>
      <c r="E3540" s="8" t="str">
        <f>IFERROR(__xludf.DUMMYFUNCTION("googletranslate(D3540,""id"",""en"")"),"ppkm lv brapa in Lu sir")</f>
        <v>ppkm lv brapa in Lu sir</v>
      </c>
    </row>
    <row r="3541" ht="15.75" customHeight="1">
      <c r="A3541" s="2">
        <v>3541.0</v>
      </c>
      <c r="B3541" s="5" t="s">
        <v>6467</v>
      </c>
      <c r="C3541" s="6">
        <v>3.0</v>
      </c>
      <c r="D3541" s="9" t="s">
        <v>6468</v>
      </c>
      <c r="E3541" s="8" t="str">
        <f>IFERROR(__xludf.DUMMYFUNCTION("googletranslate(D3541,""id"",""en"")"),"Title: PPKM Level must be patient and realize it feels grateful, when many complain of distress, but many are not grateful and conscious it has been given the ease of much so much before this pandemic has a hufttt .....")</f>
        <v>Title: PPKM Level must be patient and realize it feels grateful, when many complain of distress, but many are not grateful and conscious it has been given the ease of much so much before this pandemic has a hufttt .....</v>
      </c>
    </row>
    <row r="3542" ht="15.75" customHeight="1">
      <c r="A3542" s="2">
        <v>3542.0</v>
      </c>
      <c r="B3542" s="5" t="s">
        <v>6469</v>
      </c>
      <c r="C3542" s="6">
        <v>2.0</v>
      </c>
      <c r="D3542" s="7" t="s">
        <v>6469</v>
      </c>
      <c r="E3542" s="8" t="str">
        <f>IFERROR(__xludf.DUMMYFUNCTION("googletranslate(D3542,""id"",""en"")"),"Jog the latest ppkm news, already no info?")</f>
        <v>Jog the latest ppkm news, already no info?</v>
      </c>
    </row>
    <row r="3543" ht="15.75" customHeight="1">
      <c r="A3543" s="2">
        <v>3543.0</v>
      </c>
      <c r="B3543" s="5" t="s">
        <v>6470</v>
      </c>
      <c r="C3543" s="6">
        <v>1.0</v>
      </c>
      <c r="D3543" s="7" t="s">
        <v>6471</v>
      </c>
      <c r="E3543" s="8" t="str">
        <f>IFERROR(__xludf.DUMMYFUNCTION("googletranslate(D3543,""id"",""en"")"),"The oath of PPKM is extended, there is no result, Podo Wae. so this is what changes")</f>
        <v>The oath of PPKM is extended, there is no result, Podo Wae. so this is what changes</v>
      </c>
    </row>
    <row r="3544" ht="15.75" customHeight="1">
      <c r="A3544" s="2">
        <v>3544.0</v>
      </c>
      <c r="B3544" s="5" t="s">
        <v>6472</v>
      </c>
      <c r="C3544" s="6">
        <v>1.0</v>
      </c>
      <c r="D3544" s="9" t="s">
        <v>6473</v>
      </c>
      <c r="E3544" s="8" t="str">
        <f>IFERROR(__xludf.DUMMYFUNCTION("googletranslate(D3544,""id"",""en"")"),"It's clear from the beginning, I don't want Lockdwon because the country doesn't have enough money, I make this term. After the PPKM makes the term lgi ... the solution is like a pack returning to the quarantine law")</f>
        <v>It's clear from the beginning, I don't want Lockdwon because the country doesn't have enough money, I make this term. After the PPKM makes the term lgi ... the solution is like a pack returning to the quarantine law</v>
      </c>
    </row>
    <row r="3545" ht="15.75" customHeight="1">
      <c r="A3545" s="2">
        <v>3545.0</v>
      </c>
      <c r="B3545" s="5" t="s">
        <v>6474</v>
      </c>
      <c r="C3545" s="6">
        <v>1.0</v>
      </c>
      <c r="D3545" s="9" t="s">
        <v>6475</v>
      </c>
      <c r="E3545" s="8" t="str">
        <f>IFERROR(__xludf.DUMMYFUNCTION("googletranslate(D3545,""id"",""en"")"),"It's really good that outside the city is extended by Dong PPKM")</f>
        <v>It's really good that outside the city is extended by Dong PPKM</v>
      </c>
    </row>
    <row r="3546" ht="15.75" customHeight="1">
      <c r="A3546" s="2">
        <v>3546.0</v>
      </c>
      <c r="B3546" s="5" t="s">
        <v>6476</v>
      </c>
      <c r="C3546" s="6">
        <v>1.0</v>
      </c>
      <c r="D3546" s="7" t="s">
        <v>6477</v>
      </c>
      <c r="E3546" s="8" t="str">
        <f>IFERROR(__xludf.DUMMYFUNCTION("googletranslate(D3546,""id"",""en"")"),"I can't use the mother lgi ppkm")</f>
        <v>I can't use the mother lgi ppkm</v>
      </c>
    </row>
    <row r="3547" ht="15.75" customHeight="1">
      <c r="A3547" s="2">
        <v>3547.0</v>
      </c>
      <c r="B3547" s="5" t="s">
        <v>6478</v>
      </c>
      <c r="C3547" s="6">
        <v>3.0</v>
      </c>
      <c r="D3547" s="7" t="s">
        <v>6479</v>
      </c>
      <c r="E3547" s="8" t="str">
        <f>IFERROR(__xludf.DUMMYFUNCTION("googletranslate(D3547,""id"",""en"")"),"Patience in, Aaini Msh PPKM. Ntar Ntar LG Covid Task Force")</f>
        <v>Patience in, Aaini Msh PPKM. Ntar Ntar LG Covid Task Force</v>
      </c>
    </row>
    <row r="3548" ht="15.75" customHeight="1">
      <c r="A3548" s="2">
        <v>3548.0</v>
      </c>
      <c r="B3548" s="5" t="s">
        <v>6480</v>
      </c>
      <c r="C3548" s="6">
        <v>2.0</v>
      </c>
      <c r="D3548" s="7" t="s">
        <v>6481</v>
      </c>
      <c r="E3548" s="8" t="str">
        <f>IFERROR(__xludf.DUMMYFUNCTION("googletranslate(D3548,""id"",""en"")"),"I could have dreamed of getting a raid of PPKM")</f>
        <v>I could have dreamed of getting a raid of PPKM</v>
      </c>
    </row>
    <row r="3549" ht="15.75" customHeight="1">
      <c r="A3549" s="2">
        <v>3549.0</v>
      </c>
      <c r="B3549" s="5" t="s">
        <v>6482</v>
      </c>
      <c r="C3549" s="6">
        <v>2.0</v>
      </c>
      <c r="D3549" s="7" t="s">
        <v>6483</v>
      </c>
      <c r="E3549" s="8" t="str">
        <f>IFERROR(__xludf.DUMMYFUNCTION("googletranslate(D3549,""id"",""en"")"),"it's ppkm what is chicken geprek")</f>
        <v>it's ppkm what is chicken geprek</v>
      </c>
    </row>
    <row r="3550" ht="15.75" customHeight="1">
      <c r="A3550" s="2">
        <v>3550.0</v>
      </c>
      <c r="B3550" s="5" t="s">
        <v>6484</v>
      </c>
      <c r="C3550" s="6">
        <v>2.0</v>
      </c>
      <c r="D3550" s="7" t="s">
        <v>6485</v>
      </c>
      <c r="E3550" s="8" t="str">
        <f>IFERROR(__xludf.DUMMYFUNCTION("googletranslate(D3550,""id"",""en"")"),"Not a beb, there's no game title PPKM, it's like it. The PPKM is rich in games that must increase the level based on the level of patience to be stressful")</f>
        <v>Not a beb, there's no game title PPKM, it's like it. The PPKM is rich in games that must increase the level based on the level of patience to be stressful</v>
      </c>
    </row>
    <row r="3551" ht="15.75" customHeight="1">
      <c r="A3551" s="2">
        <v>3551.0</v>
      </c>
      <c r="B3551" s="5" t="s">
        <v>6486</v>
      </c>
      <c r="C3551" s="6">
        <v>2.0</v>
      </c>
      <c r="D3551" s="7" t="s">
        <v>6487</v>
      </c>
      <c r="E3551" s="8" t="str">
        <f>IFERROR(__xludf.DUMMYFUNCTION("googletranslate(D3551,""id"",""en"")"),"PPKM is extended until he gets a blue tick")</f>
        <v>PPKM is extended until he gets a blue tick</v>
      </c>
    </row>
    <row r="3552" ht="15.75" customHeight="1">
      <c r="A3552" s="2">
        <v>3552.0</v>
      </c>
      <c r="B3552" s="5" t="s">
        <v>6488</v>
      </c>
      <c r="C3552" s="6">
        <v>2.0</v>
      </c>
      <c r="D3552" s="9" t="s">
        <v>6489</v>
      </c>
      <c r="E3552" s="8" t="str">
        <f>IFERROR(__xludf.DUMMYFUNCTION("googletranslate(D3552,""id"",""en"")"),"Morning !!! BTW I dengr2 ppkm in a yak extension? Ampe August")</f>
        <v>Morning !!! BTW I dengr2 ppkm in a yak extension? Ampe August</v>
      </c>
    </row>
    <row r="3553" ht="15.75" customHeight="1">
      <c r="A3553" s="2">
        <v>3553.0</v>
      </c>
      <c r="B3553" s="5" t="s">
        <v>6490</v>
      </c>
      <c r="C3553" s="6">
        <v>2.0</v>
      </c>
      <c r="D3553" s="7" t="s">
        <v>6491</v>
      </c>
      <c r="E3553" s="8" t="str">
        <f>IFERROR(__xludf.DUMMYFUNCTION("googletranslate(D3553,""id"",""en"")"),"here yesterday there was a brief uh uh uh tu ppkm, auto back online")</f>
        <v>here yesterday there was a brief uh uh uh tu ppkm, auto back online</v>
      </c>
    </row>
    <row r="3554" ht="15.75" customHeight="1">
      <c r="A3554" s="2">
        <v>3554.0</v>
      </c>
      <c r="B3554" s="5" t="s">
        <v>6492</v>
      </c>
      <c r="C3554" s="6">
        <v>1.0</v>
      </c>
      <c r="D3554" s="7" t="s">
        <v>6493</v>
      </c>
      <c r="E3554" s="8" t="str">
        <f>IFERROR(__xludf.DUMMYFUNCTION("googletranslate(D3554,""id"",""en"")"),"Dear sir, I'm hungry, don't you know what I want to boarding with? My period must be a pesugihan to survive which young lgi. Mr. PPKM makes a work holiday so there is no income. Sir, I am your people who lgi hungry and confused the same boarding money. I'"&amp;"ve been online beggars")</f>
        <v>Dear sir, I'm hungry, don't you know what I want to boarding with? My period must be a pesugihan to survive which young lgi. Mr. PPKM makes a work holiday so there is no income. Sir, I am your people who lgi hungry and confused the same boarding money. I've been online beggars</v>
      </c>
    </row>
    <row r="3555" ht="15.75" customHeight="1">
      <c r="A3555" s="2">
        <v>3555.0</v>
      </c>
      <c r="B3555" s="5" t="s">
        <v>6494</v>
      </c>
      <c r="C3555" s="6">
        <v>1.0</v>
      </c>
      <c r="D3555" s="7" t="s">
        <v>6495</v>
      </c>
      <c r="E3555" s="8" t="str">
        <f>IFERROR(__xludf.DUMMYFUNCTION("googletranslate(D3555,""id"",""en"")"),"I personally agree that Emergency PPKM is enforced until .tdk need to use all levels. Exception want to know the tears of the blood of the pretend to be happy")</f>
        <v>I personally agree that Emergency PPKM is enforced until .tdk need to use all levels. Exception want to know the tears of the blood of the pretend to be happy</v>
      </c>
    </row>
    <row r="3556" ht="15.75" customHeight="1">
      <c r="A3556" s="2">
        <v>3556.0</v>
      </c>
      <c r="B3556" s="5" t="s">
        <v>6496</v>
      </c>
      <c r="C3556" s="6">
        <v>2.0</v>
      </c>
      <c r="D3556" s="7" t="s">
        <v>6497</v>
      </c>
      <c r="E3556" s="8" t="str">
        <f>IFERROR(__xludf.DUMMYFUNCTION("googletranslate(D3556,""id"",""en"")"),"Min So Bandung PPKM Level /? And can it open or not?")</f>
        <v>Min So Bandung PPKM Level /? And can it open or not?</v>
      </c>
    </row>
    <row r="3557" ht="15.75" customHeight="1">
      <c r="A3557" s="2">
        <v>3557.0</v>
      </c>
      <c r="B3557" s="5" t="s">
        <v>6498</v>
      </c>
      <c r="C3557" s="6">
        <v>1.0</v>
      </c>
      <c r="D3557" s="7" t="s">
        <v>6499</v>
      </c>
      <c r="E3557" s="8" t="str">
        <f>IFERROR(__xludf.DUMMYFUNCTION("googletranslate(D3557,""id"",""en"")"),"PPKM is extended, while bank bills, cooperatives, etc. are not on PPKM too ?? Which civil servants are good at still Jaya at the time of PPKM because they can still be a monthly salary, if the self-employed entrepreneur is blown for business capital, now "&amp;"blood bloody to survive and make installments")</f>
        <v>PPKM is extended, while bank bills, cooperatives, etc. are not on PPKM too ?? Which civil servants are good at still Jaya at the time of PPKM because they can still be a monthly salary, if the self-employed entrepreneur is blown for business capital, now blood bloody to survive and make installments</v>
      </c>
    </row>
    <row r="3558" ht="15.75" customHeight="1">
      <c r="A3558" s="2">
        <v>3558.0</v>
      </c>
      <c r="B3558" s="5" t="s">
        <v>6500</v>
      </c>
      <c r="C3558" s="6">
        <v>1.0</v>
      </c>
      <c r="D3558" s="7" t="s">
        <v>6501</v>
      </c>
      <c r="E3558" s="8" t="str">
        <f>IFERROR(__xludf.DUMMYFUNCTION("googletranslate(D3558,""id"",""en"")"),"I've been as long as the PPKM is really ngedekem in the house, go just a house that is just there, it's really near. Not only stress does not have money because it doesn't work, plus stress because it's really bored at home .... open Instagram .... see so"&amp;"me of my friends hang out at the cafe, it tastes alsjjshdj")</f>
        <v>I've been as long as the PPKM is really ngedekem in the house, go just a house that is just there, it's really near. Not only stress does not have money because it doesn't work, plus stress because it's really bored at home .... open Instagram .... see some of my friends hang out at the cafe, it tastes alsjjshdj</v>
      </c>
    </row>
    <row r="3559" ht="15.75" customHeight="1">
      <c r="A3559" s="2">
        <v>3559.0</v>
      </c>
      <c r="B3559" s="5" t="s">
        <v>6502</v>
      </c>
      <c r="C3559" s="6">
        <v>2.0</v>
      </c>
      <c r="D3559" s="7" t="s">
        <v>6503</v>
      </c>
      <c r="E3559" s="8" t="str">
        <f>IFERROR(__xludf.DUMMYFUNCTION("googletranslate(D3559,""id"",""en"")"),"Ppkm already rich in bon chili there is the level")</f>
        <v>Ppkm already rich in bon chili there is the level</v>
      </c>
    </row>
    <row r="3560" ht="15.75" customHeight="1">
      <c r="A3560" s="2">
        <v>3560.0</v>
      </c>
      <c r="B3560" s="5" t="s">
        <v>6504</v>
      </c>
      <c r="C3560" s="6">
        <v>3.0</v>
      </c>
      <c r="D3560" s="7" t="s">
        <v>6504</v>
      </c>
      <c r="E3560" s="8" t="str">
        <f>IFERROR(__xludf.DUMMYFUNCTION("googletranslate(D3560,""id"",""en"")"),"Stay spirit walaupn ppkm extended! Looking for a living must continue!")</f>
        <v>Stay spirit walaupn ppkm extended! Looking for a living must continue!</v>
      </c>
    </row>
    <row r="3561" ht="15.75" customHeight="1">
      <c r="A3561" s="2">
        <v>3561.0</v>
      </c>
      <c r="B3561" s="5" t="s">
        <v>6505</v>
      </c>
      <c r="C3561" s="6">
        <v>2.0</v>
      </c>
      <c r="D3561" s="7" t="s">
        <v>6506</v>
      </c>
      <c r="E3561" s="8" t="str">
        <f>IFERROR(__xludf.DUMMYFUNCTION("googletranslate(D3561,""id"",""en"")"),"just extended ppkm nder")</f>
        <v>just extended ppkm nder</v>
      </c>
    </row>
    <row r="3562" ht="15.75" customHeight="1">
      <c r="A3562" s="2">
        <v>3562.0</v>
      </c>
      <c r="B3562" s="5" t="s">
        <v>6507</v>
      </c>
      <c r="C3562" s="6">
        <v>2.0</v>
      </c>
      <c r="D3562" s="7" t="s">
        <v>6508</v>
      </c>
      <c r="E3562" s="8" t="str">
        <f>IFERROR(__xludf.DUMMYFUNCTION("googletranslate(D3562,""id"",""en"")"),"Started early in the morning with a boyfriend with a boyfriend because it still can't meet the grghm ppkm extended met morning moots")</f>
        <v>Started early in the morning with a boyfriend with a boyfriend because it still can't meet the grghm ppkm extended met morning moots</v>
      </c>
    </row>
    <row r="3563" ht="15.75" customHeight="1">
      <c r="A3563" s="2">
        <v>3563.0</v>
      </c>
      <c r="B3563" s="5" t="s">
        <v>6509</v>
      </c>
      <c r="C3563" s="6">
        <v>2.0</v>
      </c>
      <c r="D3563" s="7" t="s">
        <v>6510</v>
      </c>
      <c r="E3563" s="8" t="str">
        <f>IFERROR(__xludf.DUMMYFUNCTION("googletranslate(D3563,""id"",""en"")"),"PPKM extends until: You love me: ')")</f>
        <v>PPKM extends until: You love me: ')</v>
      </c>
    </row>
    <row r="3564" ht="15.75" customHeight="1">
      <c r="A3564" s="2">
        <v>3564.0</v>
      </c>
      <c r="B3564" s="5" t="s">
        <v>6511</v>
      </c>
      <c r="C3564" s="6">
        <v>1.0</v>
      </c>
      <c r="D3564" s="9" t="s">
        <v>6512</v>
      </c>
      <c r="E3564" s="8" t="str">
        <f>IFERROR(__xludf.DUMMYFUNCTION("googletranslate(D3564,""id"",""en"")"),"The emergency PPKM test failed, tried LG with PPKM failed too, try extending again still with the name PPKM at the same level, if it failed to try to change the name again.")</f>
        <v>The emergency PPKM test failed, tried LG with PPKM failed too, try extending again still with the name PPKM at the same level, if it failed to try to change the name again.</v>
      </c>
    </row>
    <row r="3565" ht="15.75" customHeight="1">
      <c r="A3565" s="2">
        <v>3565.0</v>
      </c>
      <c r="B3565" s="5" t="s">
        <v>6513</v>
      </c>
      <c r="C3565" s="6">
        <v>3.0</v>
      </c>
      <c r="D3565" s="7" t="s">
        <v>6514</v>
      </c>
      <c r="E3565" s="8" t="str">
        <f>IFERROR(__xludf.DUMMYFUNCTION("googletranslate(D3565,""id"",""en"")"),"LV PPKM. The rubble, the spirit of the breadwinner.")</f>
        <v>LV PPKM. The rubble, the spirit of the breadwinner.</v>
      </c>
    </row>
    <row r="3566" ht="15.75" customHeight="1">
      <c r="A3566" s="2">
        <v>3566.0</v>
      </c>
      <c r="B3566" s="5" t="s">
        <v>6515</v>
      </c>
      <c r="C3566" s="6">
        <v>2.0</v>
      </c>
      <c r="D3566" s="10" t="s">
        <v>6516</v>
      </c>
      <c r="E3566" s="8" t="str">
        <f>IFERROR(__xludf.DUMMYFUNCTION("googletranslate(D3566,""id"",""en"")"),"LG PPKM Syg.")</f>
        <v>LG PPKM Syg.</v>
      </c>
    </row>
    <row r="3567" ht="15.75" customHeight="1">
      <c r="A3567" s="2">
        <v>3567.0</v>
      </c>
      <c r="B3567" s="5" t="s">
        <v>6517</v>
      </c>
      <c r="C3567" s="6">
        <v>1.0</v>
      </c>
      <c r="D3567" s="9" t="s">
        <v>6518</v>
      </c>
      <c r="E3567" s="8" t="str">
        <f>IFERROR(__xludf.DUMMYFUNCTION("googletranslate(D3567,""id"",""en"")"),"more to, open the hearts who come out don't use masks, make events that make a crowd of many people, who still don't believe covid, which gamai vaccine because of the conspiracy, with someone who still hangs out pdhl lg ppkm")</f>
        <v>more to, open the hearts who come out don't use masks, make events that make a crowd of many people, who still don't believe covid, which gamai vaccine because of the conspiracy, with someone who still hangs out pdhl lg ppkm</v>
      </c>
    </row>
    <row r="3568" ht="15.75" customHeight="1">
      <c r="A3568" s="2">
        <v>3568.0</v>
      </c>
      <c r="B3568" s="5" t="s">
        <v>6519</v>
      </c>
      <c r="C3568" s="6">
        <v>1.0</v>
      </c>
      <c r="D3568" s="9" t="s">
        <v>6520</v>
      </c>
      <c r="E3568" s="8" t="str">
        <f>IFERROR(__xludf.DUMMYFUNCTION("googletranslate(D3568,""id"",""en"")"),"ppkm extended mulu dah, when is this offline school")</f>
        <v>ppkm extended mulu dah, when is this offline school</v>
      </c>
    </row>
    <row r="3569" ht="15.75" customHeight="1">
      <c r="A3569" s="2">
        <v>3569.0</v>
      </c>
      <c r="B3569" s="5" t="s">
        <v>6521</v>
      </c>
      <c r="C3569" s="6">
        <v>2.0</v>
      </c>
      <c r="D3569" s="7" t="s">
        <v>6522</v>
      </c>
      <c r="E3569" s="8" t="str">
        <f>IFERROR(__xludf.DUMMYFUNCTION("googletranslate(D3569,""id"",""en"")"),"Right, the name changed again to PPKM LV.4 lost helmet Lv.3 in the pub mah")</f>
        <v>Right, the name changed again to PPKM LV.4 lost helmet Lv.3 in the pub mah</v>
      </c>
    </row>
    <row r="3570" ht="15.75" customHeight="1">
      <c r="A3570" s="2">
        <v>3570.0</v>
      </c>
      <c r="B3570" s="5" t="s">
        <v>6523</v>
      </c>
      <c r="C3570" s="6">
        <v>2.0</v>
      </c>
      <c r="D3570" s="7" t="s">
        <v>6523</v>
      </c>
      <c r="E3570" s="8" t="str">
        <f>IFERROR(__xludf.DUMMYFUNCTION("googletranslate(D3570,""id"",""en"")"),"I don't care about the ppkm extended, I just cared about you dear Xixi")</f>
        <v>I don't care about the ppkm extended, I just cared about you dear Xixi</v>
      </c>
    </row>
    <row r="3571" ht="15.75" customHeight="1">
      <c r="A3571" s="2">
        <v>3571.0</v>
      </c>
      <c r="B3571" s="5" t="s">
        <v>6524</v>
      </c>
      <c r="C3571" s="6">
        <v>1.0</v>
      </c>
      <c r="D3571" s="7" t="s">
        <v>6524</v>
      </c>
      <c r="E3571" s="8" t="str">
        <f>IFERROR(__xludf.DUMMYFUNCTION("googletranslate(D3571,""id"",""en"")"),"anyways ppkm gini who tried who want to stay at the inn ?? Tai dog internship.")</f>
        <v>anyways ppkm gini who tried who want to stay at the inn ?? Tai dog internship.</v>
      </c>
    </row>
    <row r="3572" ht="15.75" customHeight="1">
      <c r="A3572" s="2">
        <v>3572.0</v>
      </c>
      <c r="B3572" s="5" t="s">
        <v>6525</v>
      </c>
      <c r="C3572" s="6">
        <v>2.0</v>
      </c>
      <c r="D3572" s="7" t="s">
        <v>6526</v>
      </c>
      <c r="E3572" s="8" t="str">
        <f>IFERROR(__xludf.DUMMYFUNCTION("googletranslate(D3572,""id"",""en"")"),"Ppkm perpnjg again aj when about the president")</f>
        <v>Ppkm perpnjg again aj when about the president</v>
      </c>
    </row>
    <row r="3573" ht="15.75" customHeight="1">
      <c r="A3573" s="2">
        <v>3573.0</v>
      </c>
      <c r="B3573" s="5" t="s">
        <v>6527</v>
      </c>
      <c r="C3573" s="6">
        <v>1.0</v>
      </c>
      <c r="D3573" s="7" t="s">
        <v>6527</v>
      </c>
      <c r="E3573" s="8" t="str">
        <f>IFERROR(__xludf.DUMMYFUNCTION("googletranslate(D3573,""id"",""en"")"),"PPKM is extended in the age of flexure")</f>
        <v>PPKM is extended in the age of flexure</v>
      </c>
    </row>
    <row r="3574" ht="15.75" customHeight="1">
      <c r="A3574" s="2">
        <v>3574.0</v>
      </c>
      <c r="B3574" s="5" t="s">
        <v>6528</v>
      </c>
      <c r="C3574" s="6">
        <v>2.0</v>
      </c>
      <c r="D3574" s="7" t="s">
        <v>6528</v>
      </c>
      <c r="E3574" s="8" t="str">
        <f>IFERROR(__xludf.DUMMYFUNCTION("googletranslate(D3574,""id"",""en"")"),"ppkm extended to when?")</f>
        <v>ppkm extended to when?</v>
      </c>
    </row>
    <row r="3575" ht="15.75" customHeight="1">
      <c r="A3575" s="2">
        <v>3575.0</v>
      </c>
      <c r="B3575" s="5" t="s">
        <v>6529</v>
      </c>
      <c r="C3575" s="6">
        <v>1.0</v>
      </c>
      <c r="D3575" s="9" t="s">
        <v>6530</v>
      </c>
      <c r="E3575" s="8" t="str">
        <f>IFERROR(__xludf.DUMMYFUNCTION("googletranslate(D3575,""id"",""en"")"),"The government has not been able to give good foods to eat the people during quarantine, temporarily can only give time to eat. Dassar Split Luh! PPKM level extended, eat at a maximum of minutes")</f>
        <v>The government has not been able to give good foods to eat the people during quarantine, temporarily can only give time to eat. Dassar Split Luh! PPKM level extended, eat at a maximum of minutes</v>
      </c>
    </row>
    <row r="3576" ht="15.75" customHeight="1">
      <c r="A3576" s="2">
        <v>3576.0</v>
      </c>
      <c r="B3576" s="5" t="s">
        <v>6531</v>
      </c>
      <c r="C3576" s="6">
        <v>1.0</v>
      </c>
      <c r="D3576" s="7" t="s">
        <v>6532</v>
      </c>
      <c r="E3576" s="8" t="str">
        <f>IFERROR(__xludf.DUMMYFUNCTION("googletranslate(D3576,""id"",""en"")"),"PPKM extended, men are getting weaker in pants pants")</f>
        <v>PPKM extended, men are getting weaker in pants pants</v>
      </c>
    </row>
    <row r="3577" ht="15.75" customHeight="1">
      <c r="A3577" s="2">
        <v>3577.0</v>
      </c>
      <c r="B3577" s="5" t="s">
        <v>6533</v>
      </c>
      <c r="C3577" s="6">
        <v>2.0</v>
      </c>
      <c r="D3577" s="7" t="s">
        <v>6534</v>
      </c>
      <c r="E3577" s="8" t="str">
        <f>IFERROR(__xludf.DUMMYFUNCTION("googletranslate(D3577,""id"",""en"")"),"Hah ? Is there a game title PPKM?")</f>
        <v>Hah ? Is there a game title PPKM?</v>
      </c>
    </row>
    <row r="3578" ht="15.75" customHeight="1">
      <c r="A3578" s="2">
        <v>3578.0</v>
      </c>
      <c r="B3578" s="5" t="s">
        <v>6535</v>
      </c>
      <c r="C3578" s="6">
        <v>1.0</v>
      </c>
      <c r="D3578" s="7" t="s">
        <v>6536</v>
      </c>
      <c r="E3578" s="8" t="str">
        <f>IFERROR(__xludf.DUMMYFUNCTION("googletranslate(D3578,""id"",""en"")"),"PPKM level to the door repentance closed")</f>
        <v>PPKM level to the door repentance closed</v>
      </c>
    </row>
    <row r="3579" ht="15.75" customHeight="1">
      <c r="A3579" s="2">
        <v>3579.0</v>
      </c>
      <c r="B3579" s="5" t="s">
        <v>6537</v>
      </c>
      <c r="C3579" s="6">
        <v>3.0</v>
      </c>
      <c r="D3579" s="7" t="s">
        <v>6538</v>
      </c>
      <c r="E3579" s="8" t="str">
        <f>IFERROR(__xludf.DUMMYFUNCTION("googletranslate(D3579,""id"",""en"")"),"yes the ppkm again until it can get it")</f>
        <v>yes the ppkm again until it can get it</v>
      </c>
    </row>
    <row r="3580" ht="15.75" customHeight="1">
      <c r="A3580" s="2">
        <v>3580.0</v>
      </c>
      <c r="B3580" s="5" t="s">
        <v>6539</v>
      </c>
      <c r="C3580" s="6">
        <v>2.0</v>
      </c>
      <c r="D3580" s="7" t="s">
        <v>6540</v>
      </c>
      <c r="E3580" s="8" t="str">
        <f>IFERROR(__xludf.DUMMYFUNCTION("googletranslate(D3580,""id"",""en"")"),"ppkm until what date is it")</f>
        <v>ppkm until what date is it</v>
      </c>
    </row>
    <row r="3581" ht="15.75" customHeight="1">
      <c r="A3581" s="2">
        <v>3581.0</v>
      </c>
      <c r="B3581" s="5" t="s">
        <v>6541</v>
      </c>
      <c r="C3581" s="6">
        <v>2.0</v>
      </c>
      <c r="D3581" s="7" t="s">
        <v>6542</v>
      </c>
      <c r="E3581" s="8" t="str">
        <f>IFERROR(__xludf.DUMMYFUNCTION("googletranslate(D3581,""id"",""en"")"),"Ppkm level extended to August, it's already like a boncabe using all levels")</f>
        <v>Ppkm level extended to August, it's already like a boncabe using all levels</v>
      </c>
    </row>
    <row r="3582" ht="15.75" customHeight="1">
      <c r="A3582" s="2">
        <v>3582.0</v>
      </c>
      <c r="B3582" s="5" t="s">
        <v>6543</v>
      </c>
      <c r="C3582" s="6">
        <v>2.0</v>
      </c>
      <c r="D3582" s="7" t="s">
        <v>6544</v>
      </c>
      <c r="E3582" s="8" t="str">
        <f>IFERROR(__xludf.DUMMYFUNCTION("googletranslate(D3582,""id"",""en"")"),"In Lahat GA PPKM Sis")</f>
        <v>In Lahat GA PPKM Sis</v>
      </c>
    </row>
    <row r="3583" ht="15.75" customHeight="1">
      <c r="A3583" s="2">
        <v>3583.0</v>
      </c>
      <c r="B3583" s="5" t="s">
        <v>6545</v>
      </c>
      <c r="C3583" s="6">
        <v>1.0</v>
      </c>
      <c r="D3583" s="9" t="s">
        <v>6546</v>
      </c>
      <c r="E3583" s="8" t="str">
        <f>IFERROR(__xludf.DUMMYFUNCTION("googletranslate(D3583,""id"",""en"")"),"Even though I like to complain, but I still hate people complaining who still have a salary and not too affected but many PPKM protests. Kayak, Wow. Really your life is really happy? Oh yes?")</f>
        <v>Even though I like to complain, but I still hate people complaining who still have a salary and not too affected but many PPKM protests. Kayak, Wow. Really your life is really happy? Oh yes?</v>
      </c>
    </row>
    <row r="3584" ht="15.75" customHeight="1">
      <c r="A3584" s="2">
        <v>3584.0</v>
      </c>
      <c r="B3584" s="5" t="s">
        <v>6547</v>
      </c>
      <c r="C3584" s="6">
        <v>1.0</v>
      </c>
      <c r="D3584" s="7" t="s">
        <v>6547</v>
      </c>
      <c r="E3584" s="8" t="str">
        <f>IFERROR(__xludf.DUMMYFUNCTION("googletranslate(D3584,""id"",""en"")"),"PPKM extends continuously until the end")</f>
        <v>PPKM extends continuously until the end</v>
      </c>
    </row>
    <row r="3585" ht="15.75" customHeight="1">
      <c r="A3585" s="2">
        <v>3585.0</v>
      </c>
      <c r="B3585" s="5" t="s">
        <v>6548</v>
      </c>
      <c r="C3585" s="6">
        <v>1.0</v>
      </c>
      <c r="D3585" s="7" t="s">
        <v>6549</v>
      </c>
      <c r="E3585" s="8" t="str">
        <f>IFERROR(__xludf.DUMMYFUNCTION("googletranslate(D3585,""id"",""en"")"),"PPKM: Slowly we are poor ""if the one is poor?"" Slowly we die ""all will return to Him""")</f>
        <v>PPKM: Slowly we are poor "if the one is poor?" Slowly we die "all will return to Him"</v>
      </c>
    </row>
    <row r="3586" ht="15.75" customHeight="1">
      <c r="A3586" s="2">
        <v>3586.0</v>
      </c>
      <c r="B3586" s="5" t="s">
        <v>6550</v>
      </c>
      <c r="C3586" s="6">
        <v>2.0</v>
      </c>
      <c r="D3586" s="7" t="s">
        <v>6551</v>
      </c>
      <c r="E3586" s="8" t="str">
        <f>IFERROR(__xludf.DUMMYFUNCTION("googletranslate(D3586,""id"",""en"")"),"Sorry, during PPKM Level, Transjakarta only serves customers of essential and critical sector workers. Thank you ^ ZL")</f>
        <v>Sorry, during PPKM Level, Transjakarta only serves customers of essential and critical sector workers. Thank you ^ ZL</v>
      </c>
    </row>
    <row r="3587" ht="15.75" customHeight="1">
      <c r="A3587" s="2">
        <v>3587.0</v>
      </c>
      <c r="B3587" s="5" t="s">
        <v>6552</v>
      </c>
      <c r="C3587" s="6">
        <v>2.0</v>
      </c>
      <c r="D3587" s="7" t="s">
        <v>6553</v>
      </c>
      <c r="E3587" s="8" t="str">
        <f>IFERROR(__xludf.DUMMYFUNCTION("googletranslate(D3587,""id"",""en"")"),"Eah lg ppkm jg tratata")</f>
        <v>Eah lg ppkm jg tratata</v>
      </c>
    </row>
    <row r="3588" ht="15.75" customHeight="1">
      <c r="A3588" s="2">
        <v>3588.0</v>
      </c>
      <c r="B3588" s="5" t="s">
        <v>6554</v>
      </c>
      <c r="C3588" s="6">
        <v>2.0</v>
      </c>
      <c r="D3588" s="9" t="s">
        <v>6555</v>
      </c>
      <c r="E3588" s="8" t="str">
        <f>IFERROR(__xludf.DUMMYFUNCTION("googletranslate(D3588,""id"",""en"")"),"I'm sure PPKM bru SLS waits behind lol")</f>
        <v>I'm sure PPKM bru SLS waits behind lol</v>
      </c>
    </row>
    <row r="3589" ht="15.75" customHeight="1">
      <c r="A3589" s="2">
        <v>3589.0</v>
      </c>
      <c r="B3589" s="5" t="s">
        <v>6556</v>
      </c>
      <c r="C3589" s="6">
        <v>2.0</v>
      </c>
      <c r="D3589" s="7" t="s">
        <v>6556</v>
      </c>
      <c r="E3589" s="8" t="str">
        <f>IFERROR(__xludf.DUMMYFUNCTION("googletranslate(D3589,""id"",""en"")"),"Ppkm ppkm, semalem market malem still open aje!")</f>
        <v>Ppkm ppkm, semalem market malem still open aje!</v>
      </c>
    </row>
    <row r="3590" ht="15.75" customHeight="1">
      <c r="A3590" s="2">
        <v>3590.0</v>
      </c>
      <c r="B3590" s="5" t="s">
        <v>6557</v>
      </c>
      <c r="C3590" s="6">
        <v>2.0</v>
      </c>
      <c r="D3590" s="7" t="s">
        <v>6558</v>
      </c>
      <c r="E3590" s="8" t="str">
        <f>IFERROR(__xludf.DUMMYFUNCTION("googletranslate(D3590,""id"",""en"")"),"My area is tight ppkm nder, so miss")</f>
        <v>My area is tight ppkm nder, so miss</v>
      </c>
    </row>
    <row r="3591" ht="15.75" customHeight="1">
      <c r="A3591" s="2">
        <v>3591.0</v>
      </c>
      <c r="B3591" s="5" t="s">
        <v>6559</v>
      </c>
      <c r="C3591" s="6">
        <v>1.0</v>
      </c>
      <c r="D3591" s="9" t="s">
        <v>6559</v>
      </c>
      <c r="E3591" s="8" t="str">
        <f>IFERROR(__xludf.DUMMYFUNCTION("googletranslate(D3591,""id"",""en"")"),"still ppkm or not? Like it, bro, do you think it's really lightly out just to burn grilled ?? I was invited but I refused, just hold it, why would it be like if he was at home, it would be crazy ...")</f>
        <v>still ppkm or not? Like it, bro, do you think it's really lightly out just to burn grilled ?? I was invited but I refused, just hold it, why would it be like if he was at home, it would be crazy ...</v>
      </c>
    </row>
    <row r="3592" ht="15.75" customHeight="1">
      <c r="A3592" s="2">
        <v>3592.0</v>
      </c>
      <c r="B3592" s="5" t="s">
        <v>6560</v>
      </c>
      <c r="C3592" s="6">
        <v>2.0</v>
      </c>
      <c r="D3592" s="7" t="s">
        <v>6561</v>
      </c>
      <c r="E3592" s="8" t="str">
        <f>IFERROR(__xludf.DUMMYFUNCTION("googletranslate(D3592,""id"",""en"")"),"PPKM Level2 has been confused, we want to buy a geprek level")</f>
        <v>PPKM Level2 has been confused, we want to buy a geprek level</v>
      </c>
    </row>
    <row r="3593" ht="15.75" customHeight="1">
      <c r="A3593" s="2">
        <v>3593.0</v>
      </c>
      <c r="B3593" s="5" t="s">
        <v>6562</v>
      </c>
      <c r="C3593" s="6">
        <v>1.0</v>
      </c>
      <c r="D3593" s="9" t="s">
        <v>6563</v>
      </c>
      <c r="E3593" s="8" t="str">
        <f>IFERROR(__xludf.DUMMYFUNCTION("googletranslate(D3593,""id"",""en"")"),"this ppkm extended gw i want a survey to anjir hostel")</f>
        <v>this ppkm extended gw i want a survey to anjir hostel</v>
      </c>
    </row>
    <row r="3594" ht="15.75" customHeight="1">
      <c r="A3594" s="2">
        <v>3594.0</v>
      </c>
      <c r="B3594" s="5" t="s">
        <v>6564</v>
      </c>
      <c r="C3594" s="6">
        <v>2.0</v>
      </c>
      <c r="D3594" s="7" t="s">
        <v>6565</v>
      </c>
      <c r="E3594" s="8" t="str">
        <f>IFERROR(__xludf.DUMMYFUNCTION("googletranslate(D3594,""id"",""en"")"),"""PPKM Gabut Ni Gabisa Dating Kmana2"" ""Yodah Just Married Let's"" ""Gass"" ... maybe more or less so ...")</f>
        <v>"PPKM Gabut Ni Gabisa Dating Kmana2" "Yodah Just Married Let's" "Gass" ... maybe more or less so ...</v>
      </c>
    </row>
    <row r="3595" ht="15.75" customHeight="1">
      <c r="A3595" s="2">
        <v>3595.0</v>
      </c>
      <c r="B3595" s="5" t="s">
        <v>6566</v>
      </c>
      <c r="C3595" s="6">
        <v>2.0</v>
      </c>
      <c r="D3595" s="7" t="s">
        <v>6566</v>
      </c>
      <c r="E3595" s="8" t="str">
        <f>IFERROR(__xludf.DUMMYFUNCTION("googletranslate(D3595,""id"",""en"")"),"Hmmm ppkm extended at home you want to do it again so it's fun?")</f>
        <v>Hmmm ppkm extended at home you want to do it again so it's fun?</v>
      </c>
    </row>
    <row r="3596" ht="15.75" customHeight="1">
      <c r="A3596" s="2">
        <v>3596.0</v>
      </c>
      <c r="B3596" s="5" t="s">
        <v>6567</v>
      </c>
      <c r="C3596" s="6">
        <v>2.0</v>
      </c>
      <c r="D3596" s="7" t="s">
        <v>6567</v>
      </c>
      <c r="E3596" s="8" t="str">
        <f>IFERROR(__xludf.DUMMYFUNCTION("googletranslate(D3596,""id"",""en"")"),"Monday still PPKM check ~")</f>
        <v>Monday still PPKM check ~</v>
      </c>
    </row>
    <row r="3597" ht="15.75" customHeight="1">
      <c r="A3597" s="2">
        <v>3597.0</v>
      </c>
      <c r="B3597" s="5" t="s">
        <v>6568</v>
      </c>
      <c r="C3597" s="6">
        <v>2.0</v>
      </c>
      <c r="D3597" s="7" t="s">
        <v>6568</v>
      </c>
      <c r="E3597" s="8" t="str">
        <f>IFERROR(__xludf.DUMMYFUNCTION("googletranslate(D3597,""id"",""en"")"),"PPKM extended to aot final session")</f>
        <v>PPKM extended to aot final session</v>
      </c>
    </row>
    <row r="3598" ht="15.75" customHeight="1">
      <c r="A3598" s="2">
        <v>3598.0</v>
      </c>
      <c r="B3598" s="5" t="s">
        <v>6569</v>
      </c>
      <c r="C3598" s="6">
        <v>2.0</v>
      </c>
      <c r="D3598" s="7" t="s">
        <v>6570</v>
      </c>
      <c r="E3598" s="8" t="str">
        <f>IFERROR(__xludf.DUMMYFUNCTION("googletranslate(D3598,""id"",""en"")"),"PPKM extended to Bigbang CB")</f>
        <v>PPKM extended to Bigbang CB</v>
      </c>
    </row>
    <row r="3599" ht="15.75" customHeight="1">
      <c r="A3599" s="2">
        <v>3599.0</v>
      </c>
      <c r="B3599" s="5" t="s">
        <v>6571</v>
      </c>
      <c r="C3599" s="6">
        <v>1.0</v>
      </c>
      <c r="D3599" s="7" t="s">
        <v>6572</v>
      </c>
      <c r="E3599" s="8" t="str">
        <f>IFERROR(__xludf.DUMMYFUNCTION("googletranslate(D3599,""id"",""en"")"),"PPKM Level Dah Pedes")</f>
        <v>PPKM Level Dah Pedes</v>
      </c>
    </row>
    <row r="3600" ht="15.75" customHeight="1">
      <c r="A3600" s="2">
        <v>3600.0</v>
      </c>
      <c r="B3600" s="5" t="s">
        <v>6573</v>
      </c>
      <c r="C3600" s="6">
        <v>3.0</v>
      </c>
      <c r="D3600" s="7" t="s">
        <v>6574</v>
      </c>
      <c r="E3600" s="8" t="str">
        <f>IFERROR(__xludf.DUMMYFUNCTION("googletranslate(D3600,""id"",""en"")"),"PPKM is extended to August. Progress Covid has seen a decrease trend. Hopefully this extension is getting down the trend. But hrs cpt bansos in cream to the people.")</f>
        <v>PPKM is extended to August. Progress Covid has seen a decrease trend. Hopefully this extension is getting down the trend. But hrs cpt bansos in cream to the people.</v>
      </c>
    </row>
    <row r="3601" ht="15.75" customHeight="1">
      <c r="A3601" s="2">
        <v>3601.0</v>
      </c>
      <c r="B3601" s="5" t="s">
        <v>6575</v>
      </c>
      <c r="C3601" s="6">
        <v>1.0</v>
      </c>
      <c r="D3601" s="7" t="s">
        <v>6575</v>
      </c>
      <c r="E3601" s="8" t="str">
        <f>IFERROR(__xludf.DUMMYFUNCTION("googletranslate(D3601,""id"",""en"")"),"This PPKM is extended again .....? /cry")</f>
        <v>This PPKM is extended again .....? /cry</v>
      </c>
    </row>
    <row r="3602" ht="15.75" customHeight="1">
      <c r="A3602" s="2">
        <v>3602.0</v>
      </c>
      <c r="B3602" s="5" t="s">
        <v>6576</v>
      </c>
      <c r="C3602" s="6">
        <v>1.0</v>
      </c>
      <c r="D3602" s="9" t="s">
        <v>6577</v>
      </c>
      <c r="E3602" s="8" t="str">
        <f>IFERROR(__xludf.DUMMYFUNCTION("googletranslate(D3602,""id"",""en"")"),"Still Can't Sis, Some Tours Close PPKM")</f>
        <v>Still Can't Sis, Some Tours Close PPKM</v>
      </c>
    </row>
    <row r="3603" ht="15.75" customHeight="1">
      <c r="A3603" s="2">
        <v>3603.0</v>
      </c>
      <c r="B3603" s="5" t="s">
        <v>6578</v>
      </c>
      <c r="C3603" s="6">
        <v>2.0</v>
      </c>
      <c r="D3603" s="7" t="s">
        <v>6579</v>
      </c>
      <c r="E3603" s="8" t="str">
        <f>IFERROR(__xludf.DUMMYFUNCTION("googletranslate(D3603,""id"",""en"")"),"PPKM is extended again, after this finals")</f>
        <v>PPKM is extended again, after this finals</v>
      </c>
    </row>
    <row r="3604" ht="15.75" customHeight="1">
      <c r="A3604" s="2">
        <v>3604.0</v>
      </c>
      <c r="B3604" s="5" t="s">
        <v>6580</v>
      </c>
      <c r="C3604" s="6">
        <v>1.0</v>
      </c>
      <c r="D3604" s="7" t="s">
        <v>6581</v>
      </c>
      <c r="E3604" s="8" t="str">
        <f>IFERROR(__xludf.DUMMYFUNCTION("googletranslate(D3604,""id"",""en"")"),"Insulation everywhere since the PPKM I'm just at home")</f>
        <v>Insulation everywhere since the PPKM I'm just at home</v>
      </c>
    </row>
    <row r="3605" ht="15.75" customHeight="1">
      <c r="A3605" s="2">
        <v>3605.0</v>
      </c>
      <c r="B3605" s="5" t="s">
        <v>6582</v>
      </c>
      <c r="C3605" s="6">
        <v>1.0</v>
      </c>
      <c r="D3605" s="9" t="s">
        <v>6583</v>
      </c>
      <c r="E3605" s="8" t="str">
        <f>IFERROR(__xludf.DUMMYFUNCTION("googletranslate(D3605,""id"",""en"")"),"This week opened with a chat Monday morning which was rather heavy ... huft. The age of the hardworking workers! My prayer for all of you who have to affect the PPKM until it can't turn on the kitchen of the house every day. Sorry if there is a mistake, I"&amp;" say it responds to your condition.")</f>
        <v>This week opened with a chat Monday morning which was rather heavy ... huft. The age of the hardworking workers! My prayer for all of you who have to affect the PPKM until it can't turn on the kitchen of the house every day. Sorry if there is a mistake, I say it responds to your condition.</v>
      </c>
    </row>
    <row r="3606" ht="15.75" customHeight="1">
      <c r="A3606" s="2">
        <v>3606.0</v>
      </c>
      <c r="B3606" s="5" t="s">
        <v>6584</v>
      </c>
      <c r="C3606" s="6">
        <v>2.0</v>
      </c>
      <c r="D3606" s="7" t="s">
        <v>6584</v>
      </c>
      <c r="E3606" s="8" t="str">
        <f>IFERROR(__xludf.DUMMYFUNCTION("googletranslate(D3606,""id"",""en"")"),"Ppkm seemed to be a level")</f>
        <v>Ppkm seemed to be a level</v>
      </c>
    </row>
    <row r="3607" ht="15.75" customHeight="1">
      <c r="A3607" s="2">
        <v>3607.0</v>
      </c>
      <c r="B3607" s="5" t="s">
        <v>6585</v>
      </c>
      <c r="C3607" s="6">
        <v>1.0</v>
      </c>
      <c r="D3607" s="10" t="s">
        <v>6585</v>
      </c>
      <c r="E3607" s="8" t="str">
        <f>IFERROR(__xludf.DUMMYFUNCTION("googletranslate(D3607,""id"",""en"")"),"PPKM Rudet.")</f>
        <v>PPKM Rudet.</v>
      </c>
    </row>
    <row r="3608" ht="15.75" customHeight="1">
      <c r="A3608" s="2">
        <v>3608.0</v>
      </c>
      <c r="B3608" s="5" t="s">
        <v>6586</v>
      </c>
      <c r="C3608" s="6">
        <v>1.0</v>
      </c>
      <c r="D3608" s="7" t="s">
        <v>6586</v>
      </c>
      <c r="E3608" s="8" t="str">
        <f>IFERROR(__xludf.DUMMYFUNCTION("googletranslate(D3608,""id"",""en"")"),"Ppkm level godboss opponent yajuj majud times huh")</f>
        <v>Ppkm level godboss opponent yajuj majud times huh</v>
      </c>
    </row>
    <row r="3609" ht="15.75" customHeight="1">
      <c r="A3609" s="2">
        <v>3609.0</v>
      </c>
      <c r="B3609" s="5" t="s">
        <v>6587</v>
      </c>
      <c r="C3609" s="6">
        <v>1.0</v>
      </c>
      <c r="D3609" s="7" t="s">
        <v>6588</v>
      </c>
      <c r="E3609" s="8" t="str">
        <f>IFERROR(__xludf.DUMMYFUNCTION("googletranslate(D3609,""id"",""en"")"),"Emergency PPKM further ... what does the message get ... sorry for the people ...")</f>
        <v>Emergency PPKM further ... what does the message get ... sorry for the people ...</v>
      </c>
    </row>
    <row r="3610" ht="15.75" customHeight="1">
      <c r="A3610" s="2">
        <v>3610.0</v>
      </c>
      <c r="B3610" s="5" t="s">
        <v>6589</v>
      </c>
      <c r="C3610" s="6">
        <v>1.0</v>
      </c>
      <c r="D3610" s="7" t="s">
        <v>6590</v>
      </c>
      <c r="E3610" s="8" t="str">
        <f>IFERROR(__xludf.DUMMYFUNCTION("googletranslate(D3610,""id"",""en"")"),"PPKM level up ... Slowly we turn slowly ...!")</f>
        <v>PPKM level up ... Slowly we turn slowly ...!</v>
      </c>
    </row>
    <row r="3611" ht="15.75" customHeight="1">
      <c r="A3611" s="2">
        <v>3611.0</v>
      </c>
      <c r="B3611" s="5" t="s">
        <v>6591</v>
      </c>
      <c r="C3611" s="6">
        <v>2.0</v>
      </c>
      <c r="D3611" s="9" t="s">
        <v>6592</v>
      </c>
      <c r="E3611" s="8" t="str">
        <f>IFERROR(__xludf.DUMMYFUNCTION("googletranslate(D3611,""id"",""en"")"),"Sydney people, Gamau Lokdown has Mintanya PPKM LV.")</f>
        <v>Sydney people, Gamau Lokdown has Mintanya PPKM LV.</v>
      </c>
    </row>
    <row r="3612" ht="15.75" customHeight="1">
      <c r="A3612" s="2">
        <v>3612.0</v>
      </c>
      <c r="B3612" s="5" t="s">
        <v>6593</v>
      </c>
      <c r="C3612" s="6">
        <v>1.0</v>
      </c>
      <c r="D3612" s="7" t="s">
        <v>6594</v>
      </c>
      <c r="E3612" s="8" t="str">
        <f>IFERROR(__xludf.DUMMYFUNCTION("googletranslate(D3612,""id"",""en"")"),"How come the ppkm can school offline?")</f>
        <v>How come the ppkm can school offline?</v>
      </c>
    </row>
    <row r="3613" ht="15.75" customHeight="1">
      <c r="A3613" s="2">
        <v>3613.0</v>
      </c>
      <c r="B3613" s="5" t="s">
        <v>6595</v>
      </c>
      <c r="C3613" s="6">
        <v>3.0</v>
      </c>
      <c r="D3613" s="10" t="s">
        <v>6596</v>
      </c>
      <c r="E3613" s="8" t="str">
        <f>IFERROR(__xludf.DUMMYFUNCTION("googletranslate(D3613,""id"",""en"")"),"Wisdom of PPKM iki.")</f>
        <v>Wisdom of PPKM iki.</v>
      </c>
    </row>
    <row r="3614" ht="15.75" customHeight="1">
      <c r="A3614" s="2">
        <v>3614.0</v>
      </c>
      <c r="B3614" s="5" t="s">
        <v>6597</v>
      </c>
      <c r="C3614" s="6">
        <v>1.0</v>
      </c>
      <c r="D3614" s="7" t="s">
        <v>6597</v>
      </c>
      <c r="E3614" s="8" t="str">
        <f>IFERROR(__xludf.DUMMYFUNCTION("googletranslate(D3614,""id"",""en"")"),"cape2 ppkm eh the case is even more up")</f>
        <v>cape2 ppkm eh the case is even more up</v>
      </c>
    </row>
    <row r="3615" ht="15.75" customHeight="1">
      <c r="A3615" s="2">
        <v>3615.0</v>
      </c>
      <c r="B3615" s="5" t="s">
        <v>6598</v>
      </c>
      <c r="C3615" s="6">
        <v>1.0</v>
      </c>
      <c r="D3615" s="7" t="s">
        <v>6599</v>
      </c>
      <c r="E3615" s="8" t="str">
        <f>IFERROR(__xludf.DUMMYFUNCTION("googletranslate(D3615,""id"",""en"")"),"Rich PPKM 'Boncabe There is LevelNatus Up Level Adding Pedes Life")</f>
        <v>Rich PPKM 'Boncabe There is LevelNatus Up Level Adding Pedes Life</v>
      </c>
    </row>
    <row r="3616" ht="15.75" customHeight="1">
      <c r="A3616" s="2">
        <v>3616.0</v>
      </c>
      <c r="B3616" s="5" t="s">
        <v>6600</v>
      </c>
      <c r="C3616" s="6">
        <v>1.0</v>
      </c>
      <c r="D3616" s="7" t="s">
        <v>6601</v>
      </c>
      <c r="E3616" s="8" t="str">
        <f>IFERROR(__xludf.DUMMYFUNCTION("googletranslate(D3616,""id"",""en"")"),"PPKM levels are extended to August ... until when it continues ... it's bored fighting with a boyfriend because I never played it ...")</f>
        <v>PPKM levels are extended to August ... until when it continues ... it's bored fighting with a boyfriend because I never played it ...</v>
      </c>
    </row>
    <row r="3617" ht="15.75" customHeight="1">
      <c r="A3617" s="2">
        <v>3617.0</v>
      </c>
      <c r="B3617" s="5" t="s">
        <v>6602</v>
      </c>
      <c r="C3617" s="6">
        <v>2.0</v>
      </c>
      <c r="D3617" s="7" t="s">
        <v>6603</v>
      </c>
      <c r="E3617" s="8" t="str">
        <f>IFERROR(__xludf.DUMMYFUNCTION("googletranslate(D3617,""id"",""en"")"),"PPKM extended (again) The sign of Bang must be more active in launching raids and control of Bang.")</f>
        <v>PPKM extended (again) The sign of Bang must be more active in launching raids and control of Bang.</v>
      </c>
    </row>
    <row r="3618" ht="15.75" customHeight="1">
      <c r="A3618" s="2">
        <v>3618.0</v>
      </c>
      <c r="B3618" s="5" t="s">
        <v>6604</v>
      </c>
      <c r="C3618" s="6">
        <v>2.0</v>
      </c>
      <c r="D3618" s="10" t="s">
        <v>6605</v>
      </c>
      <c r="E3618" s="8" t="str">
        <f>IFERROR(__xludf.DUMMYFUNCTION("googletranslate(D3618,""id"",""en"")"),"Yokkk, PPKM.")</f>
        <v>Yokkk, PPKM.</v>
      </c>
    </row>
    <row r="3619" ht="15.75" customHeight="1">
      <c r="A3619" s="2">
        <v>3619.0</v>
      </c>
      <c r="B3619" s="5" t="s">
        <v>6606</v>
      </c>
      <c r="C3619" s="6">
        <v>1.0</v>
      </c>
      <c r="D3619" s="9" t="s">
        <v>6607</v>
      </c>
      <c r="E3619" s="8" t="str">
        <f>IFERROR(__xludf.DUMMYFUNCTION("googletranslate(D3619,""id"",""en"")"),"ORIGINAL BGT Lawak, Covid Case Has Beginning to Decrease TP PPKM Dilagarin Not Learning DR PSBB")</f>
        <v>ORIGINAL BGT Lawak, Covid Case Has Beginning to Decrease TP PPKM Dilagarin Not Learning DR PSBB</v>
      </c>
    </row>
    <row r="3620" ht="15.75" customHeight="1">
      <c r="A3620" s="2">
        <v>3620.0</v>
      </c>
      <c r="B3620" s="5" t="s">
        <v>6608</v>
      </c>
      <c r="C3620" s="6">
        <v>1.0</v>
      </c>
      <c r="D3620" s="7" t="s">
        <v>6609</v>
      </c>
      <c r="E3620" s="8" t="str">
        <f>IFERROR(__xludf.DUMMYFUNCTION("googletranslate(D3620,""id"",""en"")"),"During this spicy PPKM, it doesn't like the bansosan")</f>
        <v>During this spicy PPKM, it doesn't like the bansosan</v>
      </c>
    </row>
    <row r="3621" ht="15.75" customHeight="1">
      <c r="A3621" s="2">
        <v>3621.0</v>
      </c>
      <c r="B3621" s="5" t="s">
        <v>6610</v>
      </c>
      <c r="C3621" s="6">
        <v>2.0</v>
      </c>
      <c r="D3621" s="7" t="s">
        <v>6610</v>
      </c>
      <c r="E3621" s="8" t="str">
        <f>IFERROR(__xludf.DUMMYFUNCTION("googletranslate(D3621,""id"",""en"")"),"Those who still don't care about PPKM, most are not obedient about regulations, but those who don't feel the impact")</f>
        <v>Those who still don't care about PPKM, most are not obedient about regulations, but those who don't feel the impact</v>
      </c>
    </row>
    <row r="3622" ht="15.75" customHeight="1">
      <c r="A3622" s="2">
        <v>3622.0</v>
      </c>
      <c r="B3622" s="5" t="s">
        <v>6611</v>
      </c>
      <c r="C3622" s="6">
        <v>1.0</v>
      </c>
      <c r="D3622" s="7" t="s">
        <v>6612</v>
      </c>
      <c r="E3622" s="8" t="str">
        <f>IFERROR(__xludf.DUMMYFUNCTION("googletranslate(D3622,""id"",""en"")"),"Yaampun PPKM is extended")</f>
        <v>Yaampun PPKM is extended</v>
      </c>
    </row>
    <row r="3623" ht="15.75" customHeight="1">
      <c r="A3623" s="2">
        <v>3623.0</v>
      </c>
      <c r="B3623" s="5" t="s">
        <v>6613</v>
      </c>
      <c r="C3623" s="6">
        <v>3.0</v>
      </c>
      <c r="D3623" s="7" t="s">
        <v>6614</v>
      </c>
      <c r="E3623" s="8" t="str">
        <f>IFERROR(__xludf.DUMMYFUNCTION("googletranslate(D3623,""id"",""en"")"),"More enthusiasm want to go to school, even though PPKM")</f>
        <v>More enthusiasm want to go to school, even though PPKM</v>
      </c>
    </row>
    <row r="3624" ht="15.75" customHeight="1">
      <c r="A3624" s="2">
        <v>3624.0</v>
      </c>
      <c r="B3624" s="5" t="s">
        <v>6615</v>
      </c>
      <c r="C3624" s="6">
        <v>2.0</v>
      </c>
      <c r="D3624" s="10" t="s">
        <v>6616</v>
      </c>
      <c r="E3624" s="8" t="str">
        <f>IFERROR(__xludf.DUMMYFUNCTION("googletranslate(D3624,""id"",""en"")"),"JDI PPKM Trus.")</f>
        <v>JDI PPKM Trus.</v>
      </c>
    </row>
    <row r="3625" ht="15.75" customHeight="1">
      <c r="A3625" s="2">
        <v>3625.0</v>
      </c>
      <c r="B3625" s="5" t="s">
        <v>6617</v>
      </c>
      <c r="C3625" s="6">
        <v>2.0</v>
      </c>
      <c r="D3625" s="7" t="s">
        <v>6618</v>
      </c>
      <c r="E3625" s="8" t="str">
        <f>IFERROR(__xludf.DUMMYFUNCTION("googletranslate(D3625,""id"",""en"")"),"Ppkm ala chicken geprek")</f>
        <v>Ppkm ala chicken geprek</v>
      </c>
    </row>
    <row r="3626" ht="15.75" customHeight="1">
      <c r="A3626" s="2">
        <v>3626.0</v>
      </c>
      <c r="B3626" s="5" t="s">
        <v>6619</v>
      </c>
      <c r="C3626" s="6">
        <v>2.0</v>
      </c>
      <c r="D3626" s="7" t="s">
        <v>6620</v>
      </c>
      <c r="E3626" s="8" t="str">
        <f>IFERROR(__xludf.DUMMYFUNCTION("googletranslate(D3626,""id"",""en"")"),"Then I'm when vacation if PPKM then")</f>
        <v>Then I'm when vacation if PPKM then</v>
      </c>
    </row>
    <row r="3627" ht="15.75" customHeight="1">
      <c r="A3627" s="2">
        <v>3627.0</v>
      </c>
      <c r="B3627" s="5" t="s">
        <v>6621</v>
      </c>
      <c r="C3627" s="6">
        <v>2.0</v>
      </c>
      <c r="D3627" s="7" t="s">
        <v>6622</v>
      </c>
      <c r="E3627" s="8" t="str">
        <f>IFERROR(__xludf.DUMMYFUNCTION("googletranslate(D3627,""id"",""en"")"),"I know during this PPKM, the SK doesn't operate?")</f>
        <v>I know during this PPKM, the SK doesn't operate?</v>
      </c>
    </row>
    <row r="3628" ht="15.75" customHeight="1">
      <c r="A3628" s="2">
        <v>3628.0</v>
      </c>
      <c r="B3628" s="5" t="s">
        <v>6623</v>
      </c>
      <c r="C3628" s="6">
        <v>1.0</v>
      </c>
      <c r="D3628" s="9" t="s">
        <v>6623</v>
      </c>
      <c r="E3628" s="8" t="str">
        <f>IFERROR(__xludf.DUMMYFUNCTION("googletranslate(D3628,""id"",""en"")"),"Guise actually we're out of town, can't it be? Gud wants to move the kos eh ppkm extend then ... instead of giving money")</f>
        <v>Guise actually we're out of town, can't it be? Gud wants to move the kos eh ppkm extend then ... instead of giving money</v>
      </c>
    </row>
    <row r="3629" ht="15.75" customHeight="1">
      <c r="A3629" s="2">
        <v>3629.0</v>
      </c>
      <c r="B3629" s="5" t="s">
        <v>6624</v>
      </c>
      <c r="C3629" s="6">
        <v>1.0</v>
      </c>
      <c r="D3629" s="9" t="s">
        <v>6625</v>
      </c>
      <c r="E3629" s="8" t="str">
        <f>IFERROR(__xludf.DUMMYFUNCTION("googletranslate(D3629,""id"",""en"")"),"Yeah, this is the news of the Hoax spread. It was a parking attendant in Makassar who was Lemes because of starving. the pros and cons of the same PPKM are the same as stuttering")</f>
        <v>Yeah, this is the news of the Hoax spread. It was a parking attendant in Makassar who was Lemes because of starving. the pros and cons of the same PPKM are the same as stuttering</v>
      </c>
    </row>
    <row r="3630" ht="15.75" customHeight="1">
      <c r="A3630" s="2">
        <v>3630.0</v>
      </c>
      <c r="B3630" s="5" t="s">
        <v>6626</v>
      </c>
      <c r="C3630" s="6">
        <v>1.0</v>
      </c>
      <c r="D3630" s="9" t="s">
        <v>6627</v>
      </c>
      <c r="E3630" s="8" t="str">
        <f>IFERROR(__xludf.DUMMYFUNCTION("googletranslate(D3630,""id"",""en"")"),"I want to ray my birthday, just from July, if you know, because the ppkm is crowded, mkirin, the house is also going up to the increase in arghhh")</f>
        <v>I want to ray my birthday, just from July, if you know, because the ppkm is crowded, mkirin, the house is also going up to the increase in arghhh</v>
      </c>
    </row>
    <row r="3631" ht="15.75" customHeight="1">
      <c r="A3631" s="2">
        <v>3631.0</v>
      </c>
      <c r="B3631" s="5" t="s">
        <v>6628</v>
      </c>
      <c r="C3631" s="6">
        <v>1.0</v>
      </c>
      <c r="D3631" s="7" t="s">
        <v>6629</v>
      </c>
      <c r="E3631" s="8" t="str">
        <f>IFERROR(__xludf.DUMMYFUNCTION("googletranslate(D3631,""id"",""en"")"),"Ppkm level unemployed level ready ndan")</f>
        <v>Ppkm level unemployed level ready ndan</v>
      </c>
    </row>
    <row r="3632" ht="15.75" customHeight="1">
      <c r="A3632" s="2">
        <v>3632.0</v>
      </c>
      <c r="B3632" s="5" t="s">
        <v>6630</v>
      </c>
      <c r="C3632" s="6">
        <v>3.0</v>
      </c>
      <c r="D3632" s="9" t="s">
        <v>6631</v>
      </c>
      <c r="E3632" s="8" t="str">
        <f>IFERROR(__xludf.DUMMYFUNCTION("googletranslate(D3632,""id"",""en"")"),"Good morning fren! still enthusiasm even though the PPKM continues and always maintains health, huh &amp; lt; 3")</f>
        <v>Good morning fren! still enthusiasm even though the PPKM continues and always maintains health, huh &amp; lt; 3</v>
      </c>
    </row>
    <row r="3633" ht="15.75" customHeight="1">
      <c r="A3633" s="2">
        <v>3633.0</v>
      </c>
      <c r="B3633" s="5" t="s">
        <v>6632</v>
      </c>
      <c r="C3633" s="6">
        <v>1.0</v>
      </c>
      <c r="D3633" s="7" t="s">
        <v>6633</v>
      </c>
      <c r="E3633" s="8" t="str">
        <f>IFERROR(__xludf.DUMMYFUNCTION("googletranslate(D3633,""id"",""en"")"),"Emergency PPKM level. Indeed, it has entered this survival mode. Hadehh")</f>
        <v>Emergency PPKM level. Indeed, it has entered this survival mode. Hadehh</v>
      </c>
    </row>
    <row r="3634" ht="15.75" customHeight="1">
      <c r="A3634" s="2">
        <v>3634.0</v>
      </c>
      <c r="B3634" s="5" t="s">
        <v>6634</v>
      </c>
      <c r="C3634" s="6">
        <v>2.0</v>
      </c>
      <c r="D3634" s="9" t="s">
        <v>6635</v>
      </c>
      <c r="E3634" s="8" t="str">
        <f>IFERROR(__xludf.DUMMYFUNCTION("googletranslate(D3634,""id"",""en"")"),"This PPKM Level is just out of Ulti")</f>
        <v>This PPKM Level is just out of Ulti</v>
      </c>
    </row>
    <row r="3635" ht="15.75" customHeight="1">
      <c r="A3635" s="2">
        <v>3635.0</v>
      </c>
      <c r="B3635" s="5" t="s">
        <v>6636</v>
      </c>
      <c r="C3635" s="6">
        <v>1.0</v>
      </c>
      <c r="D3635" s="10" t="s">
        <v>6636</v>
      </c>
      <c r="E3635" s="8" t="str">
        <f>IFERROR(__xludf.DUMMYFUNCTION("googletranslate(D3635,""id"",""en"")"),"Tai EMG PPKM.")</f>
        <v>Tai EMG PPKM.</v>
      </c>
    </row>
    <row r="3636" ht="15.75" customHeight="1">
      <c r="A3636" s="2">
        <v>3636.0</v>
      </c>
      <c r="B3636" s="5" t="s">
        <v>6637</v>
      </c>
      <c r="C3636" s="6">
        <v>1.0</v>
      </c>
      <c r="D3636" s="9" t="s">
        <v>6637</v>
      </c>
      <c r="E3636" s="8" t="str">
        <f>IFERROR(__xludf.DUMMYFUNCTION("googletranslate(D3636,""id"",""en"")"),"Others on postponing the past PPKM event eh Sii Juyy stupid instead of having a birthday event.")</f>
        <v>Others on postponing the past PPKM event eh Sii Juyy stupid instead of having a birthday event.</v>
      </c>
    </row>
    <row r="3637" ht="15.75" customHeight="1">
      <c r="A3637" s="2">
        <v>3637.0</v>
      </c>
      <c r="B3637" s="5" t="s">
        <v>6638</v>
      </c>
      <c r="C3637" s="6">
        <v>3.0</v>
      </c>
      <c r="D3637" s="7" t="s">
        <v>6639</v>
      </c>
      <c r="E3637" s="8" t="str">
        <f>IFERROR(__xludf.DUMMYFUNCTION("googletranslate(D3637,""id"",""en"")"),"It is precisely what the government needs. This is what the Indonesian people are looking for at home, fight while stay see Twitter until the PPKM is complete.")</f>
        <v>It is precisely what the government needs. This is what the Indonesian people are looking for at home, fight while stay see Twitter until the PPKM is complete.</v>
      </c>
    </row>
    <row r="3638" ht="15.75" customHeight="1">
      <c r="A3638" s="2">
        <v>3638.0</v>
      </c>
      <c r="B3638" s="5" t="s">
        <v>6640</v>
      </c>
      <c r="C3638" s="6">
        <v>1.0</v>
      </c>
      <c r="D3638" s="7" t="s">
        <v>6641</v>
      </c>
      <c r="E3638" s="8" t="str">
        <f>IFERROR(__xludf.DUMMYFUNCTION("googletranslate(D3638,""id"",""en"")"),"Sekarepmu, sir. Once until the PPKM level or make a new abbreviation so that it can be avoided from the Quarantine Law.")</f>
        <v>Sekarepmu, sir. Once until the PPKM level or make a new abbreviation so that it can be avoided from the Quarantine Law.</v>
      </c>
    </row>
    <row r="3639" ht="15.75" customHeight="1">
      <c r="A3639" s="2">
        <v>3639.0</v>
      </c>
      <c r="B3639" s="5" t="s">
        <v>6642</v>
      </c>
      <c r="C3639" s="6">
        <v>2.0</v>
      </c>
      <c r="D3639" s="7" t="s">
        <v>6643</v>
      </c>
      <c r="E3639" s="8" t="str">
        <f>IFERROR(__xludf.DUMMYFUNCTION("googletranslate(D3639,""id"",""en"")"),"Maybe the length of lengthwise ppkm")</f>
        <v>Maybe the length of lengthwise ppkm</v>
      </c>
    </row>
    <row r="3640" ht="15.75" customHeight="1">
      <c r="A3640" s="2">
        <v>3640.0</v>
      </c>
      <c r="B3640" s="5" t="s">
        <v>6644</v>
      </c>
      <c r="C3640" s="6">
        <v>2.0</v>
      </c>
      <c r="D3640" s="9" t="s">
        <v>6645</v>
      </c>
      <c r="E3640" s="8" t="str">
        <f>IFERROR(__xludf.DUMMYFUNCTION("googletranslate(D3640,""id"",""en"")"),"I can shop online send it to the office. If Skincare is safe for the place, if it's a big item and uses at home, I usually take it a little of the items. But because the office closes PPKM, I before checkout always talking to Nyokap. Mam, I have bought XX"&amp;"X later for this.")</f>
        <v>I can shop online send it to the office. If Skincare is safe for the place, if it's a big item and uses at home, I usually take it a little of the items. But because the office closes PPKM, I before checkout always talking to Nyokap. Mam, I have bought XXX later for this.</v>
      </c>
    </row>
    <row r="3641" ht="15.75" customHeight="1">
      <c r="A3641" s="2">
        <v>3641.0</v>
      </c>
      <c r="B3641" s="5" t="s">
        <v>6646</v>
      </c>
      <c r="C3641" s="6">
        <v>1.0</v>
      </c>
      <c r="D3641" s="9" t="s">
        <v>6647</v>
      </c>
      <c r="E3641" s="8" t="str">
        <f>IFERROR(__xludf.DUMMYFUNCTION("googletranslate(D3641,""id"",""en"")"),"Mr. Want to PPKM until you just have a spirit. But Sir thought Dong Kasian little people sir in distress. Mr. I, please disband the crowd but not the one who is a trading pack, so I bought it, then I beg you, I want to face face to face again, sir. If it "&amp;"hurts' it's the affair above")</f>
        <v>Mr. Want to PPKM until you just have a spirit. But Sir thought Dong Kasian little people sir in distress. Mr. I, please disband the crowd but not the one who is a trading pack, so I bought it, then I beg you, I want to face face to face again, sir. If it hurts' it's the affair above</v>
      </c>
    </row>
    <row r="3642" ht="15.75" customHeight="1">
      <c r="A3642" s="2">
        <v>3642.0</v>
      </c>
      <c r="B3642" s="5" t="s">
        <v>6648</v>
      </c>
      <c r="C3642" s="6">
        <v>1.0</v>
      </c>
      <c r="D3642" s="7" t="s">
        <v>6649</v>
      </c>
      <c r="E3642" s="8" t="str">
        <f>IFERROR(__xludf.DUMMYFUNCTION("googletranslate(D3642,""id"",""en"")"),"Ppkm udh rich in bon chili there is a level can be dine in tp max minutes the time can or org the eg it's easy to eat so hurry")</f>
        <v>Ppkm udh rich in bon chili there is a level can be dine in tp max minutes the time can or org the eg it's easy to eat so hurry</v>
      </c>
    </row>
    <row r="3643" ht="15.75" customHeight="1">
      <c r="A3643" s="2">
        <v>3643.0</v>
      </c>
      <c r="B3643" s="5" t="s">
        <v>6650</v>
      </c>
      <c r="C3643" s="6">
        <v>1.0</v>
      </c>
      <c r="D3643" s="7" t="s">
        <v>6651</v>
      </c>
      <c r="E3643" s="8" t="str">
        <f>IFERROR(__xludf.DUMMYFUNCTION("googletranslate(D3643,""id"",""en"")"),"But during the Emergency PPKM yesterday the food stall in my normal area as usual, people ate at the place, Warkop Brass JG open hours")</f>
        <v>But during the Emergency PPKM yesterday the food stall in my normal area as usual, people ate at the place, Warkop Brass JG open hours</v>
      </c>
    </row>
    <row r="3644" ht="15.75" customHeight="1">
      <c r="A3644" s="2">
        <v>3644.0</v>
      </c>
      <c r="B3644" s="5" t="s">
        <v>6652</v>
      </c>
      <c r="C3644" s="6">
        <v>2.0</v>
      </c>
      <c r="D3644" s="7" t="s">
        <v>6652</v>
      </c>
      <c r="E3644" s="8" t="str">
        <f>IFERROR(__xludf.DUMMYFUNCTION("googletranslate(D3644,""id"",""en"")"),"extended ppkm continues until you become mine but fulfill")</f>
        <v>extended ppkm continues until you become mine but fulfill</v>
      </c>
    </row>
    <row r="3645" ht="15.75" customHeight="1">
      <c r="A3645" s="2">
        <v>3645.0</v>
      </c>
      <c r="B3645" s="5" t="s">
        <v>6653</v>
      </c>
      <c r="C3645" s="6">
        <v>2.0</v>
      </c>
      <c r="D3645" s="7" t="s">
        <v>6654</v>
      </c>
      <c r="E3645" s="8" t="str">
        <f>IFERROR(__xludf.DUMMYFUNCTION("googletranslate(D3645,""id"",""en"")"),"We have been trained to eat restricted time, only minutes while still in school. MPKM continues, eating restricted minutes, yes, it is still grateful. Maybe it's hard for smokers, after eating must move to find a place")</f>
        <v>We have been trained to eat restricted time, only minutes while still in school. MPKM continues, eating restricted minutes, yes, it is still grateful. Maybe it's hard for smokers, after eating must move to find a place</v>
      </c>
    </row>
    <row r="3646" ht="15.75" customHeight="1">
      <c r="A3646" s="2">
        <v>3646.0</v>
      </c>
      <c r="B3646" s="5" t="s">
        <v>6655</v>
      </c>
      <c r="C3646" s="6">
        <v>1.0</v>
      </c>
      <c r="D3646" s="7" t="s">
        <v>6656</v>
      </c>
      <c r="E3646" s="8" t="str">
        <f>IFERROR(__xludf.DUMMYFUNCTION("googletranslate(D3646,""id"",""en"")"),"Read writing about PPKM, remember PSBB. When you hear PSB, remember the Bansos corrected.")</f>
        <v>Read writing about PPKM, remember PSBB. When you hear PSB, remember the Bansos corrected.</v>
      </c>
    </row>
    <row r="3647" ht="15.75" customHeight="1">
      <c r="A3647" s="2">
        <v>3647.0</v>
      </c>
      <c r="B3647" s="5" t="s">
        <v>6657</v>
      </c>
      <c r="C3647" s="6">
        <v>3.0</v>
      </c>
      <c r="D3647" s="7" t="s">
        <v>6658</v>
      </c>
      <c r="E3647" s="8" t="str">
        <f>IFERROR(__xludf.DUMMYFUNCTION("googletranslate(D3647,""id"",""en"")"),"Thank you for understanding and support for the implementation of the PPKM.")</f>
        <v>Thank you for understanding and support for the implementation of the PPKM.</v>
      </c>
    </row>
    <row r="3648" ht="15.75" customHeight="1">
      <c r="A3648" s="2">
        <v>3648.0</v>
      </c>
      <c r="B3648" s="5" t="s">
        <v>6659</v>
      </c>
      <c r="C3648" s="6">
        <v>2.0</v>
      </c>
      <c r="D3648" s="7" t="s">
        <v>6660</v>
      </c>
      <c r="E3648" s="8" t="str">
        <f>IFERROR(__xludf.DUMMYFUNCTION("googletranslate(D3648,""id"",""en"")"),"PPKM is shared until Subathon finished")</f>
        <v>PPKM is shared until Subathon finished</v>
      </c>
    </row>
    <row r="3649" ht="15.75" customHeight="1">
      <c r="A3649" s="2">
        <v>3649.0</v>
      </c>
      <c r="B3649" s="5" t="s">
        <v>6661</v>
      </c>
      <c r="C3649" s="6">
        <v>1.0</v>
      </c>
      <c r="D3649" s="7" t="s">
        <v>6661</v>
      </c>
      <c r="E3649" s="8" t="str">
        <f>IFERROR(__xludf.DUMMYFUNCTION("googletranslate(D3649,""id"",""en"")"),"Is that artist who does the birthday party ppkm ppkm?")</f>
        <v>Is that artist who does the birthday party ppkm ppkm?</v>
      </c>
    </row>
    <row r="3650" ht="15.75" customHeight="1">
      <c r="A3650" s="2">
        <v>3650.0</v>
      </c>
      <c r="B3650" s="5" t="s">
        <v>6662</v>
      </c>
      <c r="C3650" s="6">
        <v>2.0</v>
      </c>
      <c r="D3650" s="7" t="s">
        <v>6662</v>
      </c>
      <c r="E3650" s="8" t="str">
        <f>IFERROR(__xludf.DUMMYFUNCTION("googletranslate(D3650,""id"",""en"")"),"PPKM extended until AUL Meet his soul mate")</f>
        <v>PPKM extended until AUL Meet his soul mate</v>
      </c>
    </row>
    <row r="3651" ht="15.75" customHeight="1">
      <c r="A3651" s="2">
        <v>3651.0</v>
      </c>
      <c r="B3651" s="5" t="s">
        <v>6663</v>
      </c>
      <c r="C3651" s="6">
        <v>2.0</v>
      </c>
      <c r="D3651" s="9" t="s">
        <v>6664</v>
      </c>
      <c r="E3651" s="8" t="str">
        <f>IFERROR(__xludf.DUMMYFUNCTION("googletranslate(D3651,""id"",""en"")"),"Thickening LVL Loose Emergency Emergency")</f>
        <v>Thickening LVL Loose Emergency Emergency</v>
      </c>
    </row>
    <row r="3652" ht="15.75" customHeight="1">
      <c r="A3652" s="2">
        <v>3652.0</v>
      </c>
      <c r="B3652" s="5" t="s">
        <v>6665</v>
      </c>
      <c r="C3652" s="6">
        <v>1.0</v>
      </c>
      <c r="D3652" s="7" t="s">
        <v>6666</v>
      </c>
      <c r="E3652" s="8" t="str">
        <f>IFERROR(__xludf.DUMMYFUNCTION("googletranslate(D3652,""id"",""en"")"),"PPKPreader of the Government of the Victims Community CommunityJaaaaa Bener Juge")</f>
        <v>PPKPreader of the Government of the Victims Community CommunityJaaaaa Bener Juge</v>
      </c>
    </row>
    <row r="3653" ht="15.75" customHeight="1">
      <c r="A3653" s="2">
        <v>3653.0</v>
      </c>
      <c r="B3653" s="5" t="s">
        <v>6667</v>
      </c>
      <c r="C3653" s="6">
        <v>2.0</v>
      </c>
      <c r="D3653" s="7" t="s">
        <v>6668</v>
      </c>
      <c r="E3653" s="8" t="str">
        <f>IFERROR(__xludf.DUMMYFUNCTION("googletranslate(D3653,""id"",""en"")"),"PPKM is extended to August, for what you have.")</f>
        <v>PPKM is extended to August, for what you have.</v>
      </c>
    </row>
    <row r="3654" ht="15.75" customHeight="1">
      <c r="A3654" s="2">
        <v>3654.0</v>
      </c>
      <c r="B3654" s="5" t="s">
        <v>6669</v>
      </c>
      <c r="C3654" s="6">
        <v>2.0</v>
      </c>
      <c r="D3654" s="7" t="s">
        <v>6670</v>
      </c>
      <c r="E3654" s="8" t="str">
        <f>IFERROR(__xludf.DUMMYFUNCTION("googletranslate(D3654,""id"",""en"")"),"Extend a little bit, so that people have thoughts soon PPKM is complete.")</f>
        <v>Extend a little bit, so that people have thoughts soon PPKM is complete.</v>
      </c>
    </row>
    <row r="3655" ht="15.75" customHeight="1">
      <c r="A3655" s="2">
        <v>3655.0</v>
      </c>
      <c r="B3655" s="5" t="s">
        <v>6671</v>
      </c>
      <c r="C3655" s="6">
        <v>2.0</v>
      </c>
      <c r="D3655" s="7" t="s">
        <v>6671</v>
      </c>
      <c r="E3655" s="8" t="str">
        <f>IFERROR(__xludf.DUMMYFUNCTION("googletranslate(D3655,""id"",""en"")"),"Ppkm extends to?")</f>
        <v>Ppkm extends to?</v>
      </c>
    </row>
    <row r="3656" ht="15.75" customHeight="1">
      <c r="A3656" s="2">
        <v>3656.0</v>
      </c>
      <c r="B3656" s="5" t="s">
        <v>6672</v>
      </c>
      <c r="C3656" s="6">
        <v>1.0</v>
      </c>
      <c r="D3656" s="9" t="s">
        <v>6673</v>
      </c>
      <c r="E3656" s="8" t="str">
        <f>IFERROR(__xludf.DUMMYFUNCTION("googletranslate(D3656,""id"",""en"")"),"I said what was it too, it's so easy for the ppkm psti on extend2 wkwk")</f>
        <v>I said what was it too, it's so easy for the ppkm psti on extend2 wkwk</v>
      </c>
    </row>
    <row r="3657" ht="15.75" customHeight="1">
      <c r="A3657" s="2">
        <v>3657.0</v>
      </c>
      <c r="B3657" s="5" t="s">
        <v>6674</v>
      </c>
      <c r="C3657" s="6">
        <v>1.0</v>
      </c>
      <c r="D3657" s="7" t="s">
        <v>6675</v>
      </c>
      <c r="E3657" s="8" t="str">
        <f>IFERROR(__xludf.DUMMYFUNCTION("googletranslate(D3657,""id"",""en"")"),"The impact of the Emergency PPKM which was first hundreds of thousands of workers in bulk, lower middle business actors were difficult to find money because there were restrictions in trying. This at the PPKM is extended again ?? Destruction is increasing"&amp;"ly real if the government does not bear the cost of living the people")</f>
        <v>The impact of the Emergency PPKM which was first hundreds of thousands of workers in bulk, lower middle business actors were difficult to find money because there were restrictions in trying. This at the PPKM is extended again ?? Destruction is increasingly real if the government does not bear the cost of living the people</v>
      </c>
    </row>
    <row r="3658" ht="15.75" customHeight="1">
      <c r="A3658" s="2">
        <v>3658.0</v>
      </c>
      <c r="B3658" s="5" t="s">
        <v>6676</v>
      </c>
      <c r="C3658" s="6">
        <v>1.0</v>
      </c>
      <c r="D3658" s="9" t="s">
        <v>6677</v>
      </c>
      <c r="E3658" s="8" t="str">
        <f>IFERROR(__xludf.DUMMYFUNCTION("googletranslate(D3658,""id"",""en"")"),"PPKM plan for the Ministry of Finance Sunday, but the one who was traveled for a week a week was first a week to be economical Bansos Yakan")</f>
        <v>PPKM plan for the Ministry of Finance Sunday, but the one who was traveled for a week a week was first a week to be economical Bansos Yakan</v>
      </c>
    </row>
    <row r="3659" ht="15.75" customHeight="1">
      <c r="A3659" s="2">
        <v>3659.0</v>
      </c>
      <c r="B3659" s="5" t="s">
        <v>6678</v>
      </c>
      <c r="C3659" s="6">
        <v>2.0</v>
      </c>
      <c r="D3659" s="7" t="s">
        <v>6679</v>
      </c>
      <c r="E3659" s="8" t="str">
        <f>IFERROR(__xludf.DUMMYFUNCTION("googletranslate(D3659,""id"",""en"")"),"Hopefully as soon as possible, let it be fast after the PPKM")</f>
        <v>Hopefully as soon as possible, let it be fast after the PPKM</v>
      </c>
    </row>
    <row r="3660" ht="15.75" customHeight="1">
      <c r="A3660" s="2">
        <v>3660.0</v>
      </c>
      <c r="B3660" s="5" t="s">
        <v>6680</v>
      </c>
      <c r="C3660" s="6">
        <v>1.0</v>
      </c>
      <c r="D3660" s="7" t="s">
        <v>6681</v>
      </c>
      <c r="E3660" s="8" t="str">
        <f>IFERROR(__xludf.DUMMYFUNCTION("googletranslate(D3660,""id"",""en"")"),"Already vacuumed during the PPKM enforcement")</f>
        <v>Already vacuumed during the PPKM enforcement</v>
      </c>
    </row>
    <row r="3661" ht="15.75" customHeight="1">
      <c r="A3661" s="2">
        <v>3661.0</v>
      </c>
      <c r="B3661" s="5" t="s">
        <v>6682</v>
      </c>
      <c r="C3661" s="6">
        <v>1.0</v>
      </c>
      <c r="D3661" s="7" t="s">
        <v>6683</v>
      </c>
      <c r="E3661" s="8" t="str">
        <f>IFERROR(__xludf.DUMMYFUNCTION("googletranslate(D3661,""id"",""en"")"),"Want to be when PPKM is extended? Until Tuwekkk")</f>
        <v>Want to be when PPKM is extended? Until Tuwekkk</v>
      </c>
    </row>
    <row r="3662" ht="15.75" customHeight="1">
      <c r="A3662" s="2">
        <v>3662.0</v>
      </c>
      <c r="B3662" s="5" t="s">
        <v>6684</v>
      </c>
      <c r="C3662" s="6">
        <v>2.0</v>
      </c>
      <c r="D3662" s="7" t="s">
        <v>6685</v>
      </c>
      <c r="E3662" s="8" t="str">
        <f>IFERROR(__xludf.DUMMYFUNCTION("googletranslate(D3662,""id"",""en"")"),"KAN PPKM has ended until the date")</f>
        <v>KAN PPKM has ended until the date</v>
      </c>
    </row>
    <row r="3663" ht="15.75" customHeight="1">
      <c r="A3663" s="2">
        <v>3663.0</v>
      </c>
      <c r="B3663" s="5" t="s">
        <v>6686</v>
      </c>
      <c r="C3663" s="6">
        <v>2.0</v>
      </c>
      <c r="D3663" s="7" t="s">
        <v>6687</v>
      </c>
      <c r="E3663" s="8" t="str">
        <f>IFERROR(__xludf.DUMMYFUNCTION("googletranslate(D3663,""id"",""en"")"),"Charikan Ma Mars, LG PPKM")</f>
        <v>Charikan Ma Mars, LG PPKM</v>
      </c>
    </row>
    <row r="3664" ht="15.75" customHeight="1">
      <c r="A3664" s="2">
        <v>3664.0</v>
      </c>
      <c r="B3664" s="5" t="s">
        <v>6688</v>
      </c>
      <c r="C3664" s="6">
        <v>2.0</v>
      </c>
      <c r="D3664" s="9" t="s">
        <v>6689</v>
      </c>
      <c r="E3664" s="8" t="str">
        <f>IFERROR(__xludf.DUMMYFUNCTION("googletranslate(D3664,""id"",""en"")"),"He said the PPKM level was out of guys, how do you think it's in Indomart, there's no blum: v ~")</f>
        <v>He said the PPKM level was out of guys, how do you think it's in Indomart, there's no blum: v ~</v>
      </c>
    </row>
    <row r="3665" ht="15.75" customHeight="1">
      <c r="A3665" s="2">
        <v>3665.0</v>
      </c>
      <c r="B3665" s="5" t="s">
        <v>6690</v>
      </c>
      <c r="C3665" s="6">
        <v>1.0</v>
      </c>
      <c r="D3665" s="7" t="s">
        <v>6691</v>
      </c>
      <c r="E3665" s="8" t="str">
        <f>IFERROR(__xludf.DUMMYFUNCTION("googletranslate(D3665,""id"",""en"")"),"July, July, August 2 or JGN SMPE August udh Rich Motorbike Credit NjiiiIrrrppkmpsbblevel")</f>
        <v>July, July, August 2 or JGN SMPE August udh Rich Motorbike Credit NjiiiIrrrppkmpsbblevel</v>
      </c>
    </row>
    <row r="3666" ht="15.75" customHeight="1">
      <c r="A3666" s="2">
        <v>3666.0</v>
      </c>
      <c r="B3666" s="5" t="s">
        <v>6692</v>
      </c>
      <c r="C3666" s="6">
        <v>2.0</v>
      </c>
      <c r="D3666" s="7" t="s">
        <v>6692</v>
      </c>
      <c r="E3666" s="8" t="str">
        <f>IFERROR(__xludf.DUMMYFUNCTION("googletranslate(D3666,""id"",""en"")"),"Ppkm adh stage bro ?? Wait for the King's opponent")</f>
        <v>Ppkm adh stage bro ?? Wait for the King's opponent</v>
      </c>
    </row>
    <row r="3667" ht="15.75" customHeight="1">
      <c r="A3667" s="2">
        <v>3667.0</v>
      </c>
      <c r="B3667" s="5" t="s">
        <v>6693</v>
      </c>
      <c r="C3667" s="6">
        <v>2.0</v>
      </c>
      <c r="D3667" s="9" t="s">
        <v>6694</v>
      </c>
      <c r="E3667" s="8" t="str">
        <f>IFERROR(__xludf.DUMMYFUNCTION("googletranslate(D3667,""id"",""en"")"),"The PPKM level is under emergency PPKM status, because there is already easing?")</f>
        <v>The PPKM level is under emergency PPKM status, because there is already easing?</v>
      </c>
    </row>
    <row r="3668" ht="15.75" customHeight="1">
      <c r="A3668" s="2">
        <v>3668.0</v>
      </c>
      <c r="B3668" s="5" t="s">
        <v>6695</v>
      </c>
      <c r="C3668" s="6">
        <v>1.0</v>
      </c>
      <c r="D3668" s="9" t="s">
        <v>6696</v>
      </c>
      <c r="E3668" s="8" t="str">
        <f>IFERROR(__xludf.DUMMYFUNCTION("googletranslate(D3668,""id"",""en"")"),"PPKM continues even though next month I am called work. But the sigh of this is how I want to go back to cross the island of oath is really confused")</f>
        <v>PPKM continues even though next month I am called work. But the sigh of this is how I want to go back to cross the island of oath is really confused</v>
      </c>
    </row>
    <row r="3669" ht="15.75" customHeight="1">
      <c r="A3669" s="2">
        <v>3669.0</v>
      </c>
      <c r="B3669" s="5" t="s">
        <v>6697</v>
      </c>
      <c r="C3669" s="6">
        <v>1.0</v>
      </c>
      <c r="D3669" s="9" t="s">
        <v>6697</v>
      </c>
      <c r="E3669" s="8" t="str">
        <f>IFERROR(__xludf.DUMMYFUNCTION("googletranslate(D3669,""id"",""en"")"),"Brisik Rename PPKM Name Mulu")</f>
        <v>Brisik Rename PPKM Name Mulu</v>
      </c>
    </row>
    <row r="3670" ht="15.75" customHeight="1">
      <c r="A3670" s="2">
        <v>3670.0</v>
      </c>
      <c r="B3670" s="5" t="s">
        <v>6698</v>
      </c>
      <c r="C3670" s="6">
        <v>1.0</v>
      </c>
      <c r="D3670" s="9" t="s">
        <v>6699</v>
      </c>
      <c r="E3670" s="8" t="str">
        <f>IFERROR(__xludf.DUMMYFUNCTION("googletranslate(D3670,""id"",""en"")"),"Funny too if the ppkm is only mg ... but every week it extends ampe there is an announcement finished. I win a lot, people's subsidiary ...")</f>
        <v>Funny too if the ppkm is only mg ... but every week it extends ampe there is an announcement finished. I win a lot, people's subsidiary ...</v>
      </c>
    </row>
    <row r="3671" ht="15.75" customHeight="1">
      <c r="A3671" s="2">
        <v>3671.0</v>
      </c>
      <c r="B3671" s="5" t="s">
        <v>6700</v>
      </c>
      <c r="C3671" s="6">
        <v>1.0</v>
      </c>
      <c r="D3671" s="7" t="s">
        <v>6701</v>
      </c>
      <c r="E3671" s="8" t="str">
        <f>IFERROR(__xludf.DUMMYFUNCTION("googletranslate(D3671,""id"",""en"")"),"Not in WA, in IG, where many of which are disappointed PPKM are extended. The effect is really tasting for the business sector both small and large. Crazy !")</f>
        <v>Not in WA, in IG, where many of which are disappointed PPKM are extended. The effect is really tasting for the business sector both small and large. Crazy !</v>
      </c>
    </row>
    <row r="3672" ht="15.75" customHeight="1">
      <c r="A3672" s="2">
        <v>3672.0</v>
      </c>
      <c r="B3672" s="5" t="s">
        <v>6702</v>
      </c>
      <c r="C3672" s="6">
        <v>1.0</v>
      </c>
      <c r="D3672" s="7" t="s">
        <v>6703</v>
      </c>
      <c r="E3672" s="8" t="str">
        <f>IFERROR(__xludf.DUMMYFUNCTION("googletranslate(D3672,""id"",""en"")"),"Crazy PPKM pedes")</f>
        <v>Crazy PPKM pedes</v>
      </c>
    </row>
    <row r="3673" ht="15.75" customHeight="1">
      <c r="A3673" s="2">
        <v>3673.0</v>
      </c>
      <c r="B3673" s="5" t="s">
        <v>6704</v>
      </c>
      <c r="C3673" s="6">
        <v>2.0</v>
      </c>
      <c r="D3673" s="7" t="s">
        <v>6705</v>
      </c>
      <c r="E3673" s="8" t="str">
        <f>IFERROR(__xludf.DUMMYFUNCTION("googletranslate(D3673,""id"",""en"")"),"PPKM Level, Wahhh can already Ulti Tuhh")</f>
        <v>PPKM Level, Wahhh can already Ulti Tuhh</v>
      </c>
    </row>
    <row r="3674" ht="15.75" customHeight="1">
      <c r="A3674" s="2">
        <v>3674.0</v>
      </c>
      <c r="B3674" s="5" t="s">
        <v>6706</v>
      </c>
      <c r="C3674" s="6">
        <v>2.0</v>
      </c>
      <c r="D3674" s="7" t="s">
        <v>6706</v>
      </c>
      <c r="E3674" s="8" t="str">
        <f>IFERROR(__xludf.DUMMYFUNCTION("googletranslate(D3674,""id"",""en"")"),"Ppkm: introduction, meeting, khitbah, married")</f>
        <v>Ppkm: introduction, meeting, khitbah, married</v>
      </c>
    </row>
    <row r="3675" ht="15.75" customHeight="1">
      <c r="A3675" s="2">
        <v>3675.0</v>
      </c>
      <c r="B3675" s="5" t="s">
        <v>6707</v>
      </c>
      <c r="C3675" s="6">
        <v>2.0</v>
      </c>
      <c r="D3675" s="7" t="s">
        <v>6708</v>
      </c>
      <c r="E3675" s="8" t="str">
        <f>IFERROR(__xludf.DUMMYFUNCTION("googletranslate(D3675,""id"",""en"")"),"PPKM model like this for a cafe child will not matter, ...")</f>
        <v>PPKM model like this for a cafe child will not matter, ...</v>
      </c>
    </row>
    <row r="3676" ht="15.75" customHeight="1">
      <c r="A3676" s="2">
        <v>3676.0</v>
      </c>
      <c r="B3676" s="5" t="s">
        <v>6709</v>
      </c>
      <c r="C3676" s="6">
        <v>2.0</v>
      </c>
      <c r="D3676" s="7" t="s">
        <v>6709</v>
      </c>
      <c r="E3676" s="8" t="str">
        <f>IFERROR(__xludf.DUMMYFUNCTION("googletranslate(D3676,""id"",""en"")"),"PPKM extended until you become mine Houoo Ouoooo")</f>
        <v>PPKM extended until you become mine Houoo Ouoooo</v>
      </c>
    </row>
    <row r="3677" ht="15.75" customHeight="1">
      <c r="A3677" s="2">
        <v>3677.0</v>
      </c>
      <c r="B3677" s="5" t="s">
        <v>6710</v>
      </c>
      <c r="C3677" s="6">
        <v>2.0</v>
      </c>
      <c r="D3677" s="9" t="s">
        <v>6711</v>
      </c>
      <c r="E3677" s="8" t="str">
        <f>IFERROR(__xludf.DUMMYFUNCTION("googletranslate(D3677,""id"",""en"")"),"Good morning")</f>
        <v>Good morning</v>
      </c>
    </row>
    <row r="3678" ht="15.75" customHeight="1">
      <c r="A3678" s="2">
        <v>3678.0</v>
      </c>
      <c r="B3678" s="5" t="s">
        <v>6712</v>
      </c>
      <c r="C3678" s="6">
        <v>1.0</v>
      </c>
      <c r="D3678" s="9" t="s">
        <v>6712</v>
      </c>
      <c r="E3678" s="8" t="str">
        <f>IFERROR(__xludf.DUMMYFUNCTION("googletranslate(D3678,""id"",""en"")"),"Heavy conditions for children ""who used to come out from Trs, arrived"" It's hard to get permission from parents because of PPKM")</f>
        <v>Heavy conditions for children "who used to come out from Trs, arrived" It's hard to get permission from parents because of PPKM</v>
      </c>
    </row>
    <row r="3679" ht="15.75" customHeight="1">
      <c r="A3679" s="2">
        <v>3679.0</v>
      </c>
      <c r="B3679" s="5" t="s">
        <v>6713</v>
      </c>
      <c r="C3679" s="6">
        <v>1.0</v>
      </c>
      <c r="D3679" s="7" t="s">
        <v>6713</v>
      </c>
      <c r="E3679" s="8" t="str">
        <f>IFERROR(__xludf.DUMMYFUNCTION("googletranslate(D3679,""id"",""en"")"),"For a long time the Chaos community. The government does it, only PPKM Level Boncabe, but Help is minimal.")</f>
        <v>For a long time the Chaos community. The government does it, only PPKM Level Boncabe, but Help is minimal.</v>
      </c>
    </row>
    <row r="3680" ht="15.75" customHeight="1">
      <c r="A3680" s="2">
        <v>3680.0</v>
      </c>
      <c r="B3680" s="5" t="s">
        <v>6714</v>
      </c>
      <c r="C3680" s="6">
        <v>2.0</v>
      </c>
      <c r="D3680" s="7" t="s">
        <v>6714</v>
      </c>
      <c r="E3680" s="8" t="str">
        <f>IFERROR(__xludf.DUMMYFUNCTION("googletranslate(D3680,""id"",""en"")"),"ppkm extended smpe jeya hyunjae mnkh")</f>
        <v>ppkm extended smpe jeya hyunjae mnkh</v>
      </c>
    </row>
    <row r="3681" ht="15.75" customHeight="1">
      <c r="A3681" s="2">
        <v>3681.0</v>
      </c>
      <c r="B3681" s="5" t="s">
        <v>6715</v>
      </c>
      <c r="C3681" s="6">
        <v>1.0</v>
      </c>
      <c r="D3681" s="7" t="s">
        <v>6715</v>
      </c>
      <c r="E3681" s="8" t="str">
        <f>IFERROR(__xludf.DUMMYFUNCTION("googletranslate(D3681,""id"",""en"")"),"PPKM continues to be my ukt not getting paid")</f>
        <v>PPKM continues to be my ukt not getting paid</v>
      </c>
    </row>
    <row r="3682" ht="15.75" customHeight="1">
      <c r="A3682" s="2">
        <v>3682.0</v>
      </c>
      <c r="B3682" s="5" t="s">
        <v>6716</v>
      </c>
      <c r="C3682" s="6">
        <v>3.0</v>
      </c>
      <c r="D3682" s="9" t="s">
        <v>6717</v>
      </c>
      <c r="E3682" s="8" t="str">
        <f>IFERROR(__xludf.DUMMYFUNCTION("googletranslate(D3682,""id"",""en"")"),"PPKP is trusted must be Christ helping")</f>
        <v>PPKP is trusted must be Christ helping</v>
      </c>
    </row>
    <row r="3683" ht="15.75" customHeight="1">
      <c r="A3683" s="2">
        <v>3683.0</v>
      </c>
      <c r="B3683" s="5" t="s">
        <v>6718</v>
      </c>
      <c r="C3683" s="6">
        <v>2.0</v>
      </c>
      <c r="D3683" s="7" t="s">
        <v>6719</v>
      </c>
      <c r="E3683" s="8" t="str">
        <f>IFERROR(__xludf.DUMMYFUNCTION("googletranslate(D3683,""id"",""en"")"),"finished ppkm want to take a walk")</f>
        <v>finished ppkm want to take a walk</v>
      </c>
    </row>
    <row r="3684" ht="15.75" customHeight="1">
      <c r="A3684" s="2">
        <v>3684.0</v>
      </c>
      <c r="B3684" s="5" t="s">
        <v>6720</v>
      </c>
      <c r="C3684" s="6">
        <v>2.0</v>
      </c>
      <c r="D3684" s="7" t="s">
        <v>6721</v>
      </c>
      <c r="E3684" s="8" t="str">
        <f>IFERROR(__xludf.DUMMYFUNCTION("googletranslate(D3684,""id"",""en"")"),"It seems like it will be there again, just look at the problem, the PPKM is extended")</f>
        <v>It seems like it will be there again, just look at the problem, the PPKM is extended</v>
      </c>
    </row>
    <row r="3685" ht="15.75" customHeight="1">
      <c r="A3685" s="2">
        <v>3685.0</v>
      </c>
      <c r="B3685" s="5" t="s">
        <v>6722</v>
      </c>
      <c r="C3685" s="6">
        <v>1.0</v>
      </c>
      <c r="D3685" s="7" t="s">
        <v>6723</v>
      </c>
      <c r="E3685" s="8" t="str">
        <f>IFERROR(__xludf.DUMMYFUNCTION("googletranslate(D3685,""id"",""en"")"),"Considering and deciding that PPKM was extended. Yes, the name was extended, the origin of the Emergency PPKM became the Emergency PPKM level and. Action in the field? Will be seen in the record of death and daily cases.")</f>
        <v>Considering and deciding that PPKM was extended. Yes, the name was extended, the origin of the Emergency PPKM became the Emergency PPKM level and. Action in the field? Will be seen in the record of death and daily cases.</v>
      </c>
    </row>
    <row r="3686" ht="15.75" customHeight="1">
      <c r="A3686" s="2">
        <v>3686.0</v>
      </c>
      <c r="B3686" s="5" t="s">
        <v>6724</v>
      </c>
      <c r="C3686" s="6">
        <v>2.0</v>
      </c>
      <c r="D3686" s="7" t="s">
        <v>6725</v>
      </c>
      <c r="E3686" s="8" t="str">
        <f>IFERROR(__xludf.DUMMYFUNCTION("googletranslate(D3686,""id"",""en"")"),"Not bad SMP PPKM level rakaat.")</f>
        <v>Not bad SMP PPKM level rakaat.</v>
      </c>
    </row>
    <row r="3687" ht="15.75" customHeight="1">
      <c r="A3687" s="2">
        <v>3687.0</v>
      </c>
      <c r="B3687" s="5" t="s">
        <v>6726</v>
      </c>
      <c r="C3687" s="6">
        <v>2.0</v>
      </c>
      <c r="D3687" s="7" t="s">
        <v>6727</v>
      </c>
      <c r="E3687" s="8" t="str">
        <f>IFERROR(__xludf.DUMMYFUNCTION("googletranslate(D3687,""id"",""en"")"),"Announcing the extension of the PPKM, President Jokowi called the Delta variant very contagious. What makes it so easy to spread until now is still mysterious.")</f>
        <v>Announcing the extension of the PPKM, President Jokowi called the Delta variant very contagious. What makes it so easy to spread until now is still mysterious.</v>
      </c>
    </row>
    <row r="3688" ht="15.75" customHeight="1">
      <c r="A3688" s="2">
        <v>3688.0</v>
      </c>
      <c r="B3688" s="5" t="s">
        <v>6728</v>
      </c>
      <c r="C3688" s="6">
        <v>2.0</v>
      </c>
      <c r="D3688" s="7" t="s">
        <v>6729</v>
      </c>
      <c r="E3688" s="8" t="str">
        <f>IFERROR(__xludf.DUMMYFUNCTION("googletranslate(D3688,""id"",""en"")"),"The word you want but wait for the PPKM finish")</f>
        <v>The word you want but wait for the PPKM finish</v>
      </c>
    </row>
    <row r="3689" ht="15.75" customHeight="1">
      <c r="A3689" s="2">
        <v>3689.0</v>
      </c>
      <c r="B3689" s="5" t="s">
        <v>6730</v>
      </c>
      <c r="C3689" s="6">
        <v>1.0</v>
      </c>
      <c r="D3689" s="9" t="s">
        <v>6731</v>
      </c>
      <c r="E3689" s="8" t="str">
        <f>IFERROR(__xludf.DUMMYFUNCTION("googletranslate(D3689,""id"",""en"")"),"PPKM level is extended, but the rules of the game are changed, relaxed. Then what is the function of the level. It should be a rule of playing at each level. This is one proof if the policy is asbun.")</f>
        <v>PPKM level is extended, but the rules of the game are changed, relaxed. Then what is the function of the level. It should be a rule of playing at each level. This is one proof if the policy is asbun.</v>
      </c>
    </row>
    <row r="3690" ht="15.75" customHeight="1">
      <c r="A3690" s="2">
        <v>3690.0</v>
      </c>
      <c r="B3690" s="5" t="s">
        <v>6732</v>
      </c>
      <c r="C3690" s="6">
        <v>3.0</v>
      </c>
      <c r="D3690" s="7" t="s">
        <v>6733</v>
      </c>
      <c r="E3690" s="8" t="str">
        <f>IFERROR(__xludf.DUMMYFUNCTION("googletranslate(D3690,""id"",""en"")"),"Happy Monday, Happy the first day of PPKM")</f>
        <v>Happy Monday, Happy the first day of PPKM</v>
      </c>
    </row>
    <row r="3691" ht="15.75" customHeight="1">
      <c r="A3691" s="2">
        <v>3691.0</v>
      </c>
      <c r="B3691" s="5" t="s">
        <v>6734</v>
      </c>
      <c r="C3691" s="6">
        <v>2.0</v>
      </c>
      <c r="D3691" s="7" t="s">
        <v>6735</v>
      </c>
      <c r="E3691" s="8" t="str">
        <f>IFERROR(__xludf.DUMMYFUNCTION("googletranslate(D3691,""id"",""en"")"),"Ppkm .... exactly the soap opera of the love bond .... chase air")</f>
        <v>Ppkm .... exactly the soap opera of the love bond .... chase air</v>
      </c>
    </row>
    <row r="3692" ht="15.75" customHeight="1">
      <c r="A3692" s="2">
        <v>3692.0</v>
      </c>
      <c r="B3692" s="5" t="s">
        <v>6736</v>
      </c>
      <c r="C3692" s="6">
        <v>2.0</v>
      </c>
      <c r="D3692" s="7" t="s">
        <v>6737</v>
      </c>
      <c r="E3692" s="8" t="str">
        <f>IFERROR(__xludf.DUMMYFUNCTION("googletranslate(D3692,""id"",""en"")"),"BLT / Bansos PPKM programs are diverted for street vendors only for salary subsidies")</f>
        <v>BLT / Bansos PPKM programs are diverted for street vendors only for salary subsidies</v>
      </c>
    </row>
    <row r="3693" ht="15.75" customHeight="1">
      <c r="A3693" s="2">
        <v>3693.0</v>
      </c>
      <c r="B3693" s="5" t="s">
        <v>6738</v>
      </c>
      <c r="C3693" s="6">
        <v>2.0</v>
      </c>
      <c r="D3693" s="7" t="s">
        <v>6739</v>
      </c>
      <c r="E3693" s="8" t="str">
        <f>IFERROR(__xludf.DUMMYFUNCTION("googletranslate(D3693,""id"",""en"")"),"Tabe So Start PPKM Level Increase in Makassar? What are the PPKM regulations?")</f>
        <v>Tabe So Start PPKM Level Increase in Makassar? What are the PPKM regulations?</v>
      </c>
    </row>
    <row r="3694" ht="15.75" customHeight="1">
      <c r="A3694" s="2">
        <v>3694.0</v>
      </c>
      <c r="B3694" s="5" t="s">
        <v>6740</v>
      </c>
      <c r="C3694" s="6">
        <v>2.0</v>
      </c>
      <c r="D3694" s="9" t="s">
        <v>6740</v>
      </c>
      <c r="E3694" s="8" t="str">
        <f>IFERROR(__xludf.DUMMYFUNCTION("googletranslate(D3694,""id"",""en"")"),"PPKM Extended Sampek Statue of Garudo Alun Square Ngendog")</f>
        <v>PPKM Extended Sampek Statue of Garudo Alun Square Ngendog</v>
      </c>
    </row>
    <row r="3695" ht="15.75" customHeight="1">
      <c r="A3695" s="2">
        <v>3695.0</v>
      </c>
      <c r="B3695" s="5" t="s">
        <v>6741</v>
      </c>
      <c r="C3695" s="6">
        <v>2.0</v>
      </c>
      <c r="D3695" s="7" t="s">
        <v>6742</v>
      </c>
      <c r="E3695" s="8" t="str">
        <f>IFERROR(__xludf.DUMMYFUNCTION("googletranslate(D3695,""id"",""en"")"),"O God, the PPKM extended to miss this")</f>
        <v>O God, the PPKM extended to miss this</v>
      </c>
    </row>
    <row r="3696" ht="15.75" customHeight="1">
      <c r="A3696" s="2">
        <v>3696.0</v>
      </c>
      <c r="B3696" s="5" t="s">
        <v>6743</v>
      </c>
      <c r="C3696" s="6">
        <v>3.0</v>
      </c>
      <c r="D3696" s="9" t="s">
        <v>6744</v>
      </c>
      <c r="E3696" s="8" t="str">
        <f>IFERROR(__xludf.DUMMYFUNCTION("googletranslate(D3696,""id"",""en"")"),"Morning mbak ..disana also extended y rich ppkm here mbak. Healthy always y with family")</f>
        <v>Morning mbak ..disana also extended y rich ppkm here mbak. Healthy always y with family</v>
      </c>
    </row>
    <row r="3697" ht="15.75" customHeight="1">
      <c r="A3697" s="2">
        <v>3697.0</v>
      </c>
      <c r="B3697" s="5" t="s">
        <v>6745</v>
      </c>
      <c r="C3697" s="6">
        <v>2.0</v>
      </c>
      <c r="D3697" s="7" t="s">
        <v>6745</v>
      </c>
      <c r="E3697" s="8" t="str">
        <f>IFERROR(__xludf.DUMMYFUNCTION("googletranslate(D3697,""id"",""en"")"),"The PPKM is just extended, your chat time is not extended.")</f>
        <v>The PPKM is just extended, your chat time is not extended.</v>
      </c>
    </row>
    <row r="3698" ht="15.75" customHeight="1">
      <c r="A3698" s="2">
        <v>3698.0</v>
      </c>
      <c r="B3698" s="5" t="s">
        <v>6746</v>
      </c>
      <c r="C3698" s="6">
        <v>1.0</v>
      </c>
      <c r="D3698" s="7" t="s">
        <v>6747</v>
      </c>
      <c r="E3698" s="8" t="str">
        <f>IFERROR(__xludf.DUMMYFUNCTION("googletranslate(D3698,""id"",""en"")"),"Stop and Reject PPKM and Revoke the Status of Ki Ki Click Pandemic !!")</f>
        <v>Stop and Reject PPKM and Revoke the Status of Ki Ki Click Pandemic !!</v>
      </c>
    </row>
    <row r="3699" ht="15.75" customHeight="1">
      <c r="A3699" s="2">
        <v>3699.0</v>
      </c>
      <c r="B3699" s="5" t="s">
        <v>6748</v>
      </c>
      <c r="C3699" s="6">
        <v>2.0</v>
      </c>
      <c r="D3699" s="9" t="s">
        <v>6748</v>
      </c>
      <c r="E3699" s="8" t="str">
        <f>IFERROR(__xludf.DUMMYFUNCTION("googletranslate(D3699,""id"",""en"")"),"Before the PPKM was extended and very long, today wants to cut short hair")</f>
        <v>Before the PPKM was extended and very long, today wants to cut short hair</v>
      </c>
    </row>
    <row r="3700" ht="15.75" customHeight="1">
      <c r="A3700" s="2">
        <v>3700.0</v>
      </c>
      <c r="B3700" s="5" t="s">
        <v>6749</v>
      </c>
      <c r="C3700" s="6">
        <v>1.0</v>
      </c>
      <c r="D3700" s="7" t="s">
        <v>6750</v>
      </c>
      <c r="E3700" s="8" t="str">
        <f>IFERROR(__xludf.DUMMYFUNCTION("googletranslate(D3700,""id"",""en"")"),"Ppkm must be extended..byk cadrun who is stubborn ... so this pandemic does not end.")</f>
        <v>Ppkm must be extended..byk cadrun who is stubborn ... so this pandemic does not end.</v>
      </c>
    </row>
    <row r="3701" ht="15.75" customHeight="1">
      <c r="A3701" s="2">
        <v>3701.0</v>
      </c>
      <c r="B3701" s="5" t="s">
        <v>6751</v>
      </c>
      <c r="C3701" s="6">
        <v>1.0</v>
      </c>
      <c r="D3701" s="7" t="s">
        <v>6752</v>
      </c>
      <c r="E3701" s="8" t="str">
        <f>IFERROR(__xludf.DUMMYFUNCTION("googletranslate(D3701,""id"",""en"")"),"When the PPKM is expected there is a birthday party in the hotel, in Bekasi too")</f>
        <v>When the PPKM is expected there is a birthday party in the hotel, in Bekasi too</v>
      </c>
    </row>
    <row r="3702" ht="15.75" customHeight="1">
      <c r="A3702" s="2">
        <v>3702.0</v>
      </c>
      <c r="B3702" s="5" t="s">
        <v>6753</v>
      </c>
      <c r="C3702" s="6">
        <v>1.0</v>
      </c>
      <c r="D3702" s="9" t="s">
        <v>6754</v>
      </c>
      <c r="E3702" s="8" t="str">
        <f>IFERROR(__xludf.DUMMYFUNCTION("googletranslate(D3702,""id"",""en"")"),"Melawai Open Ga Sih PPKM Gini, Pantesan BBRP Day Dizziness Mulu Kirain Wants Mens Apparently Adds Mins")</f>
        <v>Melawai Open Ga Sih PPKM Gini, Pantesan BBRP Day Dizziness Mulu Kirain Wants Mens Apparently Adds Mins</v>
      </c>
    </row>
    <row r="3703" ht="15.75" customHeight="1">
      <c r="A3703" s="2">
        <v>3703.0</v>
      </c>
      <c r="B3703" s="5" t="s">
        <v>6755</v>
      </c>
      <c r="C3703" s="6">
        <v>1.0</v>
      </c>
      <c r="D3703" s="9" t="s">
        <v>6756</v>
      </c>
      <c r="E3703" s="8" t="str">
        <f>IFERROR(__xludf.DUMMYFUNCTION("googletranslate(D3703,""id"",""en"")"),"I hate covid I hate ppkm, until when the ppkm finished I was tired of my affairs to the mulu mulu bgst")</f>
        <v>I hate covid I hate ppkm, until when the ppkm finished I was tired of my affairs to the mulu mulu bgst</v>
      </c>
    </row>
    <row r="3704" ht="15.75" customHeight="1">
      <c r="A3704" s="2">
        <v>3704.0</v>
      </c>
      <c r="B3704" s="5" t="s">
        <v>6757</v>
      </c>
      <c r="C3704" s="6">
        <v>2.0</v>
      </c>
      <c r="D3704" s="9" t="s">
        <v>6758</v>
      </c>
      <c r="E3704" s="8" t="str">
        <f>IFERROR(__xludf.DUMMYFUNCTION("googletranslate(D3704,""id"",""en"")"),"PPKM, slowly you stay away ... it's often really scared like this if you live the relationship ... by means of ignorance and banyk reasons. So it's used to getting rich like this ,,, Kaga wants to get dizziness. The love of his love is sincere and serious"&amp;".")</f>
        <v>PPKM, slowly you stay away ... it's often really scared like this if you live the relationship ... by means of ignorance and banyk reasons. So it's used to getting rich like this ,,, Kaga wants to get dizziness. The love of his love is sincere and serious.</v>
      </c>
    </row>
    <row r="3705" ht="15.75" customHeight="1">
      <c r="A3705" s="2">
        <v>3705.0</v>
      </c>
      <c r="B3705" s="5" t="s">
        <v>6759</v>
      </c>
      <c r="C3705" s="6">
        <v>2.0</v>
      </c>
      <c r="D3705" s="7" t="s">
        <v>6759</v>
      </c>
      <c r="E3705" s="8" t="str">
        <f>IFERROR(__xludf.DUMMYFUNCTION("googletranslate(D3705,""id"",""en"")"),"Ppkm extended?")</f>
        <v>Ppkm extended?</v>
      </c>
    </row>
    <row r="3706" ht="15.75" customHeight="1">
      <c r="A3706" s="2">
        <v>3706.0</v>
      </c>
      <c r="B3706" s="5" t="s">
        <v>6760</v>
      </c>
      <c r="C3706" s="6">
        <v>2.0</v>
      </c>
      <c r="D3706" s="7" t="s">
        <v>6761</v>
      </c>
      <c r="E3706" s="8" t="str">
        <f>IFERROR(__xludf.DUMMYFUNCTION("googletranslate(D3706,""id"",""en"")"),"Agenda as soon as the PPKM after note the date &amp; amp; hours")</f>
        <v>Agenda as soon as the PPKM after note the date &amp; amp; hours</v>
      </c>
    </row>
    <row r="3707" ht="15.75" customHeight="1">
      <c r="A3707" s="2">
        <v>3707.0</v>
      </c>
      <c r="B3707" s="5" t="s">
        <v>6762</v>
      </c>
      <c r="C3707" s="6">
        <v>1.0</v>
      </c>
      <c r="D3707" s="7" t="s">
        <v>6763</v>
      </c>
      <c r="E3707" s="8" t="str">
        <f>IFERROR(__xludf.DUMMYFUNCTION("googletranslate(D3707,""id"",""en"")"),"Plis woi ppkm ngahan dong a day, I want to go home")</f>
        <v>Plis woi ppkm ngahan dong a day, I want to go home</v>
      </c>
    </row>
    <row r="3708" ht="15.75" customHeight="1">
      <c r="A3708" s="2">
        <v>3708.0</v>
      </c>
      <c r="B3708" s="5" t="s">
        <v>6764</v>
      </c>
      <c r="C3708" s="6">
        <v>3.0</v>
      </c>
      <c r="D3708" s="7" t="s">
        <v>6765</v>
      </c>
      <c r="E3708" s="8" t="str">
        <f>IFERROR(__xludf.DUMMYFUNCTION("googletranslate(D3708,""id"",""en"")"),"""But in all that we are more than those who win, by the one who has loved us"" Let us succeed in implementing the PPKM in our daily lives, remain prokes and keep the spirit of morning slmt")</f>
        <v>"But in all that we are more than those who win, by the one who has loved us" Let us succeed in implementing the PPKM in our daily lives, remain prokes and keep the spirit of morning slmt</v>
      </c>
    </row>
    <row r="3709" ht="15.75" customHeight="1">
      <c r="A3709" s="2">
        <v>3709.0</v>
      </c>
      <c r="B3709" s="5" t="s">
        <v>6766</v>
      </c>
      <c r="C3709" s="6">
        <v>2.0</v>
      </c>
      <c r="D3709" s="7" t="s">
        <v>6767</v>
      </c>
      <c r="E3709" s="8" t="str">
        <f>IFERROR(__xludf.DUMMYFUNCTION("googletranslate(D3709,""id"",""en"")"),"Ppkm extended every week ... it looks like the gathering of Lebaran groceries")</f>
        <v>Ppkm extended every week ... it looks like the gathering of Lebaran groceries</v>
      </c>
    </row>
    <row r="3710" ht="15.75" customHeight="1">
      <c r="A3710" s="2">
        <v>3710.0</v>
      </c>
      <c r="B3710" s="5" t="s">
        <v>6768</v>
      </c>
      <c r="C3710" s="6">
        <v>2.0</v>
      </c>
      <c r="D3710" s="7" t="s">
        <v>6769</v>
      </c>
      <c r="E3710" s="8" t="str">
        <f>IFERROR(__xludf.DUMMYFUNCTION("googletranslate(D3710,""id"",""en"")"),"ppkm until the birthday marklee")</f>
        <v>ppkm until the birthday marklee</v>
      </c>
    </row>
    <row r="3711" ht="15.75" customHeight="1">
      <c r="A3711" s="2">
        <v>3711.0</v>
      </c>
      <c r="B3711" s="5" t="s">
        <v>6770</v>
      </c>
      <c r="C3711" s="6">
        <v>2.0</v>
      </c>
      <c r="D3711" s="7" t="s">
        <v>6771</v>
      </c>
      <c r="E3711" s="8" t="str">
        <f>IFERROR(__xludf.DUMMYFUNCTION("googletranslate(D3711,""id"",""en"")"),"The PPKM is the tea level wkwk")</f>
        <v>The PPKM is the tea level wkwk</v>
      </c>
    </row>
    <row r="3712" ht="15.75" customHeight="1">
      <c r="A3712" s="2">
        <v>3712.0</v>
      </c>
      <c r="B3712" s="5" t="s">
        <v>6772</v>
      </c>
      <c r="C3712" s="6">
        <v>3.0</v>
      </c>
      <c r="D3712" s="9" t="s">
        <v>6773</v>
      </c>
      <c r="E3712" s="8" t="str">
        <f>IFERROR(__xludf.DUMMYFUNCTION("googletranslate(D3712,""id"",""en"")"),"I met a great person yesterday. ) Driver Ojol) Mang Yana, a producer of licks that while switching professions become ukulele buskers. They have asked about the PPKM answer, ""Alhamdulillah, was grateful."" don't goose bumps me,")</f>
        <v>I met a great person yesterday. ) Driver Ojol) Mang Yana, a producer of licks that while switching professions become ukulele buskers. They have asked about the PPKM answer, "Alhamdulillah, was grateful." don't goose bumps me,</v>
      </c>
    </row>
    <row r="3713" ht="15.75" customHeight="1">
      <c r="A3713" s="2">
        <v>3713.0</v>
      </c>
      <c r="B3713" s="5" t="s">
        <v>6774</v>
      </c>
      <c r="C3713" s="6">
        <v>1.0</v>
      </c>
      <c r="D3713" s="7" t="s">
        <v>6775</v>
      </c>
      <c r="E3713" s="8" t="str">
        <f>IFERROR(__xludf.DUMMYFUNCTION("googletranslate(D3713,""id"",""en"")"),"Are you victims of the PPKM huh? Me too")</f>
        <v>Are you victims of the PPKM huh? Me too</v>
      </c>
    </row>
    <row r="3714" ht="15.75" customHeight="1">
      <c r="A3714" s="2">
        <v>3714.0</v>
      </c>
      <c r="B3714" s="5" t="s">
        <v>6776</v>
      </c>
      <c r="C3714" s="6">
        <v>2.0</v>
      </c>
      <c r="D3714" s="7" t="s">
        <v>6777</v>
      </c>
      <c r="E3714" s="8" t="str">
        <f>IFERROR(__xludf.DUMMYFUNCTION("googletranslate(D3714,""id"",""en"")"),"The PPKM will continue to be extended until you love me, good morning ...")</f>
        <v>The PPKM will continue to be extended until you love me, good morning ...</v>
      </c>
    </row>
    <row r="3715" ht="15.75" customHeight="1">
      <c r="A3715" s="2">
        <v>3715.0</v>
      </c>
      <c r="B3715" s="5" t="s">
        <v>6778</v>
      </c>
      <c r="C3715" s="6">
        <v>1.0</v>
      </c>
      <c r="D3715" s="9" t="s">
        <v>6779</v>
      </c>
      <c r="E3715" s="8" t="str">
        <f>IFERROR(__xludf.DUMMYFUNCTION("googletranslate(D3715,""id"",""en"")"),"That policy is really if you are seen from your glasses, try to see Dr. People's Glasses in general. I think almost weeks apply PPKM results are not significant. You as a Task Force, you should find a more powerful formula to face a pandemic")</f>
        <v>That policy is really if you are seen from your glasses, try to see Dr. People's Glasses in general. I think almost weeks apply PPKM results are not significant. You as a Task Force, you should find a more powerful formula to face a pandemic</v>
      </c>
    </row>
    <row r="3716" ht="15.75" customHeight="1">
      <c r="A3716" s="2">
        <v>3716.0</v>
      </c>
      <c r="B3716" s="5" t="s">
        <v>6780</v>
      </c>
      <c r="C3716" s="6">
        <v>2.0</v>
      </c>
      <c r="D3716" s="7" t="s">
        <v>6781</v>
      </c>
      <c r="E3716" s="8" t="str">
        <f>IFERROR(__xludf.DUMMYFUNCTION("googletranslate(D3716,""id"",""en"")"),"Ppkm what day is the level? ~ Avika: ""hundreds""")</f>
        <v>Ppkm what day is the level? ~ Avika: "hundreds"</v>
      </c>
    </row>
    <row r="3717" ht="15.75" customHeight="1">
      <c r="A3717" s="2">
        <v>3717.0</v>
      </c>
      <c r="B3717" s="5" t="s">
        <v>6782</v>
      </c>
      <c r="C3717" s="6">
        <v>2.0</v>
      </c>
      <c r="D3717" s="7" t="s">
        <v>6782</v>
      </c>
      <c r="E3717" s="8" t="str">
        <f>IFERROR(__xludf.DUMMYFUNCTION("googletranslate(D3717,""id"",""en"")"),"Punten overlap asked. Lg ppkm bs to bogor via toll or not huh?")</f>
        <v>Punten overlap asked. Lg ppkm bs to bogor via toll or not huh?</v>
      </c>
    </row>
    <row r="3718" ht="15.75" customHeight="1">
      <c r="A3718" s="2">
        <v>3718.0</v>
      </c>
      <c r="B3718" s="5" t="s">
        <v>6783</v>
      </c>
      <c r="C3718" s="6">
        <v>2.0</v>
      </c>
      <c r="D3718" s="7" t="s">
        <v>6783</v>
      </c>
      <c r="E3718" s="8" t="str">
        <f>IFERROR(__xludf.DUMMYFUNCTION("googletranslate(D3718,""id"",""en"")"),"PPKM is extended")</f>
        <v>PPKM is extended</v>
      </c>
    </row>
    <row r="3719" ht="15.75" customHeight="1">
      <c r="A3719" s="2">
        <v>3719.0</v>
      </c>
      <c r="B3719" s="5" t="s">
        <v>6784</v>
      </c>
      <c r="C3719" s="6">
        <v>1.0</v>
      </c>
      <c r="D3719" s="7" t="s">
        <v>6785</v>
      </c>
      <c r="E3719" s="8" t="str">
        <f>IFERROR(__xludf.DUMMYFUNCTION("googletranslate(D3719,""id"",""en"")"),"Yes na, as long as PPKM is bad at the time of sleep. Usually after the new dawn call can be merem")</f>
        <v>Yes na, as long as PPKM is bad at the time of sleep. Usually after the new dawn call can be merem</v>
      </c>
    </row>
    <row r="3720" ht="15.75" customHeight="1">
      <c r="A3720" s="2">
        <v>3720.0</v>
      </c>
      <c r="B3720" s="5" t="s">
        <v>6786</v>
      </c>
      <c r="C3720" s="6">
        <v>2.0</v>
      </c>
      <c r="D3720" s="7" t="s">
        <v>6787</v>
      </c>
      <c r="E3720" s="8" t="str">
        <f>IFERROR(__xludf.DUMMYFUNCTION("googletranslate(D3720,""id"",""en"")"),"Jakarta Old Long Long PPKM Kayak Keripik Mak Icih, Until Level")</f>
        <v>Jakarta Old Long Long PPKM Kayak Keripik Mak Icih, Until Level</v>
      </c>
    </row>
    <row r="3721" ht="15.75" customHeight="1">
      <c r="A3721" s="2">
        <v>3721.0</v>
      </c>
      <c r="B3721" s="5" t="s">
        <v>6788</v>
      </c>
      <c r="C3721" s="6">
        <v>1.0</v>
      </c>
      <c r="D3721" s="7" t="s">
        <v>6788</v>
      </c>
      <c r="E3721" s="8" t="str">
        <f>IFERROR(__xludf.DUMMYFUNCTION("googletranslate(D3721,""id"",""en"")"),"PPKM just changed the name of Aelaa uda I thought")</f>
        <v>PPKM just changed the name of Aelaa uda I thought</v>
      </c>
    </row>
    <row r="3722" ht="15.75" customHeight="1">
      <c r="A3722" s="2">
        <v>3722.0</v>
      </c>
      <c r="B3722" s="5" t="s">
        <v>6789</v>
      </c>
      <c r="C3722" s="6">
        <v>2.0</v>
      </c>
      <c r="D3722" s="7" t="s">
        <v>6790</v>
      </c>
      <c r="E3722" s="8" t="str">
        <f>IFERROR(__xludf.DUMMYFUNCTION("googletranslate(D3722,""id"",""en"")"),"start a week again ppkm with a fast beat song")</f>
        <v>start a week again ppkm with a fast beat song</v>
      </c>
    </row>
    <row r="3723" ht="15.75" customHeight="1">
      <c r="A3723" s="2">
        <v>3723.0</v>
      </c>
      <c r="B3723" s="5" t="s">
        <v>6791</v>
      </c>
      <c r="C3723" s="6">
        <v>1.0</v>
      </c>
      <c r="D3723" s="7" t="s">
        <v>6792</v>
      </c>
      <c r="E3723" s="8" t="str">
        <f>IFERROR(__xludf.DUMMYFUNCTION("googletranslate(D3723,""id"",""en"")"),"Increasingly worried kaltim ... now kab / city enters PPKM level .. it is no mayor for the issue of pandemics for imaging ...")</f>
        <v>Increasingly worried kaltim ... now kab / city enters PPKM level .. it is no mayor for the issue of pandemics for imaging ...</v>
      </c>
    </row>
    <row r="3724" ht="15.75" customHeight="1">
      <c r="A3724" s="2">
        <v>3724.0</v>
      </c>
      <c r="B3724" s="5" t="s">
        <v>6793</v>
      </c>
      <c r="C3724" s="6">
        <v>1.0</v>
      </c>
      <c r="D3724" s="7" t="s">
        <v>6793</v>
      </c>
      <c r="E3724" s="8" t="str">
        <f>IFERROR(__xludf.DUMMYFUNCTION("googletranslate(D3724,""id"",""en"")"),"Ppkm extended until the qurban year qurban ngarep, karepmu sir")</f>
        <v>Ppkm extended until the qurban year qurban ngarep, karepmu sir</v>
      </c>
    </row>
    <row r="3725" ht="15.75" customHeight="1">
      <c r="A3725" s="2">
        <v>3725.0</v>
      </c>
      <c r="B3725" s="5" t="s">
        <v>6794</v>
      </c>
      <c r="C3725" s="6">
        <v>1.0</v>
      </c>
      <c r="D3725" s="7" t="s">
        <v>6795</v>
      </c>
      <c r="E3725" s="8" t="str">
        <f>IFERROR(__xludf.DUMMYFUNCTION("googletranslate(D3725,""id"",""en"")"),"Yesterday the news was hotfall of Makassar as of July - August PPKM level. Ehhh but in fact until midnight until now this morning there was a letter of official. Wkwkwkini who made me hopeless with the government now. It's anger.")</f>
        <v>Yesterday the news was hotfall of Makassar as of July - August PPKM level. Ehhh but in fact until midnight until now this morning there was a letter of official. Wkwkwkini who made me hopeless with the government now. It's anger.</v>
      </c>
    </row>
    <row r="3726" ht="15.75" customHeight="1">
      <c r="A3726" s="2">
        <v>3726.0</v>
      </c>
      <c r="B3726" s="5" t="s">
        <v>6796</v>
      </c>
      <c r="C3726" s="6">
        <v>2.0</v>
      </c>
      <c r="D3726" s="7" t="s">
        <v>6797</v>
      </c>
      <c r="E3726" s="8" t="str">
        <f>IFERROR(__xludf.DUMMYFUNCTION("googletranslate(D3726,""id"",""en"")"),"Pretentious gpp oge, the pedesta level so that it looks like a rich ppkm")</f>
        <v>Pretentious gpp oge, the pedesta level so that it looks like a rich ppkm</v>
      </c>
    </row>
    <row r="3727" ht="15.75" customHeight="1">
      <c r="A3727" s="2">
        <v>3727.0</v>
      </c>
      <c r="B3727" s="5" t="s">
        <v>6798</v>
      </c>
      <c r="C3727" s="6">
        <v>1.0</v>
      </c>
      <c r="D3727" s="7" t="s">
        <v>6798</v>
      </c>
      <c r="E3727" s="8" t="str">
        <f>IFERROR(__xludf.DUMMYFUNCTION("googletranslate(D3727,""id"",""en"")"),"Ppkm for ahhhhh crazy")</f>
        <v>Ppkm for ahhhhh crazy</v>
      </c>
    </row>
    <row r="3728" ht="15.75" customHeight="1">
      <c r="A3728" s="2">
        <v>3728.0</v>
      </c>
      <c r="B3728" s="5" t="s">
        <v>6799</v>
      </c>
      <c r="C3728" s="6">
        <v>1.0</v>
      </c>
      <c r="D3728" s="7" t="s">
        <v>6800</v>
      </c>
      <c r="E3728" s="8" t="str">
        <f>IFERROR(__xludf.DUMMYFUNCTION("googletranslate(D3728,""id"",""en"")"),"I don't have to go ppkm ... in the field, the officer doesn't understand what the goal is ... still by omission")</f>
        <v>I don't have to go ppkm ... in the field, the officer doesn't understand what the goal is ... still by omission</v>
      </c>
    </row>
    <row r="3729" ht="15.75" customHeight="1">
      <c r="A3729" s="2">
        <v>3729.0</v>
      </c>
      <c r="B3729" s="5" t="s">
        <v>6801</v>
      </c>
      <c r="C3729" s="6">
        <v>2.0</v>
      </c>
      <c r="D3729" s="7" t="s">
        <v>6802</v>
      </c>
      <c r="E3729" s="8" t="str">
        <f>IFERROR(__xludf.DUMMYFUNCTION("googletranslate(D3729,""id"",""en"")"),"PPKM extended continues until you become mine")</f>
        <v>PPKM extended continues until you become mine</v>
      </c>
    </row>
    <row r="3730" ht="15.75" customHeight="1">
      <c r="A3730" s="2">
        <v>3730.0</v>
      </c>
      <c r="B3730" s="5" t="s">
        <v>6803</v>
      </c>
      <c r="C3730" s="6">
        <v>2.0</v>
      </c>
      <c r="D3730" s="7" t="s">
        <v>6804</v>
      </c>
      <c r="E3730" s="8" t="str">
        <f>IFERROR(__xludf.DUMMYFUNCTION("googletranslate(D3730,""id"",""en"")"),"Already aware ... but still ppkm tuh: ')")</f>
        <v>Already aware ... but still ppkm tuh: ')</v>
      </c>
    </row>
    <row r="3731" ht="15.75" customHeight="1">
      <c r="A3731" s="2">
        <v>3731.0</v>
      </c>
      <c r="B3731" s="5" t="s">
        <v>6805</v>
      </c>
      <c r="C3731" s="6">
        <v>1.0</v>
      </c>
      <c r="D3731" s="9" t="s">
        <v>6805</v>
      </c>
      <c r="E3731" s="8" t="str">
        <f>IFERROR(__xludf.DUMMYFUNCTION("googletranslate(D3731,""id"",""en"")"),"Ppkm dperjanjang is increasingly chaotic the economy, it seems like the government announces the corona has no one who hurts it ... the economic conditions get up, and normal activities ... if there is a matter of no record ... he is he?")</f>
        <v>Ppkm dperjanjang is increasingly chaotic the economy, it seems like the government announces the corona has no one who hurts it ... the economic conditions get up, and normal activities ... if there is a matter of no record ... he is he?</v>
      </c>
    </row>
    <row r="3732" ht="15.75" customHeight="1">
      <c r="A3732" s="2">
        <v>3732.0</v>
      </c>
      <c r="B3732" s="5" t="s">
        <v>6806</v>
      </c>
      <c r="C3732" s="6">
        <v>1.0</v>
      </c>
      <c r="D3732" s="7" t="s">
        <v>6807</v>
      </c>
      <c r="E3732" s="8" t="str">
        <f>IFERROR(__xludf.DUMMYFUNCTION("googletranslate(D3732,""id"",""en"")"),"If there is a PPKM demo ... it's being beaten ... just right.")</f>
        <v>If there is a PPKM demo ... it's being beaten ... just right.</v>
      </c>
    </row>
    <row r="3733" ht="15.75" customHeight="1">
      <c r="A3733" s="2">
        <v>3733.0</v>
      </c>
      <c r="B3733" s="5" t="s">
        <v>6808</v>
      </c>
      <c r="C3733" s="6">
        <v>2.0</v>
      </c>
      <c r="D3733" s="7" t="s">
        <v>6809</v>
      </c>
      <c r="E3733" s="8" t="str">
        <f>IFERROR(__xludf.DUMMYFUNCTION("googletranslate(D3733,""id"",""en"")"),"The problem is now still not get a new name for an emergency PPKM substitute")</f>
        <v>The problem is now still not get a new name for an emergency PPKM substitute</v>
      </c>
    </row>
    <row r="3734" ht="15.75" customHeight="1">
      <c r="A3734" s="2">
        <v>3734.0</v>
      </c>
      <c r="B3734" s="5" t="s">
        <v>6810</v>
      </c>
      <c r="C3734" s="6">
        <v>1.0</v>
      </c>
      <c r="D3734" s="7" t="s">
        <v>6811</v>
      </c>
      <c r="E3734" s="8" t="str">
        <f>IFERROR(__xludf.DUMMYFUNCTION("googletranslate(D3734,""id"",""en"")"),"The title of my love ftv ran aground because ppkm")</f>
        <v>The title of my love ftv ran aground because ppkm</v>
      </c>
    </row>
    <row r="3735" ht="15.75" customHeight="1">
      <c r="A3735" s="2">
        <v>3735.0</v>
      </c>
      <c r="B3735" s="5" t="s">
        <v>6812</v>
      </c>
      <c r="C3735" s="6">
        <v>2.0</v>
      </c>
      <c r="D3735" s="9" t="s">
        <v>6813</v>
      </c>
      <c r="E3735" s="8" t="str">
        <f>IFERROR(__xludf.DUMMYFUNCTION("googletranslate(D3735,""id"",""en"")"),"Will be forever ppkm if it's not")</f>
        <v>Will be forever ppkm if it's not</v>
      </c>
    </row>
    <row r="3736" ht="15.75" customHeight="1">
      <c r="A3736" s="2">
        <v>3736.0</v>
      </c>
      <c r="B3736" s="5" t="s">
        <v>6814</v>
      </c>
      <c r="C3736" s="6">
        <v>1.0</v>
      </c>
      <c r="D3736" s="7" t="s">
        <v>6815</v>
      </c>
      <c r="E3736" s="8" t="str">
        <f>IFERROR(__xludf.DUMMYFUNCTION("googletranslate(D3736,""id"",""en"")"),"Hadoohh ppkm, there's just a hangout")</f>
        <v>Hadoohh ppkm, there's just a hangout</v>
      </c>
    </row>
    <row r="3737" ht="15.75" customHeight="1">
      <c r="A3737" s="2">
        <v>3737.0</v>
      </c>
      <c r="B3737" s="5" t="s">
        <v>6816</v>
      </c>
      <c r="C3737" s="6">
        <v>1.0</v>
      </c>
      <c r="D3737" s="9" t="s">
        <v>6817</v>
      </c>
      <c r="E3737" s="8" t="str">
        <f>IFERROR(__xludf.DUMMYFUNCTION("googletranslate(D3737,""id"",""en"")"),"PPKM TU Defined of Road Instaclates Let Muter2, Gold Shop Close, and Cuman Mall Can Enter the Hardy Room That Is Not Rich Mini Market Close That Beginning, Kdg Forgetful Wktu Little Bablas Angine Sob")</f>
        <v>PPKM TU Defined of Road Instaclates Let Muter2, Gold Shop Close, and Cuman Mall Can Enter the Hardy Room That Is Not Rich Mini Market Close That Beginning, Kdg Forgetful Wktu Little Bablas Angine Sob</v>
      </c>
    </row>
    <row r="3738" ht="15.75" customHeight="1">
      <c r="A3738" s="2">
        <v>3738.0</v>
      </c>
      <c r="B3738" s="5" t="s">
        <v>6818</v>
      </c>
      <c r="C3738" s="6">
        <v>1.0</v>
      </c>
      <c r="D3738" s="7" t="s">
        <v>6819</v>
      </c>
      <c r="E3738" s="8" t="str">
        <f>IFERROR(__xludf.DUMMYFUNCTION("googletranslate(D3738,""id"",""en"")"),"My office is MAH WANT PPKN, Emergency PPKM, PPKM Level, PPKM Especially Bodoatamat TTP WFO%")</f>
        <v>My office is MAH WANT PPKN, Emergency PPKM, PPKM Level, PPKM Especially Bodoatamat TTP WFO%</v>
      </c>
    </row>
    <row r="3739" ht="15.75" customHeight="1">
      <c r="A3739" s="2">
        <v>3739.0</v>
      </c>
      <c r="B3739" s="5" t="s">
        <v>6820</v>
      </c>
      <c r="C3739" s="6">
        <v>1.0</v>
      </c>
      <c r="D3739" s="9" t="s">
        <v>6821</v>
      </c>
      <c r="E3739" s="8" t="str">
        <f>IFERROR(__xludf.DUMMYFUNCTION("googletranslate(D3739,""id"",""en"")"),"It's single. Ppkm again, how do you want to sell")</f>
        <v>It's single. Ppkm again, how do you want to sell</v>
      </c>
    </row>
    <row r="3740" ht="15.75" customHeight="1">
      <c r="A3740" s="2">
        <v>3740.0</v>
      </c>
      <c r="B3740" s="5" t="s">
        <v>6822</v>
      </c>
      <c r="C3740" s="6">
        <v>2.0</v>
      </c>
      <c r="D3740" s="7" t="s">
        <v>6823</v>
      </c>
      <c r="E3740" s="8" t="str">
        <f>IFERROR(__xludf.DUMMYFUNCTION("googletranslate(D3740,""id"",""en"")"),"Ppkm level, can it be ulti?")</f>
        <v>Ppkm level, can it be ulti?</v>
      </c>
    </row>
    <row r="3741" ht="15.75" customHeight="1">
      <c r="A3741" s="2">
        <v>3741.0</v>
      </c>
      <c r="B3741" s="5" t="s">
        <v>6824</v>
      </c>
      <c r="C3741" s="6">
        <v>1.0</v>
      </c>
      <c r="D3741" s="7" t="s">
        <v>6824</v>
      </c>
      <c r="E3741" s="8" t="str">
        <f>IFERROR(__xludf.DUMMYFUNCTION("googletranslate(D3741,""id"",""en"")"),"KPKM is extended to make people who work in the creative industry are more stressful")</f>
        <v>KPKM is extended to make people who work in the creative industry are more stressful</v>
      </c>
    </row>
    <row r="3742" ht="15.75" customHeight="1">
      <c r="A3742" s="2">
        <v>3742.0</v>
      </c>
      <c r="B3742" s="5" t="s">
        <v>6825</v>
      </c>
      <c r="C3742" s="6">
        <v>1.0</v>
      </c>
      <c r="D3742" s="9" t="s">
        <v>6826</v>
      </c>
      <c r="E3742" s="8" t="str">
        <f>IFERROR(__xludf.DUMMYFUNCTION("googletranslate(D3742,""id"",""en"")"),"Well this is also a solution, tight PPKM, minimal bansos, yes should tax")</f>
        <v>Well this is also a solution, tight PPKM, minimal bansos, yes should tax</v>
      </c>
    </row>
    <row r="3743" ht="15.75" customHeight="1">
      <c r="A3743" s="2">
        <v>3743.0</v>
      </c>
      <c r="B3743" s="5" t="s">
        <v>6827</v>
      </c>
      <c r="C3743" s="6">
        <v>2.0</v>
      </c>
      <c r="D3743" s="7" t="s">
        <v>6828</v>
      </c>
      <c r="E3743" s="8" t="str">
        <f>IFERROR(__xludf.DUMMYFUNCTION("googletranslate(D3743,""id"",""en"")"),"Different minutes 'duration of meal time in stalls' during the PPKM level delivered by: 1. Mr. Menko Marinves2. Mr. Luhutjadi if the cat chosen the minutes of Susi's mother?")</f>
        <v>Different minutes 'duration of meal time in stalls' during the PPKM level delivered by: 1. Mr. Menko Marinves2. Mr. Luhutjadi if the cat chosen the minutes of Susi's mother?</v>
      </c>
    </row>
    <row r="3744" ht="15.75" customHeight="1">
      <c r="A3744" s="2">
        <v>3744.0</v>
      </c>
      <c r="B3744" s="5" t="s">
        <v>6829</v>
      </c>
      <c r="C3744" s="6">
        <v>3.0</v>
      </c>
      <c r="D3744" s="7" t="s">
        <v>6830</v>
      </c>
      <c r="E3744" s="8" t="str">
        <f>IFERROR(__xludf.DUMMYFUNCTION("googletranslate(D3744,""id"",""en"")"),"Be grateful, the government is swift and responsive to extend emergency PPKM. Evidently, there has been a trend in decreasing the increase in the case of contracted Covid. Instabar and remains firm in the prize so that Indonesia is back healthy.")</f>
        <v>Be grateful, the government is swift and responsive to extend emergency PPKM. Evidently, there has been a trend in decreasing the increase in the case of contracted Covid. Instabar and remains firm in the prize so that Indonesia is back healthy.</v>
      </c>
    </row>
    <row r="3745" ht="15.75" customHeight="1">
      <c r="A3745" s="2">
        <v>3745.0</v>
      </c>
      <c r="B3745" s="5" t="s">
        <v>6831</v>
      </c>
      <c r="C3745" s="6">
        <v>2.0</v>
      </c>
      <c r="D3745" s="7" t="s">
        <v>6832</v>
      </c>
      <c r="E3745" s="8" t="str">
        <f>IFERROR(__xludf.DUMMYFUNCTION("googletranslate(D3745,""id"",""en"")"),"Hshshsh your school isn't ppkm?")</f>
        <v>Hshshsh your school isn't ppkm?</v>
      </c>
    </row>
    <row r="3746" ht="15.75" customHeight="1">
      <c r="A3746" s="2">
        <v>3746.0</v>
      </c>
      <c r="B3746" s="5" t="s">
        <v>6833</v>
      </c>
      <c r="C3746" s="6">
        <v>2.0</v>
      </c>
      <c r="D3746" s="9" t="s">
        <v>6834</v>
      </c>
      <c r="E3746" s="8" t="str">
        <f>IFERROR(__xludf.DUMMYFUNCTION("googletranslate(D3746,""id"",""en"")"),"If the ppkm is there is no season")</f>
        <v>If the ppkm is there is no season</v>
      </c>
    </row>
    <row r="3747" ht="15.75" customHeight="1">
      <c r="A3747" s="2">
        <v>3747.0</v>
      </c>
      <c r="B3747" s="5" t="s">
        <v>6835</v>
      </c>
      <c r="C3747" s="6">
        <v>3.0</v>
      </c>
      <c r="D3747" s="9" t="s">
        <v>6836</v>
      </c>
      <c r="E3747" s="8" t="str">
        <f>IFERROR(__xludf.DUMMYFUNCTION("googletranslate(D3747,""id"",""en"")"),"IDI supports the government's decision, by extending the PPKM to be expected to suppress the spread of Covit, with Segra we return to normal as before")</f>
        <v>IDI supports the government's decision, by extending the PPKM to be expected to suppress the spread of Covit, with Segra we return to normal as before</v>
      </c>
    </row>
    <row r="3748" ht="15.75" customHeight="1">
      <c r="A3748" s="2">
        <v>3748.0</v>
      </c>
      <c r="B3748" s="5" t="s">
        <v>6837</v>
      </c>
      <c r="C3748" s="6">
        <v>2.0</v>
      </c>
      <c r="D3748" s="7" t="s">
        <v>6838</v>
      </c>
      <c r="E3748" s="8" t="str">
        <f>IFERROR(__xludf.DUMMYFUNCTION("googletranslate(D3748,""id"",""en"")"),"PPKM: Early in the morning we cook ...")</f>
        <v>PPKM: Early in the morning we cook ...</v>
      </c>
    </row>
    <row r="3749" ht="15.75" customHeight="1">
      <c r="A3749" s="2">
        <v>3749.0</v>
      </c>
      <c r="B3749" s="5" t="s">
        <v>6839</v>
      </c>
      <c r="C3749" s="6">
        <v>1.0</v>
      </c>
      <c r="D3749" s="7" t="s">
        <v>6840</v>
      </c>
      <c r="E3749" s="8" t="str">
        <f>IFERROR(__xludf.DUMMYFUNCTION("googletranslate(D3749,""id"",""en"")"),"Where is your voice ... we are attacked ... when the ppkm is pulak ... don't be hypocritical ... it's the turn of the experts from China who come ... you are ...")</f>
        <v>Where is your voice ... we are attacked ... when the ppkm is pulak ... don't be hypocritical ... it's the turn of the experts from China who come ... you are ...</v>
      </c>
    </row>
    <row r="3750" ht="15.75" customHeight="1">
      <c r="A3750" s="2">
        <v>3750.0</v>
      </c>
      <c r="B3750" s="5" t="s">
        <v>6841</v>
      </c>
      <c r="C3750" s="6">
        <v>2.0</v>
      </c>
      <c r="D3750" s="7" t="s">
        <v>6842</v>
      </c>
      <c r="E3750" s="8" t="str">
        <f>IFERROR(__xludf.DUMMYFUNCTION("googletranslate(D3750,""id"",""en"")"),"Hi, please enlighten. I have undergone a dose vaccine (Sinovac) at one of the puskesmas in Jakarta, I am currently in the area and BLM can return to Jakarta (PPKM). While this July matured the second dose vaccine. Can you go to local health health health "&amp;"health centers?")</f>
        <v>Hi, please enlighten. I have undergone a dose vaccine (Sinovac) at one of the puskesmas in Jakarta, I am currently in the area and BLM can return to Jakarta (PPKM). While this July matured the second dose vaccine. Can you go to local health health health health centers?</v>
      </c>
    </row>
    <row r="3751" ht="15.75" customHeight="1">
      <c r="A3751" s="2">
        <v>3751.0</v>
      </c>
      <c r="B3751" s="5" t="s">
        <v>6843</v>
      </c>
      <c r="C3751" s="6">
        <v>1.0</v>
      </c>
      <c r="D3751" s="7" t="s">
        <v>6843</v>
      </c>
      <c r="E3751" s="8" t="str">
        <f>IFERROR(__xludf.DUMMYFUNCTION("googletranslate(D3751,""id"",""en"")"),"Gasuka PPKM is extended, just our extended chatan can not ??")</f>
        <v>Gasuka PPKM is extended, just our extended chatan can not ??</v>
      </c>
    </row>
    <row r="3752" ht="15.75" customHeight="1">
      <c r="A3752" s="2">
        <v>3752.0</v>
      </c>
      <c r="B3752" s="5" t="s">
        <v>6844</v>
      </c>
      <c r="C3752" s="6">
        <v>3.0</v>
      </c>
      <c r="D3752" s="9" t="s">
        <v>6845</v>
      </c>
      <c r="E3752" s="8" t="str">
        <f>IFERROR(__xludf.DUMMYFUNCTION("googletranslate(D3752,""id"",""en"")"),"Have you vaccine today? Don't sorry in the future ... the Proces M &amp; amp; M, follow the applicable PPKM rules. Hopefully the pandemics quickly pass. Amen")</f>
        <v>Have you vaccine today? Don't sorry in the future ... the Proces M &amp; amp; M, follow the applicable PPKM rules. Hopefully the pandemics quickly pass. Amen</v>
      </c>
    </row>
    <row r="3753" ht="15.75" customHeight="1">
      <c r="A3753" s="2">
        <v>3753.0</v>
      </c>
      <c r="B3753" s="5" t="s">
        <v>6846</v>
      </c>
      <c r="C3753" s="6">
        <v>1.0</v>
      </c>
      <c r="D3753" s="9" t="s">
        <v>6847</v>
      </c>
      <c r="E3753" s="8" t="str">
        <f>IFERROR(__xludf.DUMMYFUNCTION("googletranslate(D3753,""id"",""en"")"),"Since the PPKM and WFH expenditure for consumption participated in wandering but for electricity Tanggihan rises. This is a micro-scale cross-scale subsidy times.")</f>
        <v>Since the PPKM and WFH expenditure for consumption participated in wandering but for electricity Tanggihan rises. This is a micro-scale cross-scale subsidy times.</v>
      </c>
    </row>
    <row r="3754" ht="15.75" customHeight="1">
      <c r="A3754" s="2">
        <v>3754.0</v>
      </c>
      <c r="B3754" s="5" t="s">
        <v>6848</v>
      </c>
      <c r="C3754" s="6">
        <v>3.0</v>
      </c>
      <c r="D3754" s="9" t="s">
        <v>6849</v>
      </c>
      <c r="E3754" s="8" t="str">
        <f>IFERROR(__xludf.DUMMYFUNCTION("googletranslate(D3754,""id"",""en"")"),"HHA is rich in showering, btw if it comes out, follow the PPKM rule")</f>
        <v>HHA is rich in showering, btw if it comes out, follow the PPKM rule</v>
      </c>
    </row>
    <row r="3755" ht="15.75" customHeight="1">
      <c r="A3755" s="2">
        <v>3755.0</v>
      </c>
      <c r="B3755" s="5" t="s">
        <v>6850</v>
      </c>
      <c r="C3755" s="6">
        <v>2.0</v>
      </c>
      <c r="D3755" s="7" t="s">
        <v>6851</v>
      </c>
      <c r="E3755" s="8" t="str">
        <f>IFERROR(__xludf.DUMMYFUNCTION("googletranslate(D3755,""id"",""en"")"),"Really? Follow the ppkm huh?")</f>
        <v>Really? Follow the ppkm huh?</v>
      </c>
    </row>
    <row r="3756" ht="15.75" customHeight="1">
      <c r="A3756" s="2">
        <v>3756.0</v>
      </c>
      <c r="B3756" s="5" t="s">
        <v>6852</v>
      </c>
      <c r="C3756" s="6">
        <v>1.0</v>
      </c>
      <c r="D3756" s="7" t="s">
        <v>6853</v>
      </c>
      <c r="E3756" s="8" t="str">
        <f>IFERROR(__xludf.DUMMYFUNCTION("googletranslate(D3756,""id"",""en"")"),"PPKM level is understood by the public as a joke, it's like a spicy level of chicken geprek. It appears that the allergies of the government and the term Lockdowon")</f>
        <v>PPKM level is understood by the public as a joke, it's like a spicy level of chicken geprek. It appears that the allergies of the government and the term Lockdowon</v>
      </c>
    </row>
    <row r="3757" ht="15.75" customHeight="1">
      <c r="A3757" s="2">
        <v>3757.0</v>
      </c>
      <c r="B3757" s="5" t="s">
        <v>6854</v>
      </c>
      <c r="C3757" s="6">
        <v>1.0</v>
      </c>
      <c r="D3757" s="7" t="s">
        <v>6854</v>
      </c>
      <c r="E3757" s="8" t="str">
        <f>IFERROR(__xludf.DUMMYFUNCTION("googletranslate(D3757,""id"",""en"")"),"People bother life in the time of PPKM, uh there is a birthday.")</f>
        <v>People bother life in the time of PPKM, uh there is a birthday.</v>
      </c>
    </row>
    <row r="3758" ht="15.75" customHeight="1">
      <c r="A3758" s="2">
        <v>3758.0</v>
      </c>
      <c r="B3758" s="5" t="s">
        <v>6855</v>
      </c>
      <c r="C3758" s="6">
        <v>2.0</v>
      </c>
      <c r="D3758" s="9" t="s">
        <v>6855</v>
      </c>
      <c r="E3758" s="8" t="str">
        <f>IFERROR(__xludf.DUMMYFUNCTION("googletranslate(D3758,""id"",""en"")"),"Miss the mattress in the field, but I can't go home. Confined by PPKM. I also can't vaccine, there is a history of cancer. How come ...?")</f>
        <v>Miss the mattress in the field, but I can't go home. Confined by PPKM. I also can't vaccine, there is a history of cancer. How come ...?</v>
      </c>
    </row>
    <row r="3759" ht="15.75" customHeight="1">
      <c r="A3759" s="2">
        <v>3759.0</v>
      </c>
      <c r="B3759" s="5" t="s">
        <v>6856</v>
      </c>
      <c r="C3759" s="6">
        <v>2.0</v>
      </c>
      <c r="D3759" s="9" t="s">
        <v>6857</v>
      </c>
      <c r="E3759" s="8" t="str">
        <f>IFERROR(__xludf.DUMMYFUNCTION("googletranslate(D3759,""id"",""en"")"),"During the PPKM data package I was a lot of remaining until the end of the day. Usually a month until you buy $ number $ x because it's outside.")</f>
        <v>During the PPKM data package I was a lot of remaining until the end of the day. Usually a month until you buy $ number $ x because it's outside.</v>
      </c>
    </row>
    <row r="3760" ht="15.75" customHeight="1">
      <c r="A3760" s="2">
        <v>3760.0</v>
      </c>
      <c r="B3760" s="5" t="s">
        <v>6858</v>
      </c>
      <c r="C3760" s="6">
        <v>2.0</v>
      </c>
      <c r="D3760" s="9" t="s">
        <v>6859</v>
      </c>
      <c r="E3760" s="8" t="str">
        <f>IFERROR(__xludf.DUMMYFUNCTION("googletranslate(D3760,""id"",""en"")"),"Not wfh but wfo, ppkm gegara at the office is only $ number $% just so it is quiet, and can sleep on the floor (place of the event / meeting of the office of the office) at the time I slept there, the clock of the boots panicked to look at me I was blurre"&amp;"d even though he was sleeping again soft sofa")</f>
        <v>Not wfh but wfo, ppkm gegara at the office is only $ number $% just so it is quiet, and can sleep on the floor (place of the event / meeting of the office of the office) at the time I slept there, the clock of the boots panicked to look at me I was blurred even though he was sleeping again soft sofa</v>
      </c>
    </row>
    <row r="3761" ht="15.75" customHeight="1">
      <c r="A3761" s="2">
        <v>3761.0</v>
      </c>
      <c r="B3761" s="5" t="s">
        <v>6860</v>
      </c>
      <c r="C3761" s="6">
        <v>3.0</v>
      </c>
      <c r="D3761" s="7" t="s">
        <v>6861</v>
      </c>
      <c r="E3761" s="8" t="str">
        <f>IFERROR(__xludf.DUMMYFUNCTION("googletranslate(D3761,""id"",""en"")"),"Supports PPKM Level")</f>
        <v>Supports PPKM Level</v>
      </c>
    </row>
    <row r="3762" ht="15.75" customHeight="1">
      <c r="A3762" s="2">
        <v>3762.0</v>
      </c>
      <c r="B3762" s="5" t="s">
        <v>6862</v>
      </c>
      <c r="C3762" s="6">
        <v>1.0</v>
      </c>
      <c r="D3762" s="7" t="s">
        <v>6863</v>
      </c>
      <c r="E3762" s="8" t="str">
        <f>IFERROR(__xludf.DUMMYFUNCTION("googletranslate(D3762,""id"",""en"")"),"Okay we accept the clarification but still have to be followed up on traders who are selling ppkm again on fine this time Gaaa")</f>
        <v>Okay we accept the clarification but still have to be followed up on traders who are selling ppkm again on fine this time Gaaa</v>
      </c>
    </row>
    <row r="3763" ht="15.75" customHeight="1">
      <c r="A3763" s="2">
        <v>3763.0</v>
      </c>
      <c r="B3763" s="5" t="s">
        <v>6864</v>
      </c>
      <c r="C3763" s="6">
        <v>2.0</v>
      </c>
      <c r="D3763" s="12" t="s">
        <v>6865</v>
      </c>
      <c r="E3763" s="8" t="str">
        <f>IFERROR(__xludf.DUMMYFUNCTION("googletranslate(D3763,""id"",""en"")"),"KGN SBLUM PPKM")</f>
        <v>KGN SBLUM PPKM</v>
      </c>
    </row>
    <row r="3764" ht="15.75" customHeight="1">
      <c r="A3764" s="2">
        <v>3764.0</v>
      </c>
      <c r="B3764" s="5" t="s">
        <v>6866</v>
      </c>
      <c r="C3764" s="6">
        <v>2.0</v>
      </c>
      <c r="D3764" s="7" t="s">
        <v>6867</v>
      </c>
      <c r="E3764" s="8" t="str">
        <f>IFERROR(__xludf.DUMMYFUNCTION("googletranslate(D3764,""id"",""en"")"),"PPKM extends long until stuck in the uterus")</f>
        <v>PPKM extends long until stuck in the uterus</v>
      </c>
    </row>
    <row r="3765" ht="15.75" customHeight="1">
      <c r="A3765" s="2">
        <v>3765.0</v>
      </c>
      <c r="B3765" s="5" t="s">
        <v>6868</v>
      </c>
      <c r="C3765" s="6">
        <v>3.0</v>
      </c>
      <c r="D3765" s="7" t="s">
        <v>6861</v>
      </c>
      <c r="E3765" s="8" t="str">
        <f>IFERROR(__xludf.DUMMYFUNCTION("googletranslate(D3765,""id"",""en"")"),"Supports PPKM Level")</f>
        <v>Supports PPKM Level</v>
      </c>
    </row>
    <row r="3766" ht="15.75" customHeight="1">
      <c r="A3766" s="2">
        <v>3767.0</v>
      </c>
      <c r="B3766" s="5" t="s">
        <v>6869</v>
      </c>
      <c r="C3766" s="6">
        <v>2.0</v>
      </c>
      <c r="D3766" s="7" t="s">
        <v>6870</v>
      </c>
      <c r="E3766" s="8" t="str">
        <f>IFERROR(__xludf.DUMMYFUNCTION("googletranslate(D3766,""id"",""en"")"),"Waah still ppkm")</f>
        <v>Waah still ppkm</v>
      </c>
    </row>
    <row r="3767" ht="15.75" customHeight="1">
      <c r="A3767" s="2">
        <v>3768.0</v>
      </c>
      <c r="B3767" s="5" t="s">
        <v>6871</v>
      </c>
      <c r="C3767" s="6">
        <v>2.0</v>
      </c>
      <c r="D3767" s="9" t="s">
        <v>6872</v>
      </c>
      <c r="E3767" s="8" t="str">
        <f>IFERROR(__xludf.DUMMYFUNCTION("googletranslate(D3767,""id"",""en"")"),"However, in connection with the extended PPKM, face-to-face service at several KPP was temporarily removed. Please confirm the first KPP regarding the availability of face-to-face service during PPKM, Sis. KPP contact information :. (4/4) tks * Risa")</f>
        <v>However, in connection with the extended PPKM, face-to-face service at several KPP was temporarily removed. Please confirm the first KPP regarding the availability of face-to-face service during PPKM, Sis. KPP contact information :. (4/4) tks * Risa</v>
      </c>
    </row>
    <row r="3768" ht="15.75" customHeight="1">
      <c r="A3768" s="2">
        <v>3769.0</v>
      </c>
      <c r="B3768" s="5" t="s">
        <v>6873</v>
      </c>
      <c r="C3768" s="6">
        <v>2.0</v>
      </c>
      <c r="D3768" s="7" t="s">
        <v>6874</v>
      </c>
      <c r="E3768" s="8" t="str">
        <f>IFERROR(__xludf.DUMMYFUNCTION("googletranslate(D3768,""id"",""en"")"),"This ppkm makes a house rame, shubuh tv is tuned to praise, morning dangdut, afternoon indie or english songs, korean malem colored once a distinction of taste")</f>
        <v>This ppkm makes a house rame, shubuh tv is tuned to praise, morning dangdut, afternoon indie or english songs, korean malem colored once a distinction of taste</v>
      </c>
    </row>
    <row r="3769" ht="15.75" customHeight="1">
      <c r="A3769" s="2">
        <v>3770.0</v>
      </c>
      <c r="B3769" s="5" t="s">
        <v>6875</v>
      </c>
      <c r="C3769" s="6">
        <v>2.0</v>
      </c>
      <c r="D3769" s="9" t="s">
        <v>6875</v>
      </c>
      <c r="E3769" s="8" t="str">
        <f>IFERROR(__xludf.DUMMYFUNCTION("googletranslate(D3769,""id"",""en"")"),"my cat wants to marry again again on the ppkm")</f>
        <v>my cat wants to marry again again on the ppkm</v>
      </c>
    </row>
    <row r="3770" ht="15.75" customHeight="1">
      <c r="A3770" s="2">
        <v>3771.0</v>
      </c>
      <c r="B3770" s="5" t="s">
        <v>6876</v>
      </c>
      <c r="C3770" s="6">
        <v>1.0</v>
      </c>
      <c r="D3770" s="10" t="s">
        <v>6877</v>
      </c>
      <c r="E3770" s="8" t="str">
        <f>IFERROR(__xludf.DUMMYFUNCTION("googletranslate(D3770,""id"",""en"")"),"This is very PPKM")</f>
        <v>This is very PPKM</v>
      </c>
    </row>
    <row r="3771" ht="15.75" customHeight="1">
      <c r="A3771" s="2">
        <v>3772.0</v>
      </c>
      <c r="B3771" s="5" t="s">
        <v>6878</v>
      </c>
      <c r="C3771" s="6">
        <v>2.0</v>
      </c>
      <c r="D3771" s="7" t="s">
        <v>6879</v>
      </c>
      <c r="E3771" s="8" t="str">
        <f>IFERROR(__xludf.DUMMYFUNCTION("googletranslate(D3771,""id"",""en"")"),"hbis ppkm otw made")</f>
        <v>hbis ppkm otw made</v>
      </c>
    </row>
    <row r="3772" ht="15.75" customHeight="1">
      <c r="A3772" s="2">
        <v>3773.0</v>
      </c>
      <c r="B3772" s="5" t="s">
        <v>6880</v>
      </c>
      <c r="C3772" s="6">
        <v>1.0</v>
      </c>
      <c r="D3772" s="7" t="s">
        <v>6881</v>
      </c>
      <c r="E3772" s="8" t="str">
        <f>IFERROR(__xludf.DUMMYFUNCTION("googletranslate(D3772,""id"",""en"")"),"I have a day off because of PPKM. Paid day% a day holiday on Saturday entered.")</f>
        <v>I have a day off because of PPKM. Paid day% a day holiday on Saturday entered.</v>
      </c>
    </row>
    <row r="3773" ht="15.75" customHeight="1">
      <c r="A3773" s="2">
        <v>3774.0</v>
      </c>
      <c r="B3773" s="5" t="s">
        <v>6882</v>
      </c>
      <c r="C3773" s="6">
        <v>1.0</v>
      </c>
      <c r="D3773" s="7" t="s">
        <v>6883</v>
      </c>
      <c r="E3773" s="8" t="str">
        <f>IFERROR(__xludf.DUMMYFUNCTION("googletranslate(D3773,""id"",""en"")"),"PPKM slowly we stop it")</f>
        <v>PPKM slowly we stop it</v>
      </c>
    </row>
    <row r="3774" ht="15.75" customHeight="1">
      <c r="A3774" s="2">
        <v>3775.0</v>
      </c>
      <c r="B3774" s="5" t="s">
        <v>6884</v>
      </c>
      <c r="C3774" s="6">
        <v>3.0</v>
      </c>
      <c r="D3774" s="7" t="s">
        <v>6885</v>
      </c>
      <c r="E3774" s="8" t="str">
        <f>IFERROR(__xludf.DUMMYFUNCTION("googletranslate(D3774,""id"",""en"")"),"Good morning PPKM still applies the spirit of the spirit of surviving")</f>
        <v>Good morning PPKM still applies the spirit of the spirit of surviving</v>
      </c>
    </row>
    <row r="3775" ht="15.75" customHeight="1">
      <c r="A3775" s="2">
        <v>3776.0</v>
      </c>
      <c r="B3775" s="5" t="s">
        <v>6886</v>
      </c>
      <c r="C3775" s="6">
        <v>1.0</v>
      </c>
      <c r="D3775" s="7" t="s">
        <v>6887</v>
      </c>
      <c r="E3775" s="8" t="str">
        <f>IFERROR(__xludf.DUMMYFUNCTION("googletranslate(D3775,""id"",""en"")"),"Ppkm, deception program")</f>
        <v>Ppkm, deception program</v>
      </c>
    </row>
    <row r="3776" ht="15.75" customHeight="1">
      <c r="A3776" s="2">
        <v>3777.0</v>
      </c>
      <c r="B3776" s="5" t="s">
        <v>6888</v>
      </c>
      <c r="C3776" s="6">
        <v>2.0</v>
      </c>
      <c r="D3776" s="7" t="s">
        <v>6888</v>
      </c>
      <c r="E3776" s="8" t="str">
        <f>IFERROR(__xludf.DUMMYFUNCTION("googletranslate(D3776,""id"",""en"")"),"Good morning PPKM best friend")</f>
        <v>Good morning PPKM best friend</v>
      </c>
    </row>
    <row r="3777" ht="15.75" customHeight="1">
      <c r="A3777" s="2">
        <v>3778.0</v>
      </c>
      <c r="B3777" s="5" t="s">
        <v>6889</v>
      </c>
      <c r="C3777" s="6">
        <v>1.0</v>
      </c>
      <c r="D3777" s="7" t="s">
        <v>6890</v>
      </c>
      <c r="E3777" s="8" t="str">
        <f>IFERROR(__xludf.DUMMYFUNCTION("googletranslate(D3777,""id"",""en"")"),"Does workers' contributions have begun to thin out gay? To bold the life of the demonstrators ... again PPKM WooIi ...")</f>
        <v>Does workers' contributions have begun to thin out gay? To bold the life of the demonstrators ... again PPKM WooIi ...</v>
      </c>
    </row>
    <row r="3778" ht="15.75" customHeight="1">
      <c r="A3778" s="2">
        <v>3779.0</v>
      </c>
      <c r="B3778" s="5" t="s">
        <v>6891</v>
      </c>
      <c r="C3778" s="6">
        <v>1.0</v>
      </c>
      <c r="D3778" s="7" t="s">
        <v>6892</v>
      </c>
      <c r="E3778" s="8" t="str">
        <f>IFERROR(__xludf.DUMMYFUNCTION("googletranslate(D3778,""id"",""en"")"),"Thank you the government, from the PSBB era to PPKM level, zero big ....")</f>
        <v>Thank you the government, from the PSBB era to PPKM level, zero big ....</v>
      </c>
    </row>
    <row r="3779" ht="15.75" customHeight="1">
      <c r="A3779" s="2">
        <v>3780.0</v>
      </c>
      <c r="B3779" s="5" t="s">
        <v>6893</v>
      </c>
      <c r="C3779" s="6">
        <v>1.0</v>
      </c>
      <c r="D3779" s="9" t="s">
        <v>6894</v>
      </c>
      <c r="E3779" s="8" t="str">
        <f>IFERROR(__xludf.DUMMYFUNCTION("googletranslate(D3779,""id"",""en"")"),"Hahaha..militarization how to eat ... means besides the PPKM which is loosened to the esophagus too ... so stay in the room, enter ... F")</f>
        <v>Hahaha..militarization how to eat ... means besides the PPKM which is loosened to the esophagus too ... so stay in the room, enter ... F</v>
      </c>
    </row>
    <row r="3780" ht="15.75" customHeight="1">
      <c r="A3780" s="2">
        <v>3781.0</v>
      </c>
      <c r="B3780" s="5" t="s">
        <v>6895</v>
      </c>
      <c r="C3780" s="6">
        <v>2.0</v>
      </c>
      <c r="D3780" s="7" t="s">
        <v>6895</v>
      </c>
      <c r="E3780" s="8" t="str">
        <f>IFERROR(__xludf.DUMMYFUNCTION("googletranslate(D3780,""id"",""en"")"),"Disdik Jatim plans to open a high school / vocational / SLB school in a limited basis if the emergency PPKM is revoked by the government")</f>
        <v>Disdik Jatim plans to open a high school / vocational / SLB school in a limited basis if the emergency PPKM is revoked by the government</v>
      </c>
    </row>
    <row r="3781" ht="15.75" customHeight="1">
      <c r="A3781" s="2">
        <v>3782.0</v>
      </c>
      <c r="B3781" s="5" t="s">
        <v>6896</v>
      </c>
      <c r="C3781" s="6">
        <v>2.0</v>
      </c>
      <c r="D3781" s="9" t="s">
        <v>6897</v>
      </c>
      <c r="E3781" s="8" t="str">
        <f>IFERROR(__xludf.DUMMYFUNCTION("googletranslate(D3781,""id"",""en"")"),"ji ... what do you do using Gituan? just fad sis, why? kaka poto yaaa .. kaka kaka post on twitter, who knows sell dek..kaaakkk !!! what are you crazy ??? ""Rented Adek, to add pocket money because of the PPKM again"" - minutes later - [Kaka Twitter DM]")</f>
        <v>ji ... what do you do using Gituan? just fad sis, why? kaka poto yaaa .. kaka kaka post on twitter, who knows sell dek..kaaakkk !!! what are you crazy ??? "Rented Adek, to add pocket money because of the PPKM again" - minutes later - [Kaka Twitter DM]</v>
      </c>
    </row>
    <row r="3782" ht="15.75" customHeight="1">
      <c r="A3782" s="2">
        <v>3783.0</v>
      </c>
      <c r="B3782" s="5" t="s">
        <v>6898</v>
      </c>
      <c r="C3782" s="6">
        <v>1.0</v>
      </c>
      <c r="D3782" s="9" t="s">
        <v>6899</v>
      </c>
      <c r="E3782" s="8" t="str">
        <f>IFERROR(__xludf.DUMMYFUNCTION("googletranslate(D3782,""id"",""en"")"),"The difference is just the government's responsibility for the community, if the lockdown of the reference of the Health Quarantine Law, the government is required to meet the basic needs of the community, if the PPKM is different from the terms to comple"&amp;"te themselves from the obligation.")</f>
        <v>The difference is just the government's responsibility for the community, if the lockdown of the reference of the Health Quarantine Law, the government is required to meet the basic needs of the community, if the PPKM is different from the terms to complete themselves from the obligation.</v>
      </c>
    </row>
    <row r="3783" ht="15.75" customHeight="1">
      <c r="A3783" s="2">
        <v>3784.0</v>
      </c>
      <c r="B3783" s="5" t="s">
        <v>6900</v>
      </c>
      <c r="C3783" s="6">
        <v>3.0</v>
      </c>
      <c r="D3783" s="7" t="s">
        <v>6901</v>
      </c>
      <c r="E3783" s="8" t="str">
        <f>IFERROR(__xludf.DUMMYFUNCTION("googletranslate(D3783,""id"",""en"")"),"While! PPKM this time, small entrepreneurs can be borne. Check out the thread.")</f>
        <v>While! PPKM this time, small entrepreneurs can be borne. Check out the thread.</v>
      </c>
    </row>
    <row r="3784" ht="15.75" customHeight="1">
      <c r="A3784" s="2">
        <v>3785.0</v>
      </c>
      <c r="B3784" s="5" t="s">
        <v>6902</v>
      </c>
      <c r="C3784" s="6">
        <v>2.0</v>
      </c>
      <c r="D3784" s="7" t="s">
        <v>6903</v>
      </c>
      <c r="E3784" s="8" t="str">
        <f>IFERROR(__xludf.DUMMYFUNCTION("googletranslate(D3784,""id"",""en"")"),"PPKM has already been able to take Ulti skills")</f>
        <v>PPKM has already been able to take Ulti skills</v>
      </c>
    </row>
    <row r="3785" ht="15.75" customHeight="1">
      <c r="A3785" s="2">
        <v>3786.0</v>
      </c>
      <c r="B3785" s="5" t="s">
        <v>6904</v>
      </c>
      <c r="C3785" s="6">
        <v>1.0</v>
      </c>
      <c r="D3785" s="7" t="s">
        <v>6905</v>
      </c>
      <c r="E3785" s="8" t="str">
        <f>IFERROR(__xludf.DUMMYFUNCTION("googletranslate(D3785,""id"",""en"")"),"Don't know Ah. in the period of covid-ppkm that the degree is below, it must be fine and can it work. and this? Only B'day Party. B'Day Party Ramean Hey! I don't want to know, it must be followed up on the Satpol PP etc. Don't mentang celebrity, playing v"&amp;"ideo clarification, there's no fine? I don't accept plsss")</f>
        <v>Don't know Ah. in the period of covid-ppkm that the degree is below, it must be fine and can it work. and this? Only B'day Party. B'Day Party Ramean Hey! I don't want to know, it must be followed up on the Satpol PP etc. Don't mentang celebrity, playing video clarification, there's no fine? I don't accept plsss</v>
      </c>
    </row>
    <row r="3786" ht="15.75" customHeight="1">
      <c r="A3786" s="2">
        <v>3787.0</v>
      </c>
      <c r="B3786" s="5" t="s">
        <v>6906</v>
      </c>
      <c r="C3786" s="6">
        <v>2.0</v>
      </c>
      <c r="D3786" s="7" t="s">
        <v>6906</v>
      </c>
      <c r="E3786" s="8" t="str">
        <f>IFERROR(__xludf.DUMMYFUNCTION("googletranslate(D3786,""id"",""en"")"),"Good morning PPKM fighters.")</f>
        <v>Good morning PPKM fighters.</v>
      </c>
    </row>
    <row r="3787" ht="15.75" customHeight="1">
      <c r="A3787" s="2">
        <v>3788.0</v>
      </c>
      <c r="B3787" s="5" t="s">
        <v>6907</v>
      </c>
      <c r="C3787" s="6">
        <v>1.0</v>
      </c>
      <c r="D3787" s="7" t="s">
        <v>6907</v>
      </c>
      <c r="E3787" s="8" t="str">
        <f>IFERROR(__xludf.DUMMYFUNCTION("googletranslate(D3787,""id"",""en"")"),"PPKM Asline Ki Mr. President When to Reverse Hehe")</f>
        <v>PPKM Asline Ki Mr. President When to Reverse Hehe</v>
      </c>
    </row>
    <row r="3788" ht="15.75" customHeight="1">
      <c r="A3788" s="2">
        <v>3789.0</v>
      </c>
      <c r="B3788" s="5" t="s">
        <v>6908</v>
      </c>
      <c r="C3788" s="6">
        <v>2.0</v>
      </c>
      <c r="D3788" s="7" t="s">
        <v>6909</v>
      </c>
      <c r="E3788" s="8" t="str">
        <f>IFERROR(__xludf.DUMMYFUNCTION("googletranslate(D3788,""id"",""en"")"),"After the PPKM became a gym child, returned to the laptop after vacuum a year hopefully hopefully because the list for a year becomes diligent because it loves the money")</f>
        <v>After the PPKM became a gym child, returned to the laptop after vacuum a year hopefully hopefully because the list for a year becomes diligent because it loves the money</v>
      </c>
    </row>
    <row r="3789" ht="15.75" customHeight="1">
      <c r="A3789" s="2">
        <v>3790.0</v>
      </c>
      <c r="B3789" s="5" t="s">
        <v>6910</v>
      </c>
      <c r="C3789" s="6">
        <v>2.0</v>
      </c>
      <c r="D3789" s="7" t="s">
        <v>6911</v>
      </c>
      <c r="E3789" s="8" t="str">
        <f>IFERROR(__xludf.DUMMYFUNCTION("googletranslate(D3789,""id"",""en"")"),"Morning admin .. want to ask for making skck at the bekasi metro police station during the ppkm level still open or not?")</f>
        <v>Morning admin .. want to ask for making skck at the bekasi metro police station during the ppkm level still open or not?</v>
      </c>
    </row>
    <row r="3790" ht="15.75" customHeight="1">
      <c r="A3790" s="2">
        <v>3791.0</v>
      </c>
      <c r="B3790" s="5" t="s">
        <v>6912</v>
      </c>
      <c r="C3790" s="6">
        <v>1.0</v>
      </c>
      <c r="D3790" s="9" t="s">
        <v>6913</v>
      </c>
      <c r="E3790" s="8" t="str">
        <f>IFERROR(__xludf.DUMMYFUNCTION("googletranslate(D3790,""id"",""en"")"),"Similar to Ma Kmrin, the prosecutor's verdict in circumcision by the judge because it is small, it will be small, but will be lg y, lg fever &amp; amp; Toothache, wife of pregnancy, take care of parents LG isoman, you get stroked, backbone kluarga, ank2 fussy"&amp;", lgi unemployed / hit by layoffs, impact PPKM - etc !!!")</f>
        <v>Similar to Ma Kmrin, the prosecutor's verdict in circumcision by the judge because it is small, it will be small, but will be lg y, lg fever &amp; amp; Toothache, wife of pregnancy, take care of parents LG isoman, you get stroked, backbone kluarga, ank2 fussy, lgi unemployed / hit by layoffs, impact PPKM - etc !!!</v>
      </c>
    </row>
    <row r="3791" ht="15.75" customHeight="1">
      <c r="A3791" s="2">
        <v>3792.0</v>
      </c>
      <c r="B3791" s="5" t="s">
        <v>6914</v>
      </c>
      <c r="C3791" s="6">
        <v>1.0</v>
      </c>
      <c r="D3791" s="7" t="s">
        <v>6915</v>
      </c>
      <c r="E3791" s="8" t="str">
        <f>IFERROR(__xludf.DUMMYFUNCTION("googletranslate(D3791,""id"",""en"")"),"PPKM: Mr. President when to give up")</f>
        <v>PPKM: Mr. President when to give up</v>
      </c>
    </row>
    <row r="3792" ht="15.75" customHeight="1">
      <c r="A3792" s="2">
        <v>3793.0</v>
      </c>
      <c r="B3792" s="5" t="s">
        <v>6916</v>
      </c>
      <c r="C3792" s="6">
        <v>2.0</v>
      </c>
      <c r="D3792" s="10" t="s">
        <v>6917</v>
      </c>
      <c r="E3792" s="8" t="str">
        <f>IFERROR(__xludf.DUMMYFUNCTION("googletranslate(D3792,""id"",""en"")"),"PPKM boss")</f>
        <v>PPKM boss</v>
      </c>
    </row>
    <row r="3793" ht="15.75" customHeight="1">
      <c r="A3793" s="2">
        <v>3794.0</v>
      </c>
      <c r="B3793" s="5" t="s">
        <v>6918</v>
      </c>
      <c r="C3793" s="6">
        <v>2.0</v>
      </c>
      <c r="D3793" s="7" t="s">
        <v>6918</v>
      </c>
      <c r="E3793" s="8" t="str">
        <f>IFERROR(__xludf.DUMMYFUNCTION("googletranslate(D3793,""id"",""en"")"),"Ppkm: morning morning miss you")</f>
        <v>Ppkm: morning morning miss you</v>
      </c>
    </row>
    <row r="3794" ht="15.75" customHeight="1">
      <c r="A3794" s="2">
        <v>3795.0</v>
      </c>
      <c r="B3794" s="5" t="s">
        <v>6919</v>
      </c>
      <c r="C3794" s="6">
        <v>1.0</v>
      </c>
      <c r="D3794" s="7" t="s">
        <v>6920</v>
      </c>
      <c r="E3794" s="8" t="str">
        <f>IFERROR(__xludf.DUMMYFUNCTION("googletranslate(D3794,""id"",""en"")"),"Deg-Degan Euy ate while watching the TNI, it seemed to be detainedpkm level, eating at the TNI watch")</f>
        <v>Deg-Degan Euy ate while watching the TNI, it seemed to be detainedpkm level, eating at the TNI watch</v>
      </c>
    </row>
    <row r="3795" ht="15.75" customHeight="1">
      <c r="A3795" s="2">
        <v>3796.0</v>
      </c>
      <c r="B3795" s="5" t="s">
        <v>6921</v>
      </c>
      <c r="C3795" s="6">
        <v>1.0</v>
      </c>
      <c r="D3795" s="7" t="s">
        <v>6922</v>
      </c>
      <c r="E3795" s="8" t="str">
        <f>IFERROR(__xludf.DUMMYFUNCTION("googletranslate(D3795,""id"",""en"")"),"Rtrtrtrtrt dah, it's actually the more rock and kekeuh hanging out the longer the decline with the PPKM")</f>
        <v>Rtrtrtrtrt dah, it's actually the more rock and kekeuh hanging out the longer the decline with the PPKM</v>
      </c>
    </row>
    <row r="3796" ht="15.75" customHeight="1">
      <c r="A3796" s="2">
        <v>3797.0</v>
      </c>
      <c r="B3796" s="5" t="s">
        <v>6923</v>
      </c>
      <c r="C3796" s="6">
        <v>2.0</v>
      </c>
      <c r="D3796" s="7" t="s">
        <v>6924</v>
      </c>
      <c r="E3796" s="8" t="str">
        <f>IFERROR(__xludf.DUMMYFUNCTION("googletranslate(D3796,""id"",""en"")"),"Closed, still still PPKM")</f>
        <v>Closed, still still PPKM</v>
      </c>
    </row>
    <row r="3797" ht="15.75" customHeight="1">
      <c r="A3797" s="2">
        <v>3798.0</v>
      </c>
      <c r="B3797" s="5" t="s">
        <v>6925</v>
      </c>
      <c r="C3797" s="6">
        <v>2.0</v>
      </c>
      <c r="D3797" s="7" t="s">
        <v>6926</v>
      </c>
      <c r="E3797" s="8" t="str">
        <f>IFERROR(__xludf.DUMMYFUNCTION("googletranslate(D3797,""id"",""en"")"),"PPKM Pakkm Pak")</f>
        <v>PPKM Pakkm Pak</v>
      </c>
    </row>
    <row r="3798" ht="15.75" customHeight="1">
      <c r="A3798" s="2">
        <v>3799.0</v>
      </c>
      <c r="B3798" s="5" t="s">
        <v>6927</v>
      </c>
      <c r="C3798" s="6">
        <v>2.0</v>
      </c>
      <c r="D3798" s="7" t="s">
        <v>6928</v>
      </c>
      <c r="E3798" s="8" t="str">
        <f>IFERROR(__xludf.DUMMYFUNCTION("googletranslate(D3798,""id"",""en"")"),"Life, the point is to be holy. Having money doesn't have money .. Bakohkesel doesn't work ... Bakohppkm ga ppkm .. Bakohtelan raw2 real reality")</f>
        <v>Life, the point is to be holy. Having money doesn't have money .. Bakohkesel doesn't work ... Bakohppkm ga ppkm .. Bakohtelan raw2 real reality</v>
      </c>
    </row>
    <row r="3799" ht="15.75" customHeight="1">
      <c r="A3799" s="2">
        <v>3800.0</v>
      </c>
      <c r="B3799" s="5" t="s">
        <v>6929</v>
      </c>
      <c r="C3799" s="6">
        <v>1.0</v>
      </c>
      <c r="D3799" s="9" t="s">
        <v>6930</v>
      </c>
      <c r="E3799" s="8" t="str">
        <f>IFERROR(__xludf.DUMMYFUNCTION("googletranslate(D3799,""id"",""en"")"),"Deobii, Daily Reminder, don't forget later we have to be crazy about streaming, especially it will be as soon as possible, it is so that it is so long as the PPKM is likely to be at home, Well Streaming MV The Boyz so as soon! Keep don't forget the Collec"&amp;"t Ticket Music Show (cont ...)")</f>
        <v>Deobii, Daily Reminder, don't forget later we have to be crazy about streaming, especially it will be as soon as possible, it is so that it is so long as the PPKM is likely to be at home, Well Streaming MV The Boyz so as soon! Keep don't forget the Collect Ticket Music Show (cont ...)</v>
      </c>
    </row>
    <row r="3800" ht="15.75" customHeight="1">
      <c r="A3800" s="2">
        <v>3801.0</v>
      </c>
      <c r="B3800" s="5" t="s">
        <v>6931</v>
      </c>
      <c r="C3800" s="6">
        <v>1.0</v>
      </c>
      <c r="D3800" s="9" t="s">
        <v>6932</v>
      </c>
      <c r="E3800" s="8" t="str">
        <f>IFERROR(__xludf.DUMMYFUNCTION("googletranslate(D3800,""id"",""en"")"),"Instead of not helping the people when PPKM. Only later if it's assisted ... can go bankrupt this country, then you caught again, want to sell assets especially, this is just that it's already in the middle. It's already sleeping, mblo ...")</f>
        <v>Instead of not helping the people when PPKM. Only later if it's assisted ... can go bankrupt this country, then you caught again, want to sell assets especially, this is just that it's already in the middle. It's already sleeping, mblo ...</v>
      </c>
    </row>
    <row r="3801" ht="15.75" customHeight="1">
      <c r="A3801" s="2">
        <v>3802.0</v>
      </c>
      <c r="B3801" s="5" t="s">
        <v>6933</v>
      </c>
      <c r="C3801" s="6">
        <v>1.0</v>
      </c>
      <c r="D3801" s="7" t="s">
        <v>6934</v>
      </c>
      <c r="E3801" s="8" t="str">
        <f>IFERROR(__xludf.DUMMYFUNCTION("googletranslate(D3801,""id"",""en"")"),"how come I remember the PPKM party bday")</f>
        <v>how come I remember the PPKM party bday</v>
      </c>
    </row>
    <row r="3802" ht="15.75" customHeight="1">
      <c r="A3802" s="2">
        <v>3803.0</v>
      </c>
      <c r="B3802" s="5" t="s">
        <v>6935</v>
      </c>
      <c r="C3802" s="6">
        <v>2.0</v>
      </c>
      <c r="D3802" s="7" t="s">
        <v>6936</v>
      </c>
      <c r="E3802" s="8" t="str">
        <f>IFERROR(__xludf.DUMMYFUNCTION("googletranslate(D3802,""id"",""en"")"),"Want to buy HokbenPlis PPKM stop")</f>
        <v>Want to buy HokbenPlis PPKM stop</v>
      </c>
    </row>
    <row r="3803" ht="15.75" customHeight="1">
      <c r="A3803" s="2">
        <v>3804.0</v>
      </c>
      <c r="B3803" s="5" t="s">
        <v>6937</v>
      </c>
      <c r="C3803" s="6">
        <v>3.0</v>
      </c>
      <c r="D3803" s="7" t="s">
        <v>6938</v>
      </c>
      <c r="E3803" s="8" t="str">
        <f>IFERROR(__xludf.DUMMYFUNCTION("googletranslate(D3803,""id"",""en"")"),"Hopefully this is the last ppkm, and hopefully Corona has started to subside, hopefully all can work together")</f>
        <v>Hopefully this is the last ppkm, and hopefully Corona has started to subside, hopefully all can work together</v>
      </c>
    </row>
    <row r="3804" ht="15.75" customHeight="1">
      <c r="A3804" s="2">
        <v>3805.0</v>
      </c>
      <c r="B3804" s="5" t="s">
        <v>6939</v>
      </c>
      <c r="C3804" s="6">
        <v>2.0</v>
      </c>
      <c r="D3804" s="7" t="s">
        <v>6940</v>
      </c>
      <c r="E3804" s="8" t="str">
        <f>IFERROR(__xludf.DUMMYFUNCTION("googletranslate(D3804,""id"",""en"")"),"Although PPKM Tire Tires Tetep Exist ...")</f>
        <v>Although PPKM Tire Tires Tetep Exist ...</v>
      </c>
    </row>
    <row r="3805" ht="15.75" customHeight="1">
      <c r="A3805" s="2">
        <v>3806.0</v>
      </c>
      <c r="B3805" s="5" t="s">
        <v>6941</v>
      </c>
      <c r="C3805" s="6">
        <v>1.0</v>
      </c>
      <c r="D3805" s="9" t="s">
        <v>6941</v>
      </c>
      <c r="E3805" s="8" t="str">
        <f>IFERROR(__xludf.DUMMYFUNCTION("googletranslate(D3805,""id"",""en"")"),"Seriously the PPKM SBenera managed to do it? How come in my area there are just dead people because of the outbreak of infected?")</f>
        <v>Seriously the PPKM SBenera managed to do it? How come in my area there are just dead people because of the outbreak of infected?</v>
      </c>
    </row>
    <row r="3806" ht="15.75" customHeight="1">
      <c r="A3806" s="2">
        <v>3807.0</v>
      </c>
      <c r="B3806" s="5" t="s">
        <v>6942</v>
      </c>
      <c r="C3806" s="6">
        <v>3.0</v>
      </c>
      <c r="D3806" s="7" t="s">
        <v>6943</v>
      </c>
      <c r="E3806" s="8" t="str">
        <f>IFERROR(__xludf.DUMMYFUNCTION("googletranslate(D3806,""id"",""en"")"),"There is a gunana ppkm, bro, you relaxed, you can't get the immune level ...")</f>
        <v>There is a gunana ppkm, bro, you relaxed, you can't get the immune level ...</v>
      </c>
    </row>
    <row r="3807" ht="15.75" customHeight="1">
      <c r="A3807" s="2">
        <v>3808.0</v>
      </c>
      <c r="B3807" s="5" t="s">
        <v>6944</v>
      </c>
      <c r="C3807" s="6">
        <v>2.0</v>
      </c>
      <c r="D3807" s="7" t="s">
        <v>6945</v>
      </c>
      <c r="E3807" s="8" t="str">
        <f>IFERROR(__xludf.DUMMYFUNCTION("googletranslate(D3807,""id"",""en"")"),"PPKM level now intercourse insulation is removed.")</f>
        <v>PPKM level now intercourse insulation is removed.</v>
      </c>
    </row>
    <row r="3808" ht="15.75" customHeight="1">
      <c r="A3808" s="2">
        <v>3809.0</v>
      </c>
      <c r="B3808" s="5" t="s">
        <v>6946</v>
      </c>
      <c r="C3808" s="6">
        <v>3.0</v>
      </c>
      <c r="D3808" s="7" t="s">
        <v>6947</v>
      </c>
      <c r="E3808" s="8" t="str">
        <f>IFERROR(__xludf.DUMMYFUNCTION("googletranslate(D3808,""id"",""en"")"),"You will never learn to be patient and brave if in this world there is only happiness. -Helen Keller-Good morning! Keep patience undergo PPKM, friendkeu!")</f>
        <v>You will never learn to be patient and brave if in this world there is only happiness. -Helen Keller-Good morning! Keep patience undergo PPKM, friendkeu!</v>
      </c>
    </row>
    <row r="3809" ht="15.75" customHeight="1">
      <c r="A3809" s="2">
        <v>3810.0</v>
      </c>
      <c r="B3809" s="5" t="s">
        <v>6948</v>
      </c>
      <c r="C3809" s="6">
        <v>2.0</v>
      </c>
      <c r="D3809" s="7" t="s">
        <v>6948</v>
      </c>
      <c r="E3809" s="8" t="str">
        <f>IFERROR(__xludf.DUMMYFUNCTION("googletranslate(D3809,""id"",""en"")"),"ppkm can't be a thousand level like candy crush")</f>
        <v>ppkm can't be a thousand level like candy crush</v>
      </c>
    </row>
    <row r="3810" ht="15.75" customHeight="1">
      <c r="A3810" s="2">
        <v>3811.0</v>
      </c>
      <c r="B3810" s="5" t="s">
        <v>6949</v>
      </c>
      <c r="C3810" s="6">
        <v>2.0</v>
      </c>
      <c r="D3810" s="9" t="s">
        <v>6950</v>
      </c>
      <c r="E3810" s="8" t="str">
        <f>IFERROR(__xludf.DUMMYFUNCTION("googletranslate(D3810,""id"",""en"")"),"PPKM Level Community Must Ngrogo Sukmo Remove His Spirit if you want to go outside the house.")</f>
        <v>PPKM Level Community Must Ngrogo Sukmo Remove His Spirit if you want to go outside the house.</v>
      </c>
    </row>
    <row r="3811" ht="15.75" customHeight="1">
      <c r="A3811" s="2">
        <v>3812.0</v>
      </c>
      <c r="B3811" s="5" t="s">
        <v>6951</v>
      </c>
      <c r="C3811" s="6">
        <v>2.0</v>
      </c>
      <c r="D3811" s="7" t="s">
        <v>6952</v>
      </c>
      <c r="E3811" s="8" t="str">
        <f>IFERROR(__xludf.DUMMYFUNCTION("googletranslate(D3811,""id"",""en"")"),"Again crowd, may eat dine in a maximum of minutes when PPKM level. If you want to take Dine in or just take it? Combined on Yook until the morning!")</f>
        <v>Again crowd, may eat dine in a maximum of minutes when PPKM level. If you want to take Dine in or just take it? Combined on Yook until the morning!</v>
      </c>
    </row>
    <row r="3812" ht="15.75" customHeight="1">
      <c r="A3812" s="2">
        <v>3813.0</v>
      </c>
      <c r="B3812" s="5" t="s">
        <v>6953</v>
      </c>
      <c r="C3812" s="6">
        <v>1.0</v>
      </c>
      <c r="D3812" s="9" t="s">
        <v>6954</v>
      </c>
      <c r="E3812" s="8" t="str">
        <f>IFERROR(__xludf.DUMMYFUNCTION("googletranslate(D3812,""id"",""en"")"),"New rule ppkm dining level in the warteg minutes there is no, the rules for the warteg all of them are still in place ... the government is inappropriate after a stubborn business")</f>
        <v>New rule ppkm dining level in the warteg minutes there is no, the rules for the warteg all of them are still in place ... the government is inappropriate after a stubborn business</v>
      </c>
    </row>
    <row r="3813" ht="15.75" customHeight="1">
      <c r="A3813" s="2">
        <v>3814.0</v>
      </c>
      <c r="B3813" s="5" t="s">
        <v>6955</v>
      </c>
      <c r="C3813" s="6">
        <v>1.0</v>
      </c>
      <c r="D3813" s="7" t="s">
        <v>6956</v>
      </c>
      <c r="E3813" s="8" t="str">
        <f>IFERROR(__xludf.DUMMYFUNCTION("googletranslate(D3813,""id"",""en"")"),"Nabok PPKM Level Still Lankot")</f>
        <v>Nabok PPKM Level Still Lankot</v>
      </c>
    </row>
    <row r="3814" ht="15.75" customHeight="1">
      <c r="A3814" s="2">
        <v>3815.0</v>
      </c>
      <c r="B3814" s="5" t="s">
        <v>6957</v>
      </c>
      <c r="C3814" s="6">
        <v>2.0</v>
      </c>
      <c r="D3814" s="7" t="s">
        <v>6958</v>
      </c>
      <c r="E3814" s="8" t="str">
        <f>IFERROR(__xludf.DUMMYFUNCTION("googletranslate(D3814,""id"",""en"")"),"Is this because of PPKM or vaccine, Pak Anies?")</f>
        <v>Is this because of PPKM or vaccine, Pak Anies?</v>
      </c>
    </row>
    <row r="3815" ht="15.75" customHeight="1">
      <c r="A3815" s="2">
        <v>3816.0</v>
      </c>
      <c r="B3815" s="5" t="s">
        <v>6959</v>
      </c>
      <c r="C3815" s="6">
        <v>2.0</v>
      </c>
      <c r="D3815" s="7" t="s">
        <v>6960</v>
      </c>
      <c r="E3815" s="8" t="str">
        <f>IFERROR(__xludf.DUMMYFUNCTION("googletranslate(D3815,""id"",""en"")"),"Open Massage Area Magelang Jogjarari Mikikir PPKM then..dm yuk")</f>
        <v>Open Massage Area Magelang Jogjarari Mikikir PPKM then..dm yuk</v>
      </c>
    </row>
    <row r="3816" ht="15.75" customHeight="1">
      <c r="A3816" s="2">
        <v>3817.0</v>
      </c>
      <c r="B3816" s="5" t="s">
        <v>6961</v>
      </c>
      <c r="C3816" s="6">
        <v>2.0</v>
      </c>
      <c r="D3816" s="7" t="s">
        <v>6961</v>
      </c>
      <c r="E3816" s="8" t="str">
        <f>IFERROR(__xludf.DUMMYFUNCTION("googletranslate(D3816,""id"",""en"")"),"Department of Education (Disdik) East Java (East Java) plans to open a high school / vocational / SLB school level in a limited government if the government of the imposition of the restrictions on emergency community activities (PPKM)")</f>
        <v>Department of Education (Disdik) East Java (East Java) plans to open a high school / vocational / SLB school level in a limited government if the government of the imposition of the restrictions on emergency community activities (PPKM)</v>
      </c>
    </row>
    <row r="3817" ht="15.75" customHeight="1">
      <c r="A3817" s="2">
        <v>3818.0</v>
      </c>
      <c r="B3817" s="5" t="s">
        <v>6962</v>
      </c>
      <c r="C3817" s="6">
        <v>3.0</v>
      </c>
      <c r="D3817" s="7" t="s">
        <v>6963</v>
      </c>
      <c r="E3817" s="8" t="str">
        <f>IFERROR(__xludf.DUMMYFUNCTION("googletranslate(D3817,""id"",""en"")"),"Hopefully PPKM can have a positive impact and can reduce the level of spread of pandemic")</f>
        <v>Hopefully PPKM can have a positive impact and can reduce the level of spread of pandemic</v>
      </c>
    </row>
    <row r="3818" ht="15.75" customHeight="1">
      <c r="A3818" s="2">
        <v>3819.0</v>
      </c>
      <c r="B3818" s="5" t="s">
        <v>6964</v>
      </c>
      <c r="C3818" s="6">
        <v>1.0</v>
      </c>
      <c r="D3818" s="7" t="s">
        <v>6965</v>
      </c>
      <c r="E3818" s="8" t="str">
        <f>IFERROR(__xludf.DUMMYFUNCTION("googletranslate(D3818,""id"",""en"")"),"As a MSME because PPKM income is totally jammed, there are BRI wisdom in addition to debt delays")</f>
        <v>As a MSME because PPKM income is totally jammed, there are BRI wisdom in addition to debt delays</v>
      </c>
    </row>
    <row r="3819" ht="15.75" customHeight="1">
      <c r="A3819" s="2">
        <v>3820.0</v>
      </c>
      <c r="B3819" s="5" t="s">
        <v>6966</v>
      </c>
      <c r="C3819" s="6">
        <v>1.0</v>
      </c>
      <c r="D3819" s="9" t="s">
        <v>6967</v>
      </c>
      <c r="E3819" s="8" t="str">
        <f>IFERROR(__xludf.DUMMYFUNCTION("googletranslate(D3819,""id"",""en"")"),"Here it looks like it comes in ugm using a hockey move to answer importantly, pass the magerr, just know, you know, you can get UGM, you know the PPKM clustered the photos")</f>
        <v>Here it looks like it comes in ugm using a hockey move to answer importantly, pass the magerr, just know, you know, you can get UGM, you know the PPKM clustered the photos</v>
      </c>
    </row>
    <row r="3820" ht="15.75" customHeight="1">
      <c r="A3820" s="2">
        <v>3821.0</v>
      </c>
      <c r="B3820" s="5" t="s">
        <v>6968</v>
      </c>
      <c r="C3820" s="6">
        <v>1.0</v>
      </c>
      <c r="D3820" s="7" t="s">
        <v>6969</v>
      </c>
      <c r="E3820" s="8" t="str">
        <f>IFERROR(__xludf.DUMMYFUNCTION("googletranslate(D3820,""id"",""en"")"),"SCH! The teacher's time I told to collect the task of his house even though again PPKM Wkwk. Trivia: short circuit: an event where the phase cable is connected with a neutral or other phase cable.")</f>
        <v>SCH! The teacher's time I told to collect the task of his house even though again PPKM Wkwk. Trivia: short circuit: an event where the phase cable is connected with a neutral or other phase cable.</v>
      </c>
    </row>
    <row r="3821" ht="15.75" customHeight="1">
      <c r="A3821" s="2">
        <v>3822.0</v>
      </c>
      <c r="B3821" s="5" t="s">
        <v>6970</v>
      </c>
      <c r="C3821" s="6">
        <v>1.0</v>
      </c>
      <c r="D3821" s="7" t="s">
        <v>6971</v>
      </c>
      <c r="E3821" s="8" t="str">
        <f>IFERROR(__xludf.DUMMYFUNCTION("googletranslate(D3821,""id"",""en"")"),"Meal time in stalls is limited to minutes. Several nek or drag a minute extension. Wong ppkm is just an extension")</f>
        <v>Meal time in stalls is limited to minutes. Several nek or drag a minute extension. Wong ppkm is just an extension</v>
      </c>
    </row>
    <row r="3822" ht="15.75" customHeight="1">
      <c r="A3822" s="2">
        <v>3823.0</v>
      </c>
      <c r="B3822" s="5" t="s">
        <v>6972</v>
      </c>
      <c r="C3822" s="6">
        <v>2.0</v>
      </c>
      <c r="D3822" s="9" t="s">
        <v>6972</v>
      </c>
      <c r="E3822" s="8" t="str">
        <f>IFERROR(__xludf.DUMMYFUNCTION("googletranslate(D3822,""id"",""en"")"),"After the Emergency PPKM revoked, East Java High School / Vocational School plans to open PTM Limited!")</f>
        <v>After the Emergency PPKM revoked, East Java High School / Vocational School plans to open PTM Limited!</v>
      </c>
    </row>
    <row r="3823" ht="15.75" customHeight="1">
      <c r="A3823" s="2">
        <v>3824.0</v>
      </c>
      <c r="B3823" s="5" t="s">
        <v>6973</v>
      </c>
      <c r="C3823" s="6">
        <v>1.0</v>
      </c>
      <c r="D3823" s="9" t="s">
        <v>6974</v>
      </c>
      <c r="E3823" s="8" t="str">
        <f>IFERROR(__xludf.DUMMYFUNCTION("googletranslate(D3823,""id"",""en"")"),"If it violates the PPKM and has the potential to spread the Covid virus and endanger the lives of others, there is no need to doubt the driving bed and its chairman, if necessary, if you need to be coubtled until the chairman, don't need to be afraid of h"&amp;"am")</f>
        <v>If it violates the PPKM and has the potential to spread the Covid virus and endanger the lives of others, there is no need to doubt the driving bed and its chairman, if necessary, if you need to be coubtled until the chairman, don't need to be afraid of ham</v>
      </c>
    </row>
    <row r="3824" ht="15.75" customHeight="1">
      <c r="A3824" s="2">
        <v>3825.0</v>
      </c>
      <c r="B3824" s="5" t="s">
        <v>6975</v>
      </c>
      <c r="C3824" s="6">
        <v>1.0</v>
      </c>
      <c r="D3824" s="9" t="s">
        <v>6976</v>
      </c>
      <c r="E3824" s="8" t="str">
        <f>IFERROR(__xludf.DUMMYFUNCTION("googletranslate(D3824,""id"",""en"")"),"PPKM is not obedient in, if there is anything what the government is misused.")</f>
        <v>PPKM is not obedient in, if there is anything what the government is misused.</v>
      </c>
    </row>
    <row r="3825" ht="15.75" customHeight="1">
      <c r="A3825" s="2">
        <v>3826.0</v>
      </c>
      <c r="B3825" s="5" t="s">
        <v>6977</v>
      </c>
      <c r="C3825" s="6">
        <v>2.0</v>
      </c>
      <c r="D3825" s="7" t="s">
        <v>6978</v>
      </c>
      <c r="E3825" s="8" t="str">
        <f>IFERROR(__xludf.DUMMYFUNCTION("googletranslate(D3825,""id"",""en"")"),"But PPKM likes to be extended. What if the minute is also extended by a little?")</f>
        <v>But PPKM likes to be extended. What if the minute is also extended by a little?</v>
      </c>
    </row>
    <row r="3826" ht="15.75" customHeight="1">
      <c r="A3826" s="2">
        <v>3827.0</v>
      </c>
      <c r="B3826" s="5" t="s">
        <v>6979</v>
      </c>
      <c r="C3826" s="6">
        <v>2.0</v>
      </c>
      <c r="D3826" s="7" t="s">
        <v>6980</v>
      </c>
      <c r="E3826" s="8" t="str">
        <f>IFERROR(__xludf.DUMMYFUNCTION("googletranslate(D3826,""id"",""en"")"),"Extended PPKM? Ppkm level $ number $ the difference is what? Do you want to exist until the PPKM Pro Max level? I don't know, I still believe in Jayabaya")</f>
        <v>Extended PPKM? Ppkm level $ number $ the difference is what? Do you want to exist until the PPKM Pro Max level? I don't know, I still believe in Jayabaya</v>
      </c>
    </row>
    <row r="3827" ht="15.75" customHeight="1">
      <c r="A3827" s="2">
        <v>3828.0</v>
      </c>
      <c r="B3827" s="5" t="s">
        <v>6981</v>
      </c>
      <c r="C3827" s="6">
        <v>2.0</v>
      </c>
      <c r="D3827" s="7" t="s">
        <v>6982</v>
      </c>
      <c r="E3827" s="8" t="str">
        <f>IFERROR(__xludf.DUMMYFUNCTION("googletranslate(D3827,""id"",""en"")"),"Ngpain the KMN2, PPKM.")</f>
        <v>Ngpain the KMN2, PPKM.</v>
      </c>
    </row>
    <row r="3828" ht="15.75" customHeight="1">
      <c r="A3828" s="2">
        <v>3829.0</v>
      </c>
      <c r="B3828" s="5" t="s">
        <v>6983</v>
      </c>
      <c r="C3828" s="6">
        <v>2.0</v>
      </c>
      <c r="D3828" s="7" t="s">
        <v>6984</v>
      </c>
      <c r="E3828" s="8" t="str">
        <f>IFERROR(__xludf.DUMMYFUNCTION("googletranslate(D3828,""id"",""en"")"),"At nutmeg you monkey: ppkm")</f>
        <v>At nutmeg you monkey: ppkm</v>
      </c>
    </row>
    <row r="3829" ht="15.75" customHeight="1">
      <c r="A3829" s="2">
        <v>3830.0</v>
      </c>
      <c r="B3829" s="5" t="s">
        <v>6985</v>
      </c>
      <c r="C3829" s="6">
        <v>1.0</v>
      </c>
      <c r="D3829" s="9" t="s">
        <v>6986</v>
      </c>
      <c r="E3829" s="8" t="str">
        <f>IFERROR(__xludf.DUMMYFUNCTION("googletranslate(D3829,""id"",""en"")"),"Then it will be announced since the beginning don't go home, ngeyel. At PPKM complained, ask for subsidized needs. Budget increases, the government increases debt insulted. Indeed amazing residents of +62 ...")</f>
        <v>Then it will be announced since the beginning don't go home, ngeyel. At PPKM complained, ask for subsidized needs. Budget increases, the government increases debt insulted. Indeed amazing residents of +62 ...</v>
      </c>
    </row>
    <row r="3830" ht="15.75" customHeight="1">
      <c r="A3830" s="2">
        <v>3831.0</v>
      </c>
      <c r="B3830" s="5" t="s">
        <v>6987</v>
      </c>
      <c r="C3830" s="6">
        <v>1.0</v>
      </c>
      <c r="D3830" s="7" t="s">
        <v>6987</v>
      </c>
      <c r="E3830" s="8" t="str">
        <f>IFERROR(__xludf.DUMMYFUNCTION("googletranslate(D3830,""id"",""en"")"),"Starting the morning with crying because the case must meet but failed because of the ppkm bgst.")</f>
        <v>Starting the morning with crying because the case must meet but failed because of the ppkm bgst.</v>
      </c>
    </row>
    <row r="3831" ht="15.75" customHeight="1">
      <c r="A3831" s="2">
        <v>3832.0</v>
      </c>
      <c r="B3831" s="5" t="s">
        <v>6988</v>
      </c>
      <c r="C3831" s="6">
        <v>1.0</v>
      </c>
      <c r="D3831" s="9" t="s">
        <v>6989</v>
      </c>
      <c r="E3831" s="8" t="str">
        <f>IFERROR(__xludf.DUMMYFUNCTION("googletranslate(D3831,""id"",""en"")"),"Still can't be present, because I love my child and family. Again PPKM too, afraid when I go home, then bring a disease")</f>
        <v>Still can't be present, because I love my child and family. Again PPKM too, afraid when I go home, then bring a disease</v>
      </c>
    </row>
    <row r="3832" ht="15.75" customHeight="1">
      <c r="A3832" s="2">
        <v>3833.0</v>
      </c>
      <c r="B3832" s="5" t="s">
        <v>6990</v>
      </c>
      <c r="C3832" s="6">
        <v>2.0</v>
      </c>
      <c r="D3832" s="9" t="s">
        <v>6991</v>
      </c>
      <c r="E3832" s="8" t="str">
        <f>IFERROR(__xludf.DUMMYFUNCTION("googletranslate(D3832,""id"",""en"")"),"I thought during this PPKM continued August to work to what tomorrow we would be awkward as HRI entered work first")</f>
        <v>I thought during this PPKM continued August to work to what tomorrow we would be awkward as HRI entered work first</v>
      </c>
    </row>
    <row r="3833" ht="15.75" customHeight="1">
      <c r="A3833" s="2">
        <v>3834.0</v>
      </c>
      <c r="B3833" s="5" t="s">
        <v>6992</v>
      </c>
      <c r="C3833" s="6">
        <v>3.0</v>
      </c>
      <c r="D3833" s="7" t="s">
        <v>6993</v>
      </c>
      <c r="E3833" s="8" t="str">
        <f>IFERROR(__xludf.DUMMYFUNCTION("googletranslate(D3833,""id"",""en"")"),"Hopefully this PPKM has a positive impact, can reduce the level of spread of the pandemic")</f>
        <v>Hopefully this PPKM has a positive impact, can reduce the level of spread of the pandemic</v>
      </c>
    </row>
    <row r="3834" ht="15.75" customHeight="1">
      <c r="A3834" s="2">
        <v>3835.0</v>
      </c>
      <c r="B3834" s="5" t="s">
        <v>6994</v>
      </c>
      <c r="C3834" s="6">
        <v>2.0</v>
      </c>
      <c r="D3834" s="9" t="s">
        <v>6994</v>
      </c>
      <c r="E3834" s="8" t="str">
        <f>IFERROR(__xludf.DUMMYFUNCTION("googletranslate(D3834,""id"",""en"")"),"Emergency Emergency Proposal Expert Extended to Mount Kidul Moves Lorrr")</f>
        <v>Emergency Emergency Proposal Expert Extended to Mount Kidul Moves Lorrr</v>
      </c>
    </row>
    <row r="3835" ht="15.75" customHeight="1">
      <c r="A3835" s="2">
        <v>3836.0</v>
      </c>
      <c r="B3835" s="5" t="s">
        <v>6995</v>
      </c>
      <c r="C3835" s="6">
        <v>3.0</v>
      </c>
      <c r="D3835" s="7" t="s">
        <v>6996</v>
      </c>
      <c r="E3835" s="8" t="str">
        <f>IFERROR(__xludf.DUMMYFUNCTION("googletranslate(D3835,""id"",""en"")"),"The government provides an additional budget of Rp trillion to provide discounts on PLN customers. This is because the government wants the community to remain productive amid limitations because of this PPKM. Let's be enthusiastic")</f>
        <v>The government provides an additional budget of Rp trillion to provide discounts on PLN customers. This is because the government wants the community to remain productive amid limitations because of this PPKM. Let's be enthusiastic</v>
      </c>
    </row>
    <row r="3836" ht="15.75" customHeight="1">
      <c r="A3836" s="2">
        <v>3837.0</v>
      </c>
      <c r="B3836" s="5" t="s">
        <v>6997</v>
      </c>
      <c r="C3836" s="6">
        <v>2.0</v>
      </c>
      <c r="D3836" s="7" t="s">
        <v>6998</v>
      </c>
      <c r="E3836" s="8" t="str">
        <f>IFERROR(__xludf.DUMMYFUNCTION("googletranslate(D3836,""id"",""en"")"),"PPKM has been extended and narrowed. Release")</f>
        <v>PPKM has been extended and narrowed. Release</v>
      </c>
    </row>
    <row r="3837" ht="15.75" customHeight="1">
      <c r="A3837" s="2">
        <v>3838.0</v>
      </c>
      <c r="B3837" s="5" t="s">
        <v>6999</v>
      </c>
      <c r="C3837" s="6">
        <v>3.0</v>
      </c>
      <c r="D3837" s="7" t="s">
        <v>7000</v>
      </c>
      <c r="E3837" s="8" t="str">
        <f>IFERROR(__xludf.DUMMYFUNCTION("googletranslate(D3837,""id"",""en"")"),"Hehehe let the spirit during the PPKM")</f>
        <v>Hehehe let the spirit during the PPKM</v>
      </c>
    </row>
    <row r="3838" ht="15.75" customHeight="1">
      <c r="A3838" s="2">
        <v>3839.0</v>
      </c>
      <c r="B3838" s="5" t="s">
        <v>7001</v>
      </c>
      <c r="C3838" s="6">
        <v>3.0</v>
      </c>
      <c r="D3838" s="7" t="s">
        <v>7002</v>
      </c>
      <c r="E3838" s="8" t="str">
        <f>IFERROR(__xludf.DUMMYFUNCTION("googletranslate(D3838,""id"",""en"")"),"Hopefully the PPKM has a positive impact can also reduce the level of spread of Covid-19")</f>
        <v>Hopefully the PPKM has a positive impact can also reduce the level of spread of Covid-19</v>
      </c>
    </row>
    <row r="3839" ht="15.75" customHeight="1">
      <c r="A3839" s="2">
        <v>3840.0</v>
      </c>
      <c r="B3839" s="5" t="s">
        <v>7003</v>
      </c>
      <c r="C3839" s="6">
        <v>1.0</v>
      </c>
      <c r="D3839" s="9" t="s">
        <v>7004</v>
      </c>
      <c r="E3839" s="8" t="str">
        <f>IFERROR(__xludf.DUMMYFUNCTION("googletranslate(D3839,""id"",""en"")"),"Hrs it knows ashamed of providing compensation kl makes emergency PPKM regulations, limiting org of trading and working, avoiding lokc down rules with other terms to avoid providing compensation to the people's names such as impoverishing the people")</f>
        <v>Hrs it knows ashamed of providing compensation kl makes emergency PPKM regulations, limiting org of trading and working, avoiding lokc down rules with other terms to avoid providing compensation to the people's names such as impoverishing the people</v>
      </c>
    </row>
    <row r="3840" ht="15.75" customHeight="1">
      <c r="A3840" s="2">
        <v>3841.0</v>
      </c>
      <c r="B3840" s="5" t="s">
        <v>7005</v>
      </c>
      <c r="C3840" s="6">
        <v>2.0</v>
      </c>
      <c r="D3840" s="7" t="s">
        <v>7006</v>
      </c>
      <c r="E3840" s="8" t="str">
        <f>IFERROR(__xludf.DUMMYFUNCTION("googletranslate(D3840,""id"",""en"")"),"Social Stigma Related to Emergency PPKM -")</f>
        <v>Social Stigma Related to Emergency PPKM -</v>
      </c>
    </row>
    <row r="3841" ht="15.75" customHeight="1">
      <c r="A3841" s="2">
        <v>3842.0</v>
      </c>
      <c r="B3841" s="5" t="s">
        <v>7007</v>
      </c>
      <c r="C3841" s="6">
        <v>1.0</v>
      </c>
      <c r="D3841" s="7" t="s">
        <v>7008</v>
      </c>
      <c r="E3841" s="8" t="str">
        <f>IFERROR(__xludf.DUMMYFUNCTION("googletranslate(D3841,""id"",""en"")"),"Yes, this is what makes a pandemic not finished. Extended PPKM 'Til Drop.")</f>
        <v>Yes, this is what makes a pandemic not finished. Extended PPKM 'Til Drop.</v>
      </c>
    </row>
    <row r="3842" ht="15.75" customHeight="1">
      <c r="A3842" s="2">
        <v>3843.0</v>
      </c>
      <c r="B3842" s="5" t="s">
        <v>7009</v>
      </c>
      <c r="C3842" s="6">
        <v>1.0</v>
      </c>
      <c r="D3842" s="7" t="s">
        <v>7010</v>
      </c>
      <c r="E3842" s="8" t="str">
        <f>IFERROR(__xludf.DUMMYFUNCTION("googletranslate(D3842,""id"",""en"")"),"He said the new PPKM policy, it worked from the clock to the clock of the day he left for hours because his traffic jam was sure")</f>
        <v>He said the new PPKM policy, it worked from the clock to the clock of the day he left for hours because his traffic jam was sure</v>
      </c>
    </row>
    <row r="3843" ht="15.75" customHeight="1">
      <c r="A3843" s="2">
        <v>3844.0</v>
      </c>
      <c r="B3843" s="5" t="s">
        <v>7011</v>
      </c>
      <c r="C3843" s="6">
        <v>2.0</v>
      </c>
      <c r="D3843" s="7" t="s">
        <v>7011</v>
      </c>
      <c r="E3843" s="8" t="str">
        <f>IFERROR(__xludf.DUMMYFUNCTION("googletranslate(D3843,""id"",""en"")"),"In the period of the monthly shopping ppkm it seems like it's like happy.")</f>
        <v>In the period of the monthly shopping ppkm it seems like it's like happy.</v>
      </c>
    </row>
    <row r="3844" ht="15.75" customHeight="1">
      <c r="A3844" s="2">
        <v>3845.0</v>
      </c>
      <c r="B3844" s="5" t="s">
        <v>7012</v>
      </c>
      <c r="C3844" s="6">
        <v>3.0</v>
      </c>
      <c r="D3844" s="9" t="s">
        <v>7013</v>
      </c>
      <c r="E3844" s="8" t="str">
        <f>IFERROR(__xludf.DUMMYFUNCTION("googletranslate(D3844,""id"",""en"")"),"I still agreed PPKM extended MBA. If necessary until the end of the year hehehehe piss")</f>
        <v>I still agreed PPKM extended MBA. If necessary until the end of the year hehehehe piss</v>
      </c>
    </row>
    <row r="3845" ht="15.75" customHeight="1">
      <c r="A3845" s="2">
        <v>3846.0</v>
      </c>
      <c r="B3845" s="5" t="s">
        <v>7014</v>
      </c>
      <c r="C3845" s="6">
        <v>3.0</v>
      </c>
      <c r="D3845" s="7" t="s">
        <v>7015</v>
      </c>
      <c r="E3845" s="8" t="str">
        <f>IFERROR(__xludf.DUMMYFUNCTION("googletranslate(D3845,""id"",""en"")"),"With the existence of PPKM this level it is expected that the local government and the community shoulder together to reduce the degree of its level. The advantage is that the community is not worried about strict restrictions.")</f>
        <v>With the existence of PPKM this level it is expected that the local government and the community shoulder together to reduce the degree of its level. The advantage is that the community is not worried about strict restrictions.</v>
      </c>
    </row>
    <row r="3846" ht="15.75" customHeight="1">
      <c r="A3846" s="2">
        <v>3847.0</v>
      </c>
      <c r="B3846" s="5" t="s">
        <v>7016</v>
      </c>
      <c r="C3846" s="6">
        <v>3.0</v>
      </c>
      <c r="D3846" s="7" t="s">
        <v>7017</v>
      </c>
      <c r="E3846" s="8" t="str">
        <f>IFERROR(__xludf.DUMMYFUNCTION("googletranslate(D3846,""id"",""en"")"),"Hopefully PPKM has a positive impact and can reduce the spread of the spread of Covid-19 in Indonesia")</f>
        <v>Hopefully PPKM has a positive impact and can reduce the spread of the spread of Covid-19 in Indonesia</v>
      </c>
    </row>
    <row r="3847" ht="15.75" customHeight="1">
      <c r="A3847" s="2">
        <v>3848.0</v>
      </c>
      <c r="B3847" s="5" t="s">
        <v>7018</v>
      </c>
      <c r="C3847" s="6">
        <v>1.0</v>
      </c>
      <c r="D3847" s="7" t="s">
        <v>7019</v>
      </c>
      <c r="E3847" s="8" t="str">
        <f>IFERROR(__xludf.DUMMYFUNCTION("googletranslate(D3847,""id"",""en"")"),"CIH hasn't done the briday party he just admitted his mistakes knp, the artist tiktok which is like that, it doesn't think that you know, the person doesn't work, it's hard to work because it makes me a birthday, it doesn't make a birthday at all ckck")</f>
        <v>CIH hasn't done the briday party he just admitted his mistakes knp, the artist tiktok which is like that, it doesn't think that you know, the person doesn't work, it's hard to work because it makes me a birthday, it doesn't make a birthday at all ckck</v>
      </c>
    </row>
    <row r="3848" ht="15.75" customHeight="1">
      <c r="A3848" s="2">
        <v>3849.0</v>
      </c>
      <c r="B3848" s="5" t="s">
        <v>7020</v>
      </c>
      <c r="C3848" s="6">
        <v>2.0</v>
      </c>
      <c r="D3848" s="10" t="s">
        <v>7021</v>
      </c>
      <c r="E3848" s="8" t="str">
        <f>IFERROR(__xludf.DUMMYFUNCTION("googletranslate(D3848,""id"",""en"")"),"PPKM Ala Bucin.")</f>
        <v>PPKM Ala Bucin.</v>
      </c>
    </row>
    <row r="3849" ht="15.75" customHeight="1">
      <c r="A3849" s="2">
        <v>3850.0</v>
      </c>
      <c r="B3849" s="5" t="s">
        <v>7022</v>
      </c>
      <c r="C3849" s="6">
        <v>3.0</v>
      </c>
      <c r="D3849" s="7" t="s">
        <v>7023</v>
      </c>
      <c r="E3849" s="8" t="str">
        <f>IFERROR(__xludf.DUMMYFUNCTION("googletranslate(D3849,""id"",""en"")"),"Hoping once the PPKM has a positive impact to reduce the level of spread of pandemic")</f>
        <v>Hoping once the PPKM has a positive impact to reduce the level of spread of pandemic</v>
      </c>
    </row>
    <row r="3850" ht="15.75" customHeight="1">
      <c r="A3850" s="2">
        <v>3851.0</v>
      </c>
      <c r="B3850" s="5" t="s">
        <v>7024</v>
      </c>
      <c r="C3850" s="6">
        <v>2.0</v>
      </c>
      <c r="D3850" s="7" t="s">
        <v>7025</v>
      </c>
      <c r="E3850" s="8" t="str">
        <f>IFERROR(__xludf.DUMMYFUNCTION("googletranslate(D3850,""id"",""en"")"),"Hehehe fortunately there are those who send PPKM right")</f>
        <v>Hehehe fortunately there are those who send PPKM right</v>
      </c>
    </row>
    <row r="3851" ht="15.75" customHeight="1">
      <c r="A3851" s="2">
        <v>3852.0</v>
      </c>
      <c r="B3851" s="5" t="s">
        <v>7026</v>
      </c>
      <c r="C3851" s="6">
        <v>3.0</v>
      </c>
      <c r="D3851" s="7" t="s">
        <v>7027</v>
      </c>
      <c r="E3851" s="8" t="str">
        <f>IFERROR(__xludf.DUMMYFUNCTION("googletranslate(D3851,""id"",""en"")"),"Bansos are very useful at the time of the Emergency PPKM: //")</f>
        <v>Bansos are very useful at the time of the Emergency PPKM: //</v>
      </c>
    </row>
    <row r="3852" ht="15.75" customHeight="1">
      <c r="A3852" s="2">
        <v>3853.0</v>
      </c>
      <c r="B3852" s="5" t="s">
        <v>7028</v>
      </c>
      <c r="C3852" s="6">
        <v>1.0</v>
      </c>
      <c r="D3852" s="7" t="s">
        <v>7029</v>
      </c>
      <c r="E3852" s="8" t="str">
        <f>IFERROR(__xludf.DUMMYFUNCTION("googletranslate(D3852,""id"",""en"")"),"""Extended Emergency PPKM, the people scream""")</f>
        <v>"Extended Emergency PPKM, the people scream"</v>
      </c>
    </row>
    <row r="3853" ht="15.75" customHeight="1">
      <c r="A3853" s="2">
        <v>3854.0</v>
      </c>
      <c r="B3853" s="5" t="s">
        <v>7030</v>
      </c>
      <c r="C3853" s="6">
        <v>2.0</v>
      </c>
      <c r="D3853" s="7" t="s">
        <v>7031</v>
      </c>
      <c r="E3853" s="8" t="str">
        <f>IFERROR(__xludf.DUMMYFUNCTION("googletranslate(D3853,""id"",""en"")"),"Nder in September PPKM UDH level")</f>
        <v>Nder in September PPKM UDH level</v>
      </c>
    </row>
    <row r="3854" ht="15.75" customHeight="1">
      <c r="A3854" s="2">
        <v>3855.0</v>
      </c>
      <c r="B3854" s="5" t="s">
        <v>7032</v>
      </c>
      <c r="C3854" s="6">
        <v>3.0</v>
      </c>
      <c r="D3854" s="7" t="s">
        <v>7033</v>
      </c>
      <c r="E3854" s="8" t="str">
        <f>IFERROR(__xludf.DUMMYFUNCTION("googletranslate(D3854,""id"",""en"")"),"Hoping once the PPKM has a positive impact, can reduce the level of spread of the pandemic")</f>
        <v>Hoping once the PPKM has a positive impact, can reduce the level of spread of the pandemic</v>
      </c>
    </row>
    <row r="3855" ht="15.75" customHeight="1">
      <c r="A3855" s="2">
        <v>3856.0</v>
      </c>
      <c r="B3855" s="5" t="s">
        <v>7034</v>
      </c>
      <c r="C3855" s="6">
        <v>1.0</v>
      </c>
      <c r="D3855" s="7" t="s">
        <v>7035</v>
      </c>
      <c r="E3855" s="8" t="str">
        <f>IFERROR(__xludf.DUMMYFUNCTION("googletranslate(D3855,""id"",""en"")"),"PPKM told ... Keep the mosque ... piye ...")</f>
        <v>PPKM told ... Keep the mosque ... piye ...</v>
      </c>
    </row>
    <row r="3856" ht="15.75" customHeight="1">
      <c r="A3856" s="2">
        <v>3857.0</v>
      </c>
      <c r="B3856" s="5" t="s">
        <v>7036</v>
      </c>
      <c r="C3856" s="6">
        <v>3.0</v>
      </c>
      <c r="D3856" s="7" t="s">
        <v>7037</v>
      </c>
      <c r="E3856" s="8" t="str">
        <f>IFERROR(__xludf.DUMMYFUNCTION("googletranslate(D3856,""id"",""en"")"),"Hopefully the PPKM has a positive impact and can reduce the level of spread of Covid-19")</f>
        <v>Hopefully the PPKM has a positive impact and can reduce the level of spread of Covid-19</v>
      </c>
    </row>
    <row r="3857" ht="15.75" customHeight="1">
      <c r="A3857" s="2">
        <v>3858.0</v>
      </c>
      <c r="B3857" s="5" t="s">
        <v>7038</v>
      </c>
      <c r="C3857" s="6">
        <v>3.0</v>
      </c>
      <c r="D3857" s="7" t="s">
        <v>7039</v>
      </c>
      <c r="E3857" s="8" t="str">
        <f>IFERROR(__xludf.DUMMYFUNCTION("googletranslate(D3857,""id"",""en"")"),"We support PPKM. Welcome morning, may the Almighty God protect us all.")</f>
        <v>We support PPKM. Welcome morning, may the Almighty God protect us all.</v>
      </c>
    </row>
    <row r="3858" ht="15.75" customHeight="1">
      <c r="A3858" s="2">
        <v>3859.0</v>
      </c>
      <c r="B3858" s="5" t="s">
        <v>7040</v>
      </c>
      <c r="C3858" s="6">
        <v>1.0</v>
      </c>
      <c r="D3858" s="7" t="s">
        <v>7041</v>
      </c>
      <c r="E3858" s="8" t="str">
        <f>IFERROR(__xludf.DUMMYFUNCTION("googletranslate(D3858,""id"",""en"")"),"When the difficult situation and the Indonesian nation must fight Covid who are still heated, KSPI Chairperson Invites workers to hold a strike action")</f>
        <v>When the difficult situation and the Indonesian nation must fight Covid who are still heated, KSPI Chairperson Invites workers to hold a strike action</v>
      </c>
    </row>
    <row r="3859" ht="15.75" customHeight="1">
      <c r="A3859" s="2">
        <v>3860.0</v>
      </c>
      <c r="B3859" s="5" t="s">
        <v>7042</v>
      </c>
      <c r="C3859" s="6">
        <v>1.0</v>
      </c>
      <c r="D3859" s="7" t="s">
        <v>7042</v>
      </c>
      <c r="E3859" s="8" t="str">
        <f>IFERROR(__xludf.DUMMYFUNCTION("googletranslate(D3859,""id"",""en"")"),"I began to feel the effects of not good from PPKM. Reduced Transport Money Wkwkwkw")</f>
        <v>I began to feel the effects of not good from PPKM. Reduced Transport Money Wkwkwkw</v>
      </c>
    </row>
    <row r="3860" ht="15.75" customHeight="1">
      <c r="A3860" s="2">
        <v>3861.0</v>
      </c>
      <c r="B3860" s="5" t="s">
        <v>7043</v>
      </c>
      <c r="C3860" s="6">
        <v>2.0</v>
      </c>
      <c r="D3860" s="9" t="s">
        <v>7044</v>
      </c>
      <c r="E3860" s="8" t="str">
        <f>IFERROR(__xludf.DUMMYFUNCTION("googletranslate(D3860,""id"",""en"")"),"Hello, I want to extend my father's funeral letter but the funeral office is closed during the PPKM, how do you get a funeral from the TPU office? Source:")</f>
        <v>Hello, I want to extend my father's funeral letter but the funeral office is closed during the PPKM, how do you get a funeral from the TPU office? Source:</v>
      </c>
    </row>
    <row r="3861" ht="15.75" customHeight="1">
      <c r="A3861" s="2">
        <v>3862.0</v>
      </c>
      <c r="B3861" s="5" t="s">
        <v>7045</v>
      </c>
      <c r="C3861" s="6">
        <v>3.0</v>
      </c>
      <c r="D3861" s="7" t="s">
        <v>7046</v>
      </c>
      <c r="E3861" s="8" t="str">
        <f>IFERROR(__xludf.DUMMYFUNCTION("googletranslate(D3861,""id"",""en"")"),"Hopefully the PPKM has a positive impact, can reduce the level of spread of Covid-19")</f>
        <v>Hopefully the PPKM has a positive impact, can reduce the level of spread of Covid-19</v>
      </c>
    </row>
    <row r="3862" ht="15.75" customHeight="1">
      <c r="A3862" s="2">
        <v>3863.0</v>
      </c>
      <c r="B3862" s="5" t="s">
        <v>7047</v>
      </c>
      <c r="C3862" s="6">
        <v>1.0</v>
      </c>
      <c r="D3862" s="9" t="s">
        <v>7048</v>
      </c>
      <c r="E3862" s="8" t="str">
        <f>IFERROR(__xludf.DUMMYFUNCTION("googletranslate(D3862,""id"",""en"")"),"Who is not polite, I don't know ... already know the PPKM who tells the demonstration to bring SM Molotov ... talking about the polite who is not polite ... BTW Saudi already give vaccine assistance ... Where do you go ??")</f>
        <v>Who is not polite, I don't know ... already know the PPKM who tells the demonstration to bring SM Molotov ... talking about the polite who is not polite ... BTW Saudi already give vaccine assistance ... Where do you go ??</v>
      </c>
    </row>
    <row r="3863" ht="15.75" customHeight="1">
      <c r="A3863" s="2">
        <v>3864.0</v>
      </c>
      <c r="B3863" s="5" t="s">
        <v>7049</v>
      </c>
      <c r="C3863" s="6">
        <v>2.0</v>
      </c>
      <c r="D3863" s="7" t="s">
        <v>7050</v>
      </c>
      <c r="E3863" s="8" t="str">
        <f>IFERROR(__xludf.DUMMYFUNCTION("googletranslate(D3863,""id"",""en"")"),"PPKM is extended again")</f>
        <v>PPKM is extended again</v>
      </c>
    </row>
    <row r="3864" ht="15.75" customHeight="1">
      <c r="A3864" s="2">
        <v>3865.0</v>
      </c>
      <c r="B3864" s="5" t="s">
        <v>7051</v>
      </c>
      <c r="C3864" s="6">
        <v>3.0</v>
      </c>
      <c r="D3864" s="7" t="s">
        <v>7052</v>
      </c>
      <c r="E3864" s="8" t="str">
        <f>IFERROR(__xludf.DUMMYFUNCTION("googletranslate(D3864,""id"",""en"")"),"Hope PPKM has a positive impact, can reduce the level of spread of the pandemic")</f>
        <v>Hope PPKM has a positive impact, can reduce the level of spread of the pandemic</v>
      </c>
    </row>
    <row r="3865" ht="15.75" customHeight="1">
      <c r="A3865" s="2">
        <v>3866.0</v>
      </c>
      <c r="B3865" s="5" t="s">
        <v>7053</v>
      </c>
      <c r="C3865" s="6">
        <v>1.0</v>
      </c>
      <c r="D3865" s="9" t="s">
        <v>7054</v>
      </c>
      <c r="E3865" s="8" t="str">
        <f>IFERROR(__xludf.DUMMYFUNCTION("googletranslate(D3865,""id"",""en"")"),"What makes panic is not the people, but Elo the innocent officials arrange this. Use the term PSPB, PSBB, PPKM or whatever the name of the community should not be this, but the cost of eating takyiously is responsible. The elunmakin colleague is fun corru"&amp;"pt right? The country becomes bankrupt ...!")</f>
        <v>What makes panic is not the people, but Elo the innocent officials arrange this. Use the term PSPB, PSBB, PPKM or whatever the name of the community should not be this, but the cost of eating takyiously is responsible. The elunmakin colleague is fun corrupt right? The country becomes bankrupt ...!</v>
      </c>
    </row>
    <row r="3866" ht="15.75" customHeight="1">
      <c r="A3866" s="2">
        <v>3867.0</v>
      </c>
      <c r="B3866" s="5" t="s">
        <v>7055</v>
      </c>
      <c r="C3866" s="6">
        <v>2.0</v>
      </c>
      <c r="D3866" s="7" t="s">
        <v>7056</v>
      </c>
      <c r="E3866" s="8" t="str">
        <f>IFERROR(__xludf.DUMMYFUNCTION("googletranslate(D3866,""id"",""en"")"),"PPKmpagi-morning Kok Mules.")</f>
        <v>PPKmpagi-morning Kok Mules.</v>
      </c>
    </row>
    <row r="3867" ht="15.75" customHeight="1">
      <c r="A3867" s="2">
        <v>3868.0</v>
      </c>
      <c r="B3867" s="5" t="s">
        <v>7057</v>
      </c>
      <c r="C3867" s="6">
        <v>3.0</v>
      </c>
      <c r="D3867" s="7" t="s">
        <v>7058</v>
      </c>
      <c r="E3867" s="8" t="str">
        <f>IFERROR(__xludf.DUMMYFUNCTION("googletranslate(D3867,""id"",""en"")"),"Hopefully the PPKM has a positive impact, can reduce the level of spread of Covid-19")</f>
        <v>Hopefully the PPKM has a positive impact, can reduce the level of spread of Covid-19</v>
      </c>
    </row>
    <row r="3868" ht="15.75" customHeight="1">
      <c r="A3868" s="2">
        <v>3869.0</v>
      </c>
      <c r="B3868" s="5" t="s">
        <v>7059</v>
      </c>
      <c r="C3868" s="6">
        <v>2.0</v>
      </c>
      <c r="D3868" s="7" t="s">
        <v>7060</v>
      </c>
      <c r="E3868" s="8" t="str">
        <f>IFERROR(__xludf.DUMMYFUNCTION("googletranslate(D3868,""id"",""en"")"),"Independence poetry ahead of the 76th Indonesian Anniversary: ​​Independence in Emergency PPKM")</f>
        <v>Independence poetry ahead of the 76th Indonesian Anniversary: ​​Independence in Emergency PPKM</v>
      </c>
    </row>
    <row r="3869" ht="15.75" customHeight="1">
      <c r="A3869" s="2">
        <v>3870.0</v>
      </c>
      <c r="B3869" s="5" t="s">
        <v>7061</v>
      </c>
      <c r="C3869" s="6">
        <v>2.0</v>
      </c>
      <c r="D3869" s="7" t="s">
        <v>7062</v>
      </c>
      <c r="E3869" s="8" t="str">
        <f>IFERROR(__xludf.DUMMYFUNCTION("googletranslate(D3869,""id"",""en"")"),"PPKM level, hotter with additional rubber.")</f>
        <v>PPKM level, hotter with additional rubber.</v>
      </c>
    </row>
    <row r="3870" ht="15.75" customHeight="1">
      <c r="A3870" s="2">
        <v>3871.0</v>
      </c>
      <c r="B3870" s="5" t="s">
        <v>7063</v>
      </c>
      <c r="C3870" s="6">
        <v>2.0</v>
      </c>
      <c r="D3870" s="7" t="s">
        <v>7063</v>
      </c>
      <c r="E3870" s="8" t="str">
        <f>IFERROR(__xludf.DUMMYFUNCTION("googletranslate(D3870,""id"",""en"")"),"What's the meaning of PPKM")</f>
        <v>What's the meaning of PPKM</v>
      </c>
    </row>
    <row r="3871" ht="15.75" customHeight="1">
      <c r="A3871" s="2">
        <v>3872.0</v>
      </c>
      <c r="B3871" s="5" t="s">
        <v>7064</v>
      </c>
      <c r="C3871" s="6">
        <v>2.0</v>
      </c>
      <c r="D3871" s="7" t="s">
        <v>7065</v>
      </c>
      <c r="E3871" s="8" t="str">
        <f>IFERROR(__xludf.DUMMYFUNCTION("googletranslate(D3871,""id"",""en"")"),"PLIS who knows, PPKM Gini Bank office on open? Real!")</f>
        <v>PLIS who knows, PPKM Gini Bank office on open? Real!</v>
      </c>
    </row>
    <row r="3872" ht="15.75" customHeight="1">
      <c r="A3872" s="2">
        <v>3873.0</v>
      </c>
      <c r="B3872" s="5" t="s">
        <v>7066</v>
      </c>
      <c r="C3872" s="6">
        <v>3.0</v>
      </c>
      <c r="D3872" s="9" t="s">
        <v>7067</v>
      </c>
      <c r="E3872" s="8" t="str">
        <f>IFERROR(__xludf.DUMMYFUNCTION("googletranslate(D3872,""id"",""en"")"),"At the time of this PPKM. And hope that after the pandemic ends you want to be able to find work outside the city, look for new experiences and new friends. That's just brothers. Stay Safe and Stay Healthy All!")</f>
        <v>At the time of this PPKM. And hope that after the pandemic ends you want to be able to find work outside the city, look for new experiences and new friends. That's just brothers. Stay Safe and Stay Healthy All!</v>
      </c>
    </row>
    <row r="3873" ht="15.75" customHeight="1">
      <c r="A3873" s="2">
        <v>3874.0</v>
      </c>
      <c r="B3873" s="5" t="s">
        <v>7068</v>
      </c>
      <c r="C3873" s="6">
        <v>2.0</v>
      </c>
      <c r="D3873" s="7" t="s">
        <v>7069</v>
      </c>
      <c r="E3873" s="8" t="str">
        <f>IFERROR(__xludf.DUMMYFUNCTION("googletranslate(D3873,""id"",""en"")"),"Ppkm .... blm safe.")</f>
        <v>Ppkm .... blm safe.</v>
      </c>
    </row>
    <row r="3874" ht="15.75" customHeight="1">
      <c r="A3874" s="2">
        <v>3875.0</v>
      </c>
      <c r="B3874" s="5" t="s">
        <v>7070</v>
      </c>
      <c r="C3874" s="6">
        <v>2.0</v>
      </c>
      <c r="D3874" s="9" t="s">
        <v>7071</v>
      </c>
      <c r="E3874" s="8" t="str">
        <f>IFERROR(__xludf.DUMMYFUNCTION("googletranslate(D3874,""id"",""en"")"),"ppkm extends until I really can move on from my memories at the end")</f>
        <v>ppkm extends until I really can move on from my memories at the end</v>
      </c>
    </row>
    <row r="3875" ht="15.75" customHeight="1">
      <c r="A3875" s="2">
        <v>3876.0</v>
      </c>
      <c r="B3875" s="5" t="s">
        <v>7072</v>
      </c>
      <c r="C3875" s="6">
        <v>1.0</v>
      </c>
      <c r="D3875" s="7" t="s">
        <v>7073</v>
      </c>
      <c r="E3875" s="8" t="str">
        <f>IFERROR(__xludf.DUMMYFUNCTION("googletranslate(D3875,""id"",""en"")"),"Help Yuk PPKM Level also felt Bandung Zoo or Bandung Zoo. There is no more month income, making Bandung Zoo employee wages cut.")</f>
        <v>Help Yuk PPKM Level also felt Bandung Zoo or Bandung Zoo. There is no more month income, making Bandung Zoo employee wages cut.</v>
      </c>
    </row>
    <row r="3876" ht="15.75" customHeight="1">
      <c r="A3876" s="2">
        <v>3877.0</v>
      </c>
      <c r="B3876" s="5" t="s">
        <v>7074</v>
      </c>
      <c r="C3876" s="6">
        <v>2.0</v>
      </c>
      <c r="D3876" s="9" t="s">
        <v>7075</v>
      </c>
      <c r="E3876" s="8" t="str">
        <f>IFERROR(__xludf.DUMMYFUNCTION("googletranslate(D3876,""id"",""en"")"),"Again PPKM level if you want to walk everywhere you have to use a strp. A letter friend")</f>
        <v>Again PPKM level if you want to walk everywhere you have to use a strp. A letter friend</v>
      </c>
    </row>
    <row r="3877" ht="15.75" customHeight="1">
      <c r="A3877" s="2">
        <v>3878.0</v>
      </c>
      <c r="B3877" s="5" t="s">
        <v>7076</v>
      </c>
      <c r="C3877" s="6">
        <v>2.0</v>
      </c>
      <c r="D3877" s="9" t="s">
        <v>7077</v>
      </c>
      <c r="E3877" s="8" t="str">
        <f>IFERROR(__xludf.DUMMYFUNCTION("googletranslate(D3877,""id"",""en"")"),"x extended ppkm if it's still the same as the result, forced us to hold a penalty shootout!")</f>
        <v>x extended ppkm if it's still the same as the result, forced us to hold a penalty shootout!</v>
      </c>
    </row>
    <row r="3878" ht="15.75" customHeight="1">
      <c r="A3878" s="2">
        <v>3879.0</v>
      </c>
      <c r="B3878" s="5" t="s">
        <v>7078</v>
      </c>
      <c r="C3878" s="6">
        <v>3.0</v>
      </c>
      <c r="D3878" s="9" t="s">
        <v>7079</v>
      </c>
      <c r="E3878" s="8" t="str">
        <f>IFERROR(__xludf.DUMMYFUNCTION("googletranslate(D3878,""id"",""en"")"),"It's possible for your mobility but it doesn't mean your reject is limited. What else is the government even though the Multi Dimensional Bansos for the community. So don't ever ignore the prokes, join the vaccine for your family's safety")</f>
        <v>It's possible for your mobility but it doesn't mean your reject is limited. What else is the government even though the Multi Dimensional Bansos for the community. So don't ever ignore the prokes, join the vaccine for your family's safety</v>
      </c>
    </row>
    <row r="3879" ht="15.75" customHeight="1">
      <c r="A3879" s="2">
        <v>3880.0</v>
      </c>
      <c r="B3879" s="5" t="s">
        <v>7080</v>
      </c>
      <c r="C3879" s="6">
        <v>1.0</v>
      </c>
      <c r="D3879" s="9" t="s">
        <v>7080</v>
      </c>
      <c r="E3879" s="8" t="str">
        <f>IFERROR(__xludf.DUMMYFUNCTION("googletranslate(D3879,""id"",""en"")"),"Again PPKM gini instead played out satay. ""An crowded wkwkwk, it was said but even nyinir in SW Hadeuh.")</f>
        <v>Again PPKM gini instead played out satay. "An crowded wkwkwk, it was said but even nyinir in SW Hadeuh.</v>
      </c>
    </row>
    <row r="3880" ht="15.75" customHeight="1">
      <c r="A3880" s="2">
        <v>3881.0</v>
      </c>
      <c r="B3880" s="5" t="s">
        <v>7081</v>
      </c>
      <c r="C3880" s="6">
        <v>2.0</v>
      </c>
      <c r="D3880" s="7" t="s">
        <v>7082</v>
      </c>
      <c r="E3880" s="8" t="str">
        <f>IFERROR(__xludf.DUMMYFUNCTION("googletranslate(D3880,""id"",""en"")"),"Sorry, I want to ask, for the coach of the PPKM Road? Is there an exception for people who want to go vaccine? thank you")</f>
        <v>Sorry, I want to ask, for the coach of the PPKM Road? Is there an exception for people who want to go vaccine? thank you</v>
      </c>
    </row>
    <row r="3881" ht="15.75" customHeight="1">
      <c r="A3881" s="2">
        <v>3882.0</v>
      </c>
      <c r="B3881" s="5" t="s">
        <v>7083</v>
      </c>
      <c r="C3881" s="6">
        <v>1.0</v>
      </c>
      <c r="D3881" s="9" t="s">
        <v>7084</v>
      </c>
      <c r="E3881" s="8" t="str">
        <f>IFERROR(__xludf.DUMMYFUNCTION("googletranslate(D3881,""id"",""en"")"),"You already know this again PPKM. You already know the case also goes up and down. Do you say it's cheerful ?????? deliberate careless?")</f>
        <v>You already know this again PPKM. You already know the case also goes up and down. Do you say it's cheerful ?????? deliberate careless?</v>
      </c>
    </row>
    <row r="3882" ht="15.75" customHeight="1">
      <c r="A3882" s="2">
        <v>3883.0</v>
      </c>
      <c r="B3882" s="5" t="s">
        <v>7085</v>
      </c>
      <c r="C3882" s="6">
        <v>3.0</v>
      </c>
      <c r="D3882" s="7" t="s">
        <v>7086</v>
      </c>
      <c r="E3882" s="8" t="str">
        <f>IFERROR(__xludf.DUMMYFUNCTION("googletranslate(D3882,""id"",""en"")"),"PPKM level continued, there are a number of rules adjustments submitted by the President in this PPKM period. Let's see the ny infographics so that you get a hoax, and ... still the proced discipline and join vaccination!")</f>
        <v>PPKM level continued, there are a number of rules adjustments submitted by the President in this PPKM period. Let's see the ny infographics so that you get a hoax, and ... still the proced discipline and join vaccination!</v>
      </c>
    </row>
    <row r="3883" ht="15.75" customHeight="1">
      <c r="A3883" s="2">
        <v>3884.0</v>
      </c>
      <c r="B3883" s="5" t="s">
        <v>7087</v>
      </c>
      <c r="C3883" s="6">
        <v>2.0</v>
      </c>
      <c r="D3883" s="7" t="s">
        <v>7088</v>
      </c>
      <c r="E3883" s="8" t="str">
        <f>IFERROR(__xludf.DUMMYFUNCTION("googletranslate(D3883,""id"",""en"")"),"Hehe Alhamdulillah During the PPKM there is a neighbor who sells at Pasarv sent Vegetables to Home")</f>
        <v>Hehe Alhamdulillah During the PPKM there is a neighbor who sells at Pasarv sent Vegetables to Home</v>
      </c>
    </row>
    <row r="3884" ht="15.75" customHeight="1">
      <c r="A3884" s="2">
        <v>3885.0</v>
      </c>
      <c r="B3884" s="5" t="s">
        <v>7089</v>
      </c>
      <c r="C3884" s="6">
        <v>2.0</v>
      </c>
      <c r="D3884" s="7" t="s">
        <v>7089</v>
      </c>
      <c r="E3884" s="8" t="str">
        <f>IFERROR(__xludf.DUMMYFUNCTION("googletranslate(D3884,""id"",""en"")"),"PPKM extended until the girl finished grooming")</f>
        <v>PPKM extended until the girl finished grooming</v>
      </c>
    </row>
    <row r="3885" ht="15.75" customHeight="1">
      <c r="A3885" s="2">
        <v>3886.0</v>
      </c>
      <c r="B3885" s="5" t="s">
        <v>7090</v>
      </c>
      <c r="C3885" s="6">
        <v>3.0</v>
      </c>
      <c r="D3885" s="7" t="s">
        <v>7091</v>
      </c>
      <c r="E3885" s="8" t="str">
        <f>IFERROR(__xludf.DUMMYFUNCTION("googletranslate(D3885,""id"",""en"")"),"Meme jokes, satire, to the rejection of an emergency ppkm extension")</f>
        <v>Meme jokes, satire, to the rejection of an emergency ppkm extension</v>
      </c>
    </row>
    <row r="3886" ht="15.75" customHeight="1">
      <c r="A3886" s="2">
        <v>3887.0</v>
      </c>
      <c r="B3886" s="5" t="s">
        <v>7092</v>
      </c>
      <c r="C3886" s="6">
        <v>1.0</v>
      </c>
      <c r="D3886" s="7" t="s">
        <v>7092</v>
      </c>
      <c r="E3886" s="8" t="str">
        <f>IFERROR(__xludf.DUMMYFUNCTION("googletranslate(D3886,""id"",""en"")"),"Gosh ... I need gramed date but the mall closes because of PPKM Anjg especially extended. Sht.")</f>
        <v>Gosh ... I need gramed date but the mall closes because of PPKM Anjg especially extended. Sht.</v>
      </c>
    </row>
    <row r="3887" ht="15.75" customHeight="1">
      <c r="A3887" s="2">
        <v>3888.0</v>
      </c>
      <c r="B3887" s="5" t="s">
        <v>7093</v>
      </c>
      <c r="C3887" s="6">
        <v>1.0</v>
      </c>
      <c r="D3887" s="10" t="s">
        <v>7094</v>
      </c>
      <c r="E3887" s="8" t="str">
        <f>IFERROR(__xludf.DUMMYFUNCTION("googletranslate(D3887,""id"",""en"")"),"Stop PPKM")</f>
        <v>Stop PPKM</v>
      </c>
    </row>
    <row r="3888" ht="15.75" customHeight="1">
      <c r="A3888" s="2">
        <v>3889.0</v>
      </c>
      <c r="B3888" s="5" t="s">
        <v>7095</v>
      </c>
      <c r="C3888" s="6">
        <v>3.0</v>
      </c>
      <c r="D3888" s="9" t="s">
        <v>7096</v>
      </c>
      <c r="E3888" s="8" t="str">
        <f>IFERROR(__xludf.DUMMYFUNCTION("googletranslate(D3888,""id"",""en"")"),"Consideration of aspects of health, economics, n social dynamics, the government decided to extend PPKM level to August. PPKM level previously called Emergency PPKM has been applied since July.")</f>
        <v>Consideration of aspects of health, economics, n social dynamics, the government decided to extend PPKM level to August. PPKM level previously called Emergency PPKM has been applied since July.</v>
      </c>
    </row>
    <row r="3889" ht="15.75" customHeight="1">
      <c r="A3889" s="2">
        <v>3890.0</v>
      </c>
      <c r="B3889" s="5" t="s">
        <v>7097</v>
      </c>
      <c r="C3889" s="6">
        <v>2.0</v>
      </c>
      <c r="D3889" s="7" t="s">
        <v>7098</v>
      </c>
      <c r="E3889" s="8" t="str">
        <f>IFERROR(__xludf.DUMMYFUNCTION("googletranslate(D3889,""id"",""en"")"),"It's never closed the ibuk if it's open at the time of even PPKM. Hmm, if it's dry, it's hard to break up yesterday ... But make a safe road.")</f>
        <v>It's never closed the ibuk if it's open at the time of even PPKM. Hmm, if it's dry, it's hard to break up yesterday ... But make a safe road.</v>
      </c>
    </row>
    <row r="3890" ht="15.75" customHeight="1">
      <c r="A3890" s="2">
        <v>3891.0</v>
      </c>
      <c r="B3890" s="5" t="s">
        <v>7099</v>
      </c>
      <c r="C3890" s="6">
        <v>2.0</v>
      </c>
      <c r="D3890" s="7" t="s">
        <v>7100</v>
      </c>
      <c r="E3890" s="8" t="str">
        <f>IFERROR(__xludf.DUMMYFUNCTION("googletranslate(D3890,""id"",""en"")"),"Morneng, still strong Kan PPKM extended ???")</f>
        <v>Morneng, still strong Kan PPKM extended ???</v>
      </c>
    </row>
    <row r="3891" ht="15.75" customHeight="1">
      <c r="A3891" s="2">
        <v>3892.0</v>
      </c>
      <c r="B3891" s="5" t="s">
        <v>7101</v>
      </c>
      <c r="C3891" s="6">
        <v>3.0</v>
      </c>
      <c r="D3891" s="7" t="s">
        <v>7102</v>
      </c>
      <c r="E3891" s="8" t="str">
        <f>IFERROR(__xludf.DUMMYFUNCTION("googletranslate(D3891,""id"",""en"")"),"PPKM level continued with adjustments, the government continues to strive for people affected by the pandemic will receive bansos. So do not worry about the government to care when the pandemic and do not remain silent.")</f>
        <v>PPKM level continued with adjustments, the government continues to strive for people affected by the pandemic will receive bansos. So do not worry about the government to care when the pandemic and do not remain silent.</v>
      </c>
    </row>
    <row r="3892" ht="15.75" customHeight="1">
      <c r="A3892" s="2">
        <v>3893.0</v>
      </c>
      <c r="B3892" s="5" t="s">
        <v>7103</v>
      </c>
      <c r="C3892" s="6">
        <v>1.0</v>
      </c>
      <c r="D3892" s="9" t="s">
        <v>7104</v>
      </c>
      <c r="E3892" s="8" t="str">
        <f>IFERROR(__xludf.DUMMYFUNCTION("googletranslate(D3892,""id"",""en"")"),"What do you say ""but the end is the same ... there's proof of the video in the pesantren"" if the santri ""is kissing the hands of the Kyai Slma PPKM? It's hard to know about the real condition of the pesantren, what is the narrative of negative.")</f>
        <v>What do you say "but the end is the same ... there's proof of the video in the pesantren" if the santri "is kissing the hands of the Kyai Slma PPKM? It's hard to know about the real condition of the pesantren, what is the narrative of negative.</v>
      </c>
    </row>
    <row r="3893" ht="15.75" customHeight="1">
      <c r="A3893" s="2">
        <v>3894.0</v>
      </c>
      <c r="B3893" s="5" t="s">
        <v>7105</v>
      </c>
      <c r="C3893" s="6">
        <v>3.0</v>
      </c>
      <c r="D3893" s="7" t="s">
        <v>7106</v>
      </c>
      <c r="E3893" s="8" t="str">
        <f>IFERROR(__xludf.DUMMYFUNCTION("googletranslate(D3893,""id"",""en"")"),"To reduce the number of Kovid cases that are still relatively high, let's share it and who are still confused what PPKM level is, let's see the complete rule here")</f>
        <v>To reduce the number of Kovid cases that are still relatively high, let's share it and who are still confused what PPKM level is, let's see the complete rule here</v>
      </c>
    </row>
    <row r="3894" ht="15.75" customHeight="1">
      <c r="A3894" s="2">
        <v>3895.0</v>
      </c>
      <c r="B3894" s="5" t="s">
        <v>7107</v>
      </c>
      <c r="C3894" s="6">
        <v>3.0</v>
      </c>
      <c r="D3894" s="7" t="s">
        <v>7108</v>
      </c>
      <c r="E3894" s="8" t="str">
        <f>IFERROR(__xludf.DUMMYFUNCTION("googletranslate(D3894,""id"",""en"")"),"PPKM is extended and the social assistance will drop in accordance with the rules and needs of the community, hopefully Covit will soon be tired")</f>
        <v>PPKM is extended and the social assistance will drop in accordance with the rules and needs of the community, hopefully Covit will soon be tired</v>
      </c>
    </row>
    <row r="3895" ht="15.75" customHeight="1">
      <c r="A3895" s="2">
        <v>3896.0</v>
      </c>
      <c r="B3895" s="5" t="s">
        <v>7109</v>
      </c>
      <c r="C3895" s="6">
        <v>3.0</v>
      </c>
      <c r="D3895" s="9" t="s">
        <v>7110</v>
      </c>
      <c r="E3895" s="8" t="str">
        <f>IFERROR(__xludf.DUMMYFUNCTION("googletranslate(D3895,""id"",""en"")"),"Bima Arya Sugiarto Supports the Extension of PPKM Level from the beginning of the Covid-19 case of its commitment has never changed, always supporting the central government policy. I really like the Pak Mayor of Bogor")</f>
        <v>Bima Arya Sugiarto Supports the Extension of PPKM Level from the beginning of the Covid-19 case of its commitment has never changed, always supporting the central government policy. I really like the Pak Mayor of Bogor</v>
      </c>
    </row>
    <row r="3896" ht="15.75" customHeight="1">
      <c r="A3896" s="2">
        <v>3897.0</v>
      </c>
      <c r="B3896" s="5" t="s">
        <v>7111</v>
      </c>
      <c r="C3896" s="6">
        <v>3.0</v>
      </c>
      <c r="D3896" s="7" t="s">
        <v>7112</v>
      </c>
      <c r="E3896" s="8" t="str">
        <f>IFERROR(__xludf.DUMMYFUNCTION("googletranslate(D3896,""id"",""en"")"),"Consider the aspect of health, economy and social dynamics, it was decided to continue PPKM level until August.")</f>
        <v>Consider the aspect of health, economy and social dynamics, it was decided to continue PPKM level until August.</v>
      </c>
    </row>
    <row r="3897" ht="15.75" customHeight="1">
      <c r="A3897" s="2">
        <v>3898.0</v>
      </c>
      <c r="B3897" s="5" t="s">
        <v>7113</v>
      </c>
      <c r="C3897" s="6">
        <v>2.0</v>
      </c>
      <c r="D3897" s="9" t="s">
        <v>7113</v>
      </c>
      <c r="E3897" s="8" t="str">
        <f>IFERROR(__xludf.DUMMYFUNCTION("googletranslate(D3897,""id"",""en"")"),"/ Wal PPKM insulation info in any location?")</f>
        <v>/ Wal PPKM insulation info in any location?</v>
      </c>
    </row>
    <row r="3898" ht="15.75" customHeight="1">
      <c r="A3898" s="2">
        <v>3899.0</v>
      </c>
      <c r="B3898" s="5" t="s">
        <v>7114</v>
      </c>
      <c r="C3898" s="6">
        <v>3.0</v>
      </c>
      <c r="D3898" s="7" t="s">
        <v>7115</v>
      </c>
      <c r="E3898" s="8" t="str">
        <f>IFERROR(__xludf.DUMMYFUNCTION("googletranslate(D3898,""id"",""en"")"),"Deputy Secretary General of the PPP emphasized that there should be no tolerance to violations of the CPMM provisions. He suggested that in the implementation of his enforcement put forward the humanist approach not to violence")</f>
        <v>Deputy Secretary General of the PPP emphasized that there should be no tolerance to violations of the CPMM provisions. He suggested that in the implementation of his enforcement put forward the humanist approach not to violence</v>
      </c>
    </row>
    <row r="3899" ht="15.75" customHeight="1">
      <c r="A3899" s="2">
        <v>3900.0</v>
      </c>
      <c r="B3899" s="5" t="s">
        <v>7116</v>
      </c>
      <c r="C3899" s="6">
        <v>1.0</v>
      </c>
      <c r="D3899" s="7" t="s">
        <v>7117</v>
      </c>
      <c r="E3899" s="8" t="str">
        <f>IFERROR(__xludf.DUMMYFUNCTION("googletranslate(D3899,""id"",""en"")"),"Steady sir, this is simple and effective I think the price budget is more useful for the implementation of the lockdown, yes compared to the spicy PPKM")</f>
        <v>Steady sir, this is simple and effective I think the price budget is more useful for the implementation of the lockdown, yes compared to the spicy PPKM</v>
      </c>
    </row>
    <row r="3900" ht="15.75" customHeight="1">
      <c r="A3900" s="2">
        <v>3901.0</v>
      </c>
      <c r="B3900" s="5" t="s">
        <v>7118</v>
      </c>
      <c r="C3900" s="6">
        <v>2.0</v>
      </c>
      <c r="D3900" s="9" t="s">
        <v>7119</v>
      </c>
      <c r="E3900" s="8" t="str">
        <f>IFERROR(__xludf.DUMMYFUNCTION("googletranslate(D3900,""id"",""en"")"),"During the PPKM this level if you eat ayce that the minute means that you enter?")</f>
        <v>During the PPKM this level if you eat ayce that the minute means that you enter?</v>
      </c>
    </row>
    <row r="3901" ht="15.75" customHeight="1">
      <c r="A3901" s="2">
        <v>3902.0</v>
      </c>
      <c r="B3901" s="5" t="s">
        <v>7120</v>
      </c>
      <c r="C3901" s="6">
        <v>1.0</v>
      </c>
      <c r="D3901" s="9" t="s">
        <v>7121</v>
      </c>
      <c r="E3901" s="8" t="str">
        <f>IFERROR(__xludf.DUMMYFUNCTION("googletranslate(D3901,""id"",""en"")"),"PPKM level .. Eat can be placed only minutes ... If the waiter is mostly asked, eating time can be reduced ... (please install the ALRM ... !!), Swear ... ni rules make foot want to laugh,")</f>
        <v>PPKM level .. Eat can be placed only minutes ... If the waiter is mostly asked, eating time can be reduced ... (please install the ALRM ... !!), Swear ... ni rules make foot want to laugh,</v>
      </c>
    </row>
    <row r="3902" ht="15.75" customHeight="1">
      <c r="A3902" s="2">
        <v>3903.0</v>
      </c>
      <c r="B3902" s="5" t="s">
        <v>7122</v>
      </c>
      <c r="C3902" s="6">
        <v>1.0</v>
      </c>
      <c r="D3902" s="7" t="s">
        <v>7123</v>
      </c>
      <c r="E3902" s="8" t="str">
        <f>IFERROR(__xludf.DUMMYFUNCTION("googletranslate(D3902,""id"",""en"")"),"PPKM (Mind dizzy is less money). PPKM (Mr. President when to retreat)")</f>
        <v>PPKM (Mind dizzy is less money). PPKM (Mr. President when to retreat)</v>
      </c>
    </row>
    <row r="3903" ht="15.75" customHeight="1">
      <c r="A3903" s="2">
        <v>3904.0</v>
      </c>
      <c r="B3903" s="5" t="s">
        <v>7124</v>
      </c>
      <c r="C3903" s="6">
        <v>1.0</v>
      </c>
      <c r="D3903" s="9" t="s">
        <v>7125</v>
      </c>
      <c r="E3903" s="8" t="str">
        <f>IFERROR(__xludf.DUMMYFUNCTION("googletranslate(D3903,""id"",""en"")"),"PPKM gada solution, which is destined to add to Yakalo, guaranteed and guaranteed. Yakalo in the class of Rafatar with Sisca Kohl Hhmmmmmmm. niru other countries that are ppkm but their point is prosperous. Haluuu Ta Pean")</f>
        <v>PPKM gada solution, which is destined to add to Yakalo, guaranteed and guaranteed. Yakalo in the class of Rafatar with Sisca Kohl Hhmmmmmmm. niru other countries that are ppkm but their point is prosperous. Haluuu Ta Pean</v>
      </c>
    </row>
    <row r="3904" ht="15.75" customHeight="1">
      <c r="A3904" s="2">
        <v>3905.0</v>
      </c>
      <c r="B3904" s="5" t="s">
        <v>7126</v>
      </c>
      <c r="C3904" s="6">
        <v>1.0</v>
      </c>
      <c r="D3904" s="7" t="s">
        <v>7127</v>
      </c>
      <c r="E3904" s="8" t="str">
        <f>IFERROR(__xludf.DUMMYFUNCTION("googletranslate(D3904,""id"",""en"")"),"Ga all ppkm extended until the period just sir? Let the people get more miserable hehe. Also awaited PPKM level max, sir")</f>
        <v>Ga all ppkm extended until the period just sir? Let the people get more miserable hehe. Also awaited PPKM level max, sir</v>
      </c>
    </row>
    <row r="3905" ht="15.75" customHeight="1">
      <c r="A3905" s="2">
        <v>3906.0</v>
      </c>
      <c r="B3905" s="5" t="s">
        <v>7128</v>
      </c>
      <c r="C3905" s="6">
        <v>2.0</v>
      </c>
      <c r="D3905" s="7" t="s">
        <v>7129</v>
      </c>
      <c r="E3905" s="8" t="str">
        <f>IFERROR(__xludf.DUMMYFUNCTION("googletranslate(D3905,""id"",""en"")"),"So curious about the PPKM level advanced program")</f>
        <v>So curious about the PPKM level advanced program</v>
      </c>
    </row>
    <row r="3906" ht="15.75" customHeight="1">
      <c r="A3906" s="2">
        <v>3907.0</v>
      </c>
      <c r="B3906" s="5" t="s">
        <v>7130</v>
      </c>
      <c r="C3906" s="6">
        <v>3.0</v>
      </c>
      <c r="D3906" s="7" t="s">
        <v>7131</v>
      </c>
      <c r="E3906" s="8" t="str">
        <f>IFERROR(__xludf.DUMMYFUNCTION("googletranslate(D3906,""id"",""en"")"),"Congratulations on the second morning PPKM level still obeyed the prokes using a mask to make you add cute girl. Congratulations on the morning of moga moga smoothly and success today is super greetings.")</f>
        <v>Congratulations on the second morning PPKM level still obeyed the prokes using a mask to make you add cute girl. Congratulations on the morning of moga moga smoothly and success today is super greetings.</v>
      </c>
    </row>
    <row r="3907" ht="15.75" customHeight="1">
      <c r="A3907" s="2">
        <v>3908.0</v>
      </c>
      <c r="B3907" s="5" t="s">
        <v>7132</v>
      </c>
      <c r="C3907" s="6">
        <v>3.0</v>
      </c>
      <c r="D3907" s="7" t="s">
        <v>7133</v>
      </c>
      <c r="E3907" s="8" t="str">
        <f>IFERROR(__xludf.DUMMYFUNCTION("googletranslate(D3907,""id"",""en"")"),"Simple yuuu live projection vaccine &amp; amp; Follow the PPKM Level Support Jokowi")</f>
        <v>Simple yuuu live projection vaccine &amp; amp; Follow the PPKM Level Support Jokowi</v>
      </c>
    </row>
    <row r="3908" ht="15.75" customHeight="1">
      <c r="A3908" s="2">
        <v>3909.0</v>
      </c>
      <c r="B3908" s="5" t="s">
        <v>7134</v>
      </c>
      <c r="C3908" s="6">
        <v>2.0</v>
      </c>
      <c r="D3908" s="7" t="s">
        <v>7135</v>
      </c>
      <c r="E3908" s="8" t="str">
        <f>IFERROR(__xludf.DUMMYFUNCTION("googletranslate(D3908,""id"",""en"")"),"Min ppkm this is a vehicle tax extension can be served in samsat kah")</f>
        <v>Min ppkm this is a vehicle tax extension can be served in samsat kah</v>
      </c>
    </row>
    <row r="3909" ht="15.75" customHeight="1">
      <c r="A3909" s="2">
        <v>3910.0</v>
      </c>
      <c r="B3909" s="5" t="s">
        <v>7136</v>
      </c>
      <c r="C3909" s="6">
        <v>1.0</v>
      </c>
      <c r="D3909" s="9" t="s">
        <v>7137</v>
      </c>
      <c r="E3909" s="8" t="str">
        <f>IFERROR(__xludf.DUMMYFUNCTION("googletranslate(D3909,""id"",""en"")"),"It seems that we don't have to blame about the hijab, because the wrong here is a mistake he violates the PPKM rules right? Dear Satpol PP who read these tweets with respect please immediately follow and give sanctions to him. Thank you")</f>
        <v>It seems that we don't have to blame about the hijab, because the wrong here is a mistake he violates the PPKM rules right? Dear Satpol PP who read these tweets with respect please immediately follow and give sanctions to him. Thank you</v>
      </c>
    </row>
    <row r="3910" ht="15.75" customHeight="1">
      <c r="A3910" s="2">
        <v>3911.0</v>
      </c>
      <c r="B3910" s="5" t="s">
        <v>7138</v>
      </c>
      <c r="C3910" s="6">
        <v>1.0</v>
      </c>
      <c r="D3910" s="9" t="s">
        <v>7138</v>
      </c>
      <c r="E3910" s="8" t="str">
        <f>IFERROR(__xludf.DUMMYFUNCTION("googletranslate(D3910,""id"",""en"")"),"start your pages by going to Blok M even though PPKM")</f>
        <v>start your pages by going to Blok M even though PPKM</v>
      </c>
    </row>
    <row r="3911" ht="15.75" customHeight="1">
      <c r="A3911" s="2">
        <v>3912.0</v>
      </c>
      <c r="B3911" s="5" t="s">
        <v>7139</v>
      </c>
      <c r="C3911" s="6">
        <v>1.0</v>
      </c>
      <c r="D3911" s="9" t="s">
        <v>7139</v>
      </c>
      <c r="E3911" s="8" t="str">
        <f>IFERROR(__xludf.DUMMYFUNCTION("googletranslate(D3911,""id"",""en"")"),"The spicy PPKM level in Pekanbaru So Far was monitored safely and was controlled, there was no default hit")</f>
        <v>The spicy PPKM level in Pekanbaru So Far was monitored safely and was controlled, there was no default hit</v>
      </c>
    </row>
    <row r="3912" ht="15.75" customHeight="1">
      <c r="A3912" s="2">
        <v>3913.0</v>
      </c>
      <c r="B3912" s="5" t="s">
        <v>7140</v>
      </c>
      <c r="C3912" s="6">
        <v>2.0</v>
      </c>
      <c r="D3912" s="9" t="s">
        <v>7141</v>
      </c>
      <c r="E3912" s="8" t="str">
        <f>IFERROR(__xludf.DUMMYFUNCTION("googletranslate(D3912,""id"",""en"")"),"If the ppkm is finished and pandemic, want to be happy to the house of relatives, it hasn't seen it, yesterday just married, and I can't come to huhuuu, hopefully it gets to improve your boss")</f>
        <v>If the ppkm is finished and pandemic, want to be happy to the house of relatives, it hasn't seen it, yesterday just married, and I can't come to huhuuu, hopefully it gets to improve your boss</v>
      </c>
    </row>
    <row r="3913" ht="15.75" customHeight="1">
      <c r="A3913" s="2">
        <v>3914.0</v>
      </c>
      <c r="B3913" s="5" t="s">
        <v>7142</v>
      </c>
      <c r="C3913" s="6">
        <v>1.0</v>
      </c>
      <c r="D3913" s="7" t="s">
        <v>7143</v>
      </c>
      <c r="E3913" s="8" t="str">
        <f>IFERROR(__xludf.DUMMYFUNCTION("googletranslate(D3913,""id"",""en"")"),"Eh, I want to go to KSNA Kmren Mbak, but it's not going to KRL Krl Krna PPKM is extended")</f>
        <v>Eh, I want to go to KSNA Kmren Mbak, but it's not going to KRL Krl Krna PPKM is extended</v>
      </c>
    </row>
    <row r="3914" ht="15.75" customHeight="1">
      <c r="A3914" s="2">
        <v>3915.0</v>
      </c>
      <c r="B3914" s="5" t="s">
        <v>7144</v>
      </c>
      <c r="C3914" s="6">
        <v>1.0</v>
      </c>
      <c r="D3914" s="7" t="s">
        <v>7145</v>
      </c>
      <c r="E3914" s="8" t="str">
        <f>IFERROR(__xludf.DUMMYFUNCTION("googletranslate(D3914,""id"",""en"")"),"Ni ppkm ngefek big bgt to my grandmother area but want to go again .....")</f>
        <v>Ni ppkm ngefek big bgt to my grandmother area but want to go again .....</v>
      </c>
    </row>
    <row r="3915" ht="15.75" customHeight="1">
      <c r="A3915" s="2">
        <v>3916.0</v>
      </c>
      <c r="B3915" s="5" t="s">
        <v>7146</v>
      </c>
      <c r="C3915" s="6">
        <v>2.0</v>
      </c>
      <c r="D3915" s="7" t="s">
        <v>7147</v>
      </c>
      <c r="E3915" s="8" t="str">
        <f>IFERROR(__xludf.DUMMYFUNCTION("googletranslate(D3915,""id"",""en"")"),"F00 Taiwan, KK ...? Ppkm kak ...?")</f>
        <v>F00 Taiwan, KK ...? Ppkm kak ...?</v>
      </c>
    </row>
    <row r="3916" ht="15.75" customHeight="1">
      <c r="A3916" s="2">
        <v>3917.0</v>
      </c>
      <c r="B3916" s="5" t="s">
        <v>7148</v>
      </c>
      <c r="C3916" s="6">
        <v>2.0</v>
      </c>
      <c r="D3916" s="9" t="s">
        <v>7149</v>
      </c>
      <c r="E3916" s="8" t="str">
        <f>IFERROR(__xludf.DUMMYFUNCTION("googletranslate(D3916,""id"",""en"")"),"PPKM version of the hug you mba ...")</f>
        <v>PPKM version of the hug you mba ...</v>
      </c>
    </row>
    <row r="3917" ht="15.75" customHeight="1">
      <c r="A3917" s="2">
        <v>3918.0</v>
      </c>
      <c r="B3917" s="5" t="s">
        <v>7150</v>
      </c>
      <c r="C3917" s="6">
        <v>2.0</v>
      </c>
      <c r="D3917" s="7" t="s">
        <v>7151</v>
      </c>
      <c r="E3917" s="8" t="str">
        <f>IFERROR(__xludf.DUMMYFUNCTION("googletranslate(D3917,""id"",""en"")"),"The President announced continuing PPKM level from July to August.")</f>
        <v>The President announced continuing PPKM level from July to August.</v>
      </c>
    </row>
    <row r="3918" ht="15.75" customHeight="1">
      <c r="A3918" s="2">
        <v>3919.0</v>
      </c>
      <c r="B3918" s="5" t="s">
        <v>7152</v>
      </c>
      <c r="C3918" s="6">
        <v>2.0</v>
      </c>
      <c r="D3918" s="7" t="s">
        <v>7153</v>
      </c>
      <c r="E3918" s="8" t="str">
        <f>IFERROR(__xludf.DUMMYFUNCTION("googletranslate(D3918,""id"",""en"")"),"When do you finish Little PPKM?")</f>
        <v>When do you finish Little PPKM?</v>
      </c>
    </row>
    <row r="3919" ht="15.75" customHeight="1">
      <c r="A3919" s="2">
        <v>3920.0</v>
      </c>
      <c r="B3919" s="5" t="s">
        <v>7154</v>
      </c>
      <c r="C3919" s="6">
        <v>2.0</v>
      </c>
      <c r="D3919" s="7" t="s">
        <v>7155</v>
      </c>
      <c r="E3919" s="8" t="str">
        <f>IFERROR(__xludf.DUMMYFUNCTION("googletranslate(D3919,""id"",""en"")"),"Dah invented, now eating, because PPKM then replaced the Gopay K balance")</f>
        <v>Dah invented, now eating, because PPKM then replaced the Gopay K balance</v>
      </c>
    </row>
    <row r="3920" ht="15.75" customHeight="1">
      <c r="A3920" s="2">
        <v>3921.0</v>
      </c>
      <c r="B3920" s="5" t="s">
        <v>7156</v>
      </c>
      <c r="C3920" s="6">
        <v>1.0</v>
      </c>
      <c r="D3920" s="9" t="s">
        <v>7157</v>
      </c>
      <c r="E3920" s="8" t="str">
        <f>IFERROR(__xludf.DUMMYFUNCTION("googletranslate(D3920,""id"",""en"")"),"The one who says you are afraid of the KLU KLU KLU guaranteed, the stomach is full of sleep, it's good , it's poor, but it can die")</f>
        <v>The one who says you are afraid of the KLU KLU KLU guaranteed, the stomach is full of sleep, it's good , it's poor, but it can die</v>
      </c>
    </row>
    <row r="3921" ht="15.75" customHeight="1">
      <c r="A3921" s="2">
        <v>3922.0</v>
      </c>
      <c r="B3921" s="5" t="s">
        <v>7158</v>
      </c>
      <c r="C3921" s="6">
        <v>1.0</v>
      </c>
      <c r="D3921" s="7" t="s">
        <v>7158</v>
      </c>
      <c r="E3921" s="8" t="str">
        <f>IFERROR(__xludf.DUMMYFUNCTION("googletranslate(D3921,""id"",""en"")"),"my class friend likes to hang out pdhl ppkm, already")</f>
        <v>my class friend likes to hang out pdhl ppkm, already</v>
      </c>
    </row>
    <row r="3922" ht="15.75" customHeight="1">
      <c r="A3922" s="2">
        <v>3923.0</v>
      </c>
      <c r="B3922" s="5" t="s">
        <v>7159</v>
      </c>
      <c r="C3922" s="6">
        <v>3.0</v>
      </c>
      <c r="D3922" s="9" t="s">
        <v>7160</v>
      </c>
      <c r="E3922" s="8" t="str">
        <f>IFERROR(__xludf.DUMMYFUNCTION("googletranslate(D3922,""id"",""en"")"),"Morning my friend. There is good news again, this PPKM, the government provides assistance with electrical discounts. Electricity stimulus is expected to ease the burden of the community during the PPKM period. How can it be? Let's look at this thread")</f>
        <v>Morning my friend. There is good news again, this PPKM, the government provides assistance with electrical discounts. Electricity stimulus is expected to ease the burden of the community during the PPKM period. How can it be? Let's look at this thread</v>
      </c>
    </row>
    <row r="3923" ht="15.75" customHeight="1">
      <c r="A3923" s="2">
        <v>3924.0</v>
      </c>
      <c r="B3923" s="5" t="s">
        <v>7161</v>
      </c>
      <c r="C3923" s="6">
        <v>2.0</v>
      </c>
      <c r="D3923" s="7" t="s">
        <v>7162</v>
      </c>
      <c r="E3923" s="8" t="str">
        <f>IFERROR(__xludf.DUMMYFUNCTION("googletranslate(D3923,""id"",""en"")"),"Yes, still PPKM")</f>
        <v>Yes, still PPKM</v>
      </c>
    </row>
    <row r="3924" ht="15.75" customHeight="1">
      <c r="A3924" s="2">
        <v>3925.0</v>
      </c>
      <c r="B3924" s="5" t="s">
        <v>7163</v>
      </c>
      <c r="C3924" s="6">
        <v>1.0</v>
      </c>
      <c r="D3924" s="7" t="s">
        <v>7163</v>
      </c>
      <c r="E3924" s="8" t="str">
        <f>IFERROR(__xludf.DUMMYFUNCTION("googletranslate(D3924,""id"",""en"")"),"ppkm is not finished, instead my relationship is finished")</f>
        <v>ppkm is not finished, instead my relationship is finished</v>
      </c>
    </row>
    <row r="3925" ht="15.75" customHeight="1">
      <c r="A3925" s="2">
        <v>3926.0</v>
      </c>
      <c r="B3925" s="5" t="s">
        <v>7164</v>
      </c>
      <c r="C3925" s="6">
        <v>1.0</v>
      </c>
      <c r="D3925" s="7" t="s">
        <v>7165</v>
      </c>
      <c r="E3925" s="8" t="str">
        <f>IFERROR(__xludf.DUMMYFUNCTION("googletranslate(D3925,""id"",""en"")"),"The new routine of the morning since the PPKM is a car, but where do you do it.")</f>
        <v>The new routine of the morning since the PPKM is a car, but where do you do it.</v>
      </c>
    </row>
    <row r="3926" ht="15.75" customHeight="1">
      <c r="A3926" s="2">
        <v>3927.0</v>
      </c>
      <c r="B3926" s="5" t="s">
        <v>7166</v>
      </c>
      <c r="C3926" s="6">
        <v>1.0</v>
      </c>
      <c r="D3926" s="7" t="s">
        <v>7166</v>
      </c>
      <c r="E3926" s="8" t="str">
        <f>IFERROR(__xludf.DUMMYFUNCTION("googletranslate(D3926,""id"",""en"")"),"Where PPKM, to the place is very much from the parking lot provided")</f>
        <v>Where PPKM, to the place is very much from the parking lot provided</v>
      </c>
    </row>
    <row r="3927" ht="15.75" customHeight="1">
      <c r="A3927" s="2">
        <v>3928.0</v>
      </c>
      <c r="B3927" s="5" t="s">
        <v>7167</v>
      </c>
      <c r="C3927" s="6">
        <v>1.0</v>
      </c>
      <c r="D3927" s="7" t="s">
        <v>7168</v>
      </c>
      <c r="E3927" s="8" t="str">
        <f>IFERROR(__xludf.DUMMYFUNCTION("googletranslate(D3927,""id"",""en"")"),"Ma'am likes to post words of wisdom and wise, I don't think I can say: Delivered and fried again as if suggesting the people, who poured their demo and amp; Friends of the supply of drugs and food to PPKM affected people, read !!!")</f>
        <v>Ma'am likes to post words of wisdom and wise, I don't think I can say: Delivered and fried again as if suggesting the people, who poured their demo and amp; Friends of the supply of drugs and food to PPKM affected people, read !!!</v>
      </c>
    </row>
    <row r="3928" ht="15.75" customHeight="1">
      <c r="A3928" s="2">
        <v>3929.0</v>
      </c>
      <c r="B3928" s="5" t="s">
        <v>7169</v>
      </c>
      <c r="C3928" s="6">
        <v>2.0</v>
      </c>
      <c r="D3928" s="9" t="s">
        <v>7170</v>
      </c>
      <c r="E3928" s="8" t="str">
        <f>IFERROR(__xludf.DUMMYFUNCTION("googletranslate(D3928,""id"",""en"")"),"The term ppkm honestly I didn't know the extension, because at that time I had time to ngapinin PSBB (large-scale social restrictions), eh he replaced the term again, just if asked the middle of the road reporters, could answer the term ngapalin also ^ _ "&amp;"^")</f>
        <v>The term ppkm honestly I didn't know the extension, because at that time I had time to ngapinin PSBB (large-scale social restrictions), eh he replaced the term again, just if asked the middle of the road reporters, could answer the term ngapalin also ^ _ ^</v>
      </c>
    </row>
    <row r="3929" ht="15.75" customHeight="1">
      <c r="A3929" s="2">
        <v>3930.0</v>
      </c>
      <c r="B3929" s="5" t="s">
        <v>7171</v>
      </c>
      <c r="C3929" s="6">
        <v>1.0</v>
      </c>
      <c r="D3929" s="7" t="s">
        <v>7172</v>
      </c>
      <c r="E3929" s="8" t="str">
        <f>IFERROR(__xludf.DUMMYFUNCTION("googletranslate(D3929,""id"",""en"")"),"Assalamualaikum, in the morning ... praying, plan to go to banten, want to learn Debus, so that it can eat the same nail wire, for Keep PPKM smpe met the activity")</f>
        <v>Assalamualaikum, in the morning ... praying, plan to go to banten, want to learn Debus, so that it can eat the same nail wire, for Keep PPKM smpe met the activity</v>
      </c>
    </row>
    <row r="3930" ht="15.75" customHeight="1">
      <c r="A3930" s="2">
        <v>3931.0</v>
      </c>
      <c r="B3930" s="5" t="s">
        <v>7173</v>
      </c>
      <c r="C3930" s="6">
        <v>1.0</v>
      </c>
      <c r="D3930" s="7" t="s">
        <v>7174</v>
      </c>
      <c r="E3930" s="8" t="str">
        <f>IFERROR(__xludf.DUMMYFUNCTION("googletranslate(D3930,""id"",""en"")"),"Yes, the viral grgr made the PPKM right event.")</f>
        <v>Yes, the viral grgr made the PPKM right event.</v>
      </c>
    </row>
    <row r="3931" ht="15.75" customHeight="1">
      <c r="A3931" s="2">
        <v>3932.0</v>
      </c>
      <c r="B3931" s="5" t="s">
        <v>7175</v>
      </c>
      <c r="C3931" s="6">
        <v>2.0</v>
      </c>
      <c r="D3931" s="9" t="s">
        <v>7176</v>
      </c>
      <c r="E3931" s="8" t="str">
        <f>IFERROR(__xludf.DUMMYFUNCTION("googletranslate(D3931,""id"",""en"")"),"Items there are rich people who are interested in exchange a week with my family while the PPKM is extended so that it feels the atmosphere of PPKM like me and the family")</f>
        <v>Items there are rich people who are interested in exchange a week with my family while the PPKM is extended so that it feels the atmosphere of PPKM like me and the family</v>
      </c>
    </row>
    <row r="3932" ht="15.75" customHeight="1">
      <c r="A3932" s="2">
        <v>3933.0</v>
      </c>
      <c r="B3932" s="5" t="s">
        <v>7177</v>
      </c>
      <c r="C3932" s="6">
        <v>2.0</v>
      </c>
      <c r="D3932" s="9" t="s">
        <v>7178</v>
      </c>
      <c r="E3932" s="8" t="str">
        <f>IFERROR(__xludf.DUMMYFUNCTION("googletranslate(D3932,""id"",""en"")"),"In the morning open tweet ... my brain traveling everywhere ... again PPKM too")</f>
        <v>In the morning open tweet ... my brain traveling everywhere ... again PPKM too</v>
      </c>
    </row>
    <row r="3933" ht="15.75" customHeight="1">
      <c r="A3933" s="2">
        <v>3934.0</v>
      </c>
      <c r="B3933" s="5" t="s">
        <v>7179</v>
      </c>
      <c r="C3933" s="6">
        <v>1.0</v>
      </c>
      <c r="D3933" s="7" t="s">
        <v>7180</v>
      </c>
      <c r="E3933" s="8" t="str">
        <f>IFERROR(__xludf.DUMMYFUNCTION("googletranslate(D3933,""id"",""en"")"),"PPKM Level Economy Nyungsep Level")</f>
        <v>PPKM Level Economy Nyungsep Level</v>
      </c>
    </row>
    <row r="3934" ht="15.75" customHeight="1">
      <c r="A3934" s="2">
        <v>3935.0</v>
      </c>
      <c r="B3934" s="5" t="s">
        <v>7181</v>
      </c>
      <c r="C3934" s="6">
        <v>1.0</v>
      </c>
      <c r="D3934" s="9" t="s">
        <v>7182</v>
      </c>
      <c r="E3934" s="8" t="str">
        <f>IFERROR(__xludf.DUMMYFUNCTION("googletranslate(D3934,""id"",""en"")"),"not lazy or busy ... before the pandemic is routine precision, ordinary illness such as malaria, flu etc. then want to routinely like mna ??")</f>
        <v>not lazy or busy ... before the pandemic is routine precision, ordinary illness such as malaria, flu etc. then want to routinely like mna ??</v>
      </c>
    </row>
    <row r="3935" ht="15.75" customHeight="1">
      <c r="A3935" s="2">
        <v>3936.0</v>
      </c>
      <c r="B3935" s="5" t="s">
        <v>7183</v>
      </c>
      <c r="C3935" s="6">
        <v>2.0</v>
      </c>
      <c r="D3935" s="9" t="s">
        <v>7184</v>
      </c>
      <c r="E3935" s="8" t="str">
        <f>IFERROR(__xludf.DUMMYFUNCTION("googletranslate(D3935,""id"",""en"")"),"yet, as long as I was still as far as I didn't work")</f>
        <v>yet, as long as I was still as far as I didn't work</v>
      </c>
    </row>
    <row r="3936" ht="15.75" customHeight="1">
      <c r="A3936" s="2">
        <v>3937.0</v>
      </c>
      <c r="B3936" s="5" t="s">
        <v>7185</v>
      </c>
      <c r="C3936" s="6">
        <v>1.0</v>
      </c>
      <c r="D3936" s="7" t="s">
        <v>7186</v>
      </c>
      <c r="E3936" s="8" t="str">
        <f>IFERROR(__xludf.DUMMYFUNCTION("googletranslate(D3936,""id"",""en"")"),"Most will be canceled or limited, the reason for the PPKM Level-Levellan is extended again.")</f>
        <v>Most will be canceled or limited, the reason for the PPKM Level-Levellan is extended again.</v>
      </c>
    </row>
    <row r="3937" ht="15.75" customHeight="1">
      <c r="A3937" s="2">
        <v>3938.0</v>
      </c>
      <c r="B3937" s="5" t="s">
        <v>7187</v>
      </c>
      <c r="C3937" s="6">
        <v>3.0</v>
      </c>
      <c r="D3937" s="7" t="s">
        <v>7188</v>
      </c>
      <c r="E3937" s="8" t="str">
        <f>IFERROR(__xludf.DUMMYFUNCTION("googletranslate(D3937,""id"",""en"")"),"President Jokowi added Bansos when PPKM Level. Take care of Indonesia")</f>
        <v>President Jokowi added Bansos when PPKM Level. Take care of Indonesia</v>
      </c>
    </row>
    <row r="3938" ht="15.75" customHeight="1">
      <c r="A3938" s="2">
        <v>3939.0</v>
      </c>
      <c r="B3938" s="5" t="s">
        <v>7189</v>
      </c>
      <c r="C3938" s="6">
        <v>1.0</v>
      </c>
      <c r="D3938" s="9" t="s">
        <v>7190</v>
      </c>
      <c r="E3938" s="8" t="str">
        <f>IFERROR(__xludf.DUMMYFUNCTION("googletranslate(D3938,""id"",""en"")"),"the goblxgnya kubun2 anjir waste money setxn, first divided the bansos anjir, ppkm already how many weeks bansos in the area I just shared a barcode out a week again .. our mother's death? Elo, whose Pantes is dead setxn ..")</f>
        <v>the goblxgnya kubun2 anjir waste money setxn, first divided the bansos anjir, ppkm already how many weeks bansos in the area I just shared a barcode out a week again .. our mother's death? Elo, whose Pantes is dead setxn ..</v>
      </c>
    </row>
    <row r="3939" ht="15.75" customHeight="1">
      <c r="A3939" s="2">
        <v>3940.0</v>
      </c>
      <c r="B3939" s="5" t="s">
        <v>7191</v>
      </c>
      <c r="C3939" s="6">
        <v>2.0</v>
      </c>
      <c r="D3939" s="9" t="s">
        <v>7192</v>
      </c>
      <c r="E3939" s="8" t="str">
        <f>IFERROR(__xludf.DUMMYFUNCTION("googletranslate(D3939,""id"",""en"")"),"Tulungagung Regional Police and the Covid Task Force held PPKM Level operations on the border entering Kab. Tulungagung")</f>
        <v>Tulungagung Regional Police and the Covid Task Force held PPKM Level operations on the border entering Kab. Tulungagung</v>
      </c>
    </row>
    <row r="3940" ht="15.75" customHeight="1">
      <c r="A3940" s="2">
        <v>3941.0</v>
      </c>
      <c r="B3940" s="5" t="s">
        <v>7193</v>
      </c>
      <c r="C3940" s="6">
        <v>1.0</v>
      </c>
      <c r="D3940" s="9" t="s">
        <v>7193</v>
      </c>
      <c r="E3940" s="8" t="str">
        <f>IFERROR(__xludf.DUMMYFUNCTION("googletranslate(D3940,""id"",""en"")"),"Actually yesterday there was a friend who drove a PPKM. In my opinion, how come it's a ppkm, how come it's hard if you look for the road. But, it's hard to say Covid is an ordinary illness. You know how it feels, has never been ngernasain. I hope you are "&amp;"healthy healthy")</f>
        <v>Actually yesterday there was a friend who drove a PPKM. In my opinion, how come it's a ppkm, how come it's hard if you look for the road. But, it's hard to say Covid is an ordinary illness. You know how it feels, has never been ngernasain. I hope you are healthy healthy</v>
      </c>
    </row>
    <row r="3941" ht="15.75" customHeight="1">
      <c r="A3941" s="2">
        <v>3942.0</v>
      </c>
      <c r="B3941" s="5" t="s">
        <v>7194</v>
      </c>
      <c r="C3941" s="6">
        <v>1.0</v>
      </c>
      <c r="D3941" s="7" t="s">
        <v>7194</v>
      </c>
      <c r="E3941" s="8" t="str">
        <f>IFERROR(__xludf.DUMMYFUNCTION("googletranslate(D3941,""id"",""en"")"),"Yes, PPKM, but it's hard to close the road?")</f>
        <v>Yes, PPKM, but it's hard to close the road?</v>
      </c>
    </row>
    <row r="3942" ht="15.75" customHeight="1">
      <c r="A3942" s="2">
        <v>3943.0</v>
      </c>
      <c r="B3942" s="5" t="s">
        <v>7195</v>
      </c>
      <c r="C3942" s="6">
        <v>1.0</v>
      </c>
      <c r="D3942" s="7" t="s">
        <v>7196</v>
      </c>
      <c r="E3942" s="8" t="str">
        <f>IFERROR(__xludf.DUMMYFUNCTION("googletranslate(D3942,""id"",""en"")"),"Xixixi, pantesan above the spirit yes shouted ppkm even though it can pass a shortcut because this is just a priority.")</f>
        <v>Xixixi, pantesan above the spirit yes shouted ppkm even though it can pass a shortcut because this is just a priority.</v>
      </c>
    </row>
    <row r="3943" ht="15.75" customHeight="1">
      <c r="A3943" s="2">
        <v>3944.0</v>
      </c>
      <c r="B3943" s="5" t="s">
        <v>7197</v>
      </c>
      <c r="C3943" s="6">
        <v>2.0</v>
      </c>
      <c r="D3943" s="7" t="s">
        <v>7198</v>
      </c>
      <c r="E3943" s="8" t="str">
        <f>IFERROR(__xludf.DUMMYFUNCTION("googletranslate(D3943,""id"",""en"")"),"Between - Head of BNPB Review PPKM Post and Covid-19 Selter in Sleman")</f>
        <v>Between - Head of BNPB Review PPKM Post and Covid-19 Selter in Sleman</v>
      </c>
    </row>
    <row r="3944" ht="15.75" customHeight="1">
      <c r="A3944" s="2">
        <v>3945.0</v>
      </c>
      <c r="B3944" s="5" t="s">
        <v>7199</v>
      </c>
      <c r="C3944" s="6">
        <v>1.0</v>
      </c>
      <c r="D3944" s="7" t="s">
        <v>7200</v>
      </c>
      <c r="E3944" s="8" t="str">
        <f>IFERROR(__xludf.DUMMYFUNCTION("googletranslate(D3944,""id"",""en"")"),"So the people love to eat, needs to be fulfilled, so that the people at the NGK house roam. It's a PPKM Want to be tightened But the people ngk give you eating? It is a turn that violates using the health quarantine law, but the people have been fulfilled"&amp;" according to the Health Quarantine Law.")</f>
        <v>So the people love to eat, needs to be fulfilled, so that the people at the NGK house roam. It's a PPKM Want to be tightened But the people ngk give you eating? It is a turn that violates using the health quarantine law, but the people have been fulfilled according to the Health Quarantine Law.</v>
      </c>
    </row>
    <row r="3945" ht="15.75" customHeight="1">
      <c r="A3945" s="2">
        <v>3946.0</v>
      </c>
      <c r="B3945" s="5" t="s">
        <v>7201</v>
      </c>
      <c r="C3945" s="6">
        <v>1.0</v>
      </c>
      <c r="D3945" s="7" t="s">
        <v>7202</v>
      </c>
      <c r="E3945" s="8" t="str">
        <f>IFERROR(__xludf.DUMMYFUNCTION("googletranslate(D3945,""id"",""en"")"),"Maybe lh bang for the effect of ppkm this month ...")</f>
        <v>Maybe lh bang for the effect of ppkm this month ...</v>
      </c>
    </row>
    <row r="3946" ht="15.75" customHeight="1">
      <c r="A3946" s="2">
        <v>3947.0</v>
      </c>
      <c r="B3946" s="5" t="s">
        <v>7203</v>
      </c>
      <c r="C3946" s="6">
        <v>2.0</v>
      </c>
      <c r="D3946" s="7" t="s">
        <v>7204</v>
      </c>
      <c r="E3946" s="8" t="str">
        <f>IFERROR(__xludf.DUMMYFUNCTION("googletranslate(D3946,""id"",""en"")"),"Means that it doesn't continue with a penalty shootout, the PPKM is ...")</f>
        <v>Means that it doesn't continue with a penalty shootout, the PPKM is ...</v>
      </c>
    </row>
    <row r="3947" ht="15.75" customHeight="1">
      <c r="A3947" s="2">
        <v>3948.0</v>
      </c>
      <c r="B3947" s="5" t="s">
        <v>7205</v>
      </c>
      <c r="C3947" s="6">
        <v>1.0</v>
      </c>
      <c r="D3947" s="7" t="s">
        <v>7205</v>
      </c>
      <c r="E3947" s="8" t="str">
        <f>IFERROR(__xludf.DUMMYFUNCTION("googletranslate(D3947,""id"",""en"")"),"Already know ppkm there is bae that makes it complicated")</f>
        <v>Already know ppkm there is bae that makes it complicated</v>
      </c>
    </row>
    <row r="3948" ht="15.75" customHeight="1">
      <c r="A3948" s="2">
        <v>3949.0</v>
      </c>
      <c r="B3948" s="5" t="s">
        <v>7206</v>
      </c>
      <c r="C3948" s="6">
        <v>3.0</v>
      </c>
      <c r="D3948" s="7" t="s">
        <v>7207</v>
      </c>
      <c r="E3948" s="8" t="str">
        <f>IFERROR(__xludf.DUMMYFUNCTION("googletranslate(D3948,""id"",""en"")"),"DPR Leaders Support PPKM Level Extended: For the Safety of the People's Life Caring for Indonesia")</f>
        <v>DPR Leaders Support PPKM Level Extended: For the Safety of the People's Life Caring for Indonesia</v>
      </c>
    </row>
    <row r="3949" ht="15.75" customHeight="1">
      <c r="A3949" s="2">
        <v>3950.0</v>
      </c>
      <c r="B3949" s="5" t="s">
        <v>7208</v>
      </c>
      <c r="C3949" s="6">
        <v>3.0</v>
      </c>
      <c r="D3949" s="7" t="s">
        <v>7209</v>
      </c>
      <c r="E3949" s="8" t="str">
        <f>IFERROR(__xludf.DUMMYFUNCTION("googletranslate(D3949,""id"",""en"")"),"PPKM appears to show results")</f>
        <v>PPKM appears to show results</v>
      </c>
    </row>
    <row r="3950" ht="15.75" customHeight="1">
      <c r="A3950" s="2">
        <v>3951.0</v>
      </c>
      <c r="B3950" s="5" t="s">
        <v>7210</v>
      </c>
      <c r="C3950" s="6">
        <v>2.0</v>
      </c>
      <c r="D3950" s="7" t="s">
        <v>7211</v>
      </c>
      <c r="E3950" s="8" t="str">
        <f>IFERROR(__xludf.DUMMYFUNCTION("googletranslate(D3950,""id"",""en"")"),"During the PPKM this wake up Despicable")</f>
        <v>During the PPKM this wake up Despicable</v>
      </c>
    </row>
    <row r="3951" ht="15.75" customHeight="1">
      <c r="A3951" s="2">
        <v>3952.0</v>
      </c>
      <c r="B3951" s="5" t="s">
        <v>7212</v>
      </c>
      <c r="C3951" s="6">
        <v>2.0</v>
      </c>
      <c r="D3951" s="7" t="s">
        <v>7213</v>
      </c>
      <c r="E3951" s="8" t="str">
        <f>IFERROR(__xludf.DUMMYFUNCTION("googletranslate(D3951,""id"",""en"")"),"PPKM activities in the morning")</f>
        <v>PPKM activities in the morning</v>
      </c>
    </row>
    <row r="3952" ht="15.75" customHeight="1">
      <c r="A3952" s="2">
        <v>3953.0</v>
      </c>
      <c r="B3952" s="5" t="s">
        <v>7214</v>
      </c>
      <c r="C3952" s="6">
        <v>1.0</v>
      </c>
      <c r="D3952" s="7" t="s">
        <v>7215</v>
      </c>
      <c r="E3952" s="8" t="str">
        <f>IFERROR(__xludf.DUMMYFUNCTION("googletranslate(D3952,""id"",""en"")"),"Akotoyyy, anyways yes, the PPKM person understands GPLK. In fact, there is a birthday event, thinking.")</f>
        <v>Akotoyyy, anyways yes, the PPKM person understands GPLK. In fact, there is a birthday event, thinking.</v>
      </c>
    </row>
    <row r="3953" ht="15.75" customHeight="1">
      <c r="A3953" s="2">
        <v>3954.0</v>
      </c>
      <c r="B3953" s="5" t="s">
        <v>7216</v>
      </c>
      <c r="C3953" s="6">
        <v>3.0</v>
      </c>
      <c r="D3953" s="9" t="s">
        <v>7217</v>
      </c>
      <c r="E3953" s="8" t="str">
        <f>IFERROR(__xludf.DUMMYFUNCTION("googletranslate(D3953,""id"",""en"")"),"PPKM shows a decrease in the spread, continued KN PPKM Level Please watch the vaccine distribution, the Bansos that are right on target MSME moves again, continued KN PA")</f>
        <v>PPKM shows a decrease in the spread, continued KN PPKM Level Please watch the vaccine distribution, the Bansos that are right on target MSME moves again, continued KN PA</v>
      </c>
    </row>
    <row r="3954" ht="15.75" customHeight="1">
      <c r="A3954" s="2">
        <v>3955.0</v>
      </c>
      <c r="B3954" s="5" t="s">
        <v>7218</v>
      </c>
      <c r="C3954" s="6">
        <v>1.0</v>
      </c>
      <c r="D3954" s="9" t="s">
        <v>7219</v>
      </c>
      <c r="E3954" s="8" t="str">
        <f>IFERROR(__xludf.DUMMYFUNCTION("googletranslate(D3954,""id"",""en"")"),"how do you want to meet if I have a ppkm")</f>
        <v>how do you want to meet if I have a ppkm</v>
      </c>
    </row>
    <row r="3955" ht="15.75" customHeight="1">
      <c r="A3955" s="2">
        <v>3956.0</v>
      </c>
      <c r="B3955" s="5" t="s">
        <v>7220</v>
      </c>
      <c r="C3955" s="6">
        <v>1.0</v>
      </c>
      <c r="D3955" s="7" t="s">
        <v>7221</v>
      </c>
      <c r="E3955" s="8" t="str">
        <f>IFERROR(__xludf.DUMMYFUNCTION("googletranslate(D3955,""id"",""en"")"),"Jdi skarang tax money used to pay for the cost of a member of the House of Representatives in a star hotel? People who are hard to find money when PPKM is required to set aside some of the money to support the people's representatives? How come there are "&amp;"people who do zolim zolim in congregation ...")</f>
        <v>Jdi skarang tax money used to pay for the cost of a member of the House of Representatives in a star hotel? People who are hard to find money when PPKM is required to set aside some of the money to support the people's representatives? How come there are people who do zolim zolim in congregation ...</v>
      </c>
    </row>
    <row r="3956" ht="15.75" customHeight="1">
      <c r="A3956" s="2">
        <v>3957.0</v>
      </c>
      <c r="B3956" s="5" t="s">
        <v>7222</v>
      </c>
      <c r="C3956" s="6">
        <v>2.0</v>
      </c>
      <c r="D3956" s="10" t="s">
        <v>7223</v>
      </c>
      <c r="E3956" s="8" t="str">
        <f>IFERROR(__xludf.DUMMYFUNCTION("googletranslate(D3956,""id"",""en"")"),"Kuyy's PPKM")</f>
        <v>Kuyy's PPKM</v>
      </c>
    </row>
    <row r="3957" ht="15.75" customHeight="1">
      <c r="A3957" s="2">
        <v>3958.0</v>
      </c>
      <c r="B3957" s="5" t="s">
        <v>7224</v>
      </c>
      <c r="C3957" s="6">
        <v>2.0</v>
      </c>
      <c r="D3957" s="7" t="s">
        <v>7225</v>
      </c>
      <c r="E3957" s="8" t="str">
        <f>IFERROR(__xludf.DUMMYFUNCTION("googletranslate(D3957,""id"",""en"")"),"Even though PPKM can still be staycation")</f>
        <v>Even though PPKM can still be staycation</v>
      </c>
    </row>
    <row r="3958" ht="15.75" customHeight="1">
      <c r="A3958" s="2">
        <v>3959.0</v>
      </c>
      <c r="B3958" s="5" t="s">
        <v>7226</v>
      </c>
      <c r="C3958" s="6">
        <v>2.0</v>
      </c>
      <c r="D3958" s="7" t="s">
        <v>7227</v>
      </c>
      <c r="E3958" s="8" t="str">
        <f>IFERROR(__xludf.DUMMYFUNCTION("googletranslate(D3958,""id"",""en"")"),"Don't be sad. Ppkm twitter ya")</f>
        <v>Don't be sad. Ppkm twitter ya</v>
      </c>
    </row>
    <row r="3959" ht="15.75" customHeight="1">
      <c r="A3959" s="2">
        <v>3960.0</v>
      </c>
      <c r="B3959" s="5" t="s">
        <v>7228</v>
      </c>
      <c r="C3959" s="6">
        <v>1.0</v>
      </c>
      <c r="D3959" s="7" t="s">
        <v>7229</v>
      </c>
      <c r="E3959" s="8" t="str">
        <f>IFERROR(__xludf.DUMMYFUNCTION("googletranslate(D3959,""id"",""en"")"),"who asked for a PPKM Jokowi until the Kadrun asked Jokowi to step down, so Covid dropped what was praised by Anies? Basic Kadrun Tengik.")</f>
        <v>who asked for a PPKM Jokowi until the Kadrun asked Jokowi to step down, so Covid dropped what was praised by Anies? Basic Kadrun Tengik.</v>
      </c>
    </row>
    <row r="3960" ht="15.75" customHeight="1">
      <c r="A3960" s="2">
        <v>3961.0</v>
      </c>
      <c r="B3960" s="5" t="s">
        <v>7230</v>
      </c>
      <c r="C3960" s="6">
        <v>1.0</v>
      </c>
      <c r="D3960" s="7" t="s">
        <v>7231</v>
      </c>
      <c r="E3960" s="8" t="str">
        <f>IFERROR(__xludf.DUMMYFUNCTION("googletranslate(D3960,""id"",""en"")"),"yes try a neighbor but I also do it, again PPKM instead celebration")</f>
        <v>yes try a neighbor but I also do it, again PPKM instead celebration</v>
      </c>
    </row>
    <row r="3961" ht="15.75" customHeight="1">
      <c r="A3961" s="2">
        <v>3962.0</v>
      </c>
      <c r="B3961" s="5" t="s">
        <v>7232</v>
      </c>
      <c r="C3961" s="6">
        <v>1.0</v>
      </c>
      <c r="D3961" s="9" t="s">
        <v>7233</v>
      </c>
      <c r="E3961" s="8" t="str">
        <f>IFERROR(__xludf.DUMMYFUNCTION("googletranslate(D3961,""id"",""en"")"),"It's up to him what is up to him but you know it's out there people are hard to make a living because their PPKM but they are the title of a luxury no mask. I see the heart hurt, well")</f>
        <v>It's up to him what is up to him but you know it's out there people are hard to make a living because their PPKM but they are the title of a luxury no mask. I see the heart hurt, well</v>
      </c>
    </row>
    <row r="3962" ht="15.75" customHeight="1">
      <c r="A3962" s="2">
        <v>3963.0</v>
      </c>
      <c r="B3962" s="5" t="s">
        <v>7234</v>
      </c>
      <c r="C3962" s="6">
        <v>1.0</v>
      </c>
      <c r="D3962" s="7" t="s">
        <v>7235</v>
      </c>
      <c r="E3962" s="8" t="str">
        <f>IFERROR(__xludf.DUMMYFUNCTION("googletranslate(D3962,""id"",""en"")"),"If the PPKM continues to extend our opponent")</f>
        <v>If the PPKM continues to extend our opponent</v>
      </c>
    </row>
    <row r="3963" ht="15.75" customHeight="1">
      <c r="A3963" s="2">
        <v>3964.0</v>
      </c>
      <c r="B3963" s="5" t="s">
        <v>7236</v>
      </c>
      <c r="C3963" s="6">
        <v>1.0</v>
      </c>
      <c r="D3963" s="7" t="s">
        <v>7237</v>
      </c>
      <c r="E3963" s="8" t="str">
        <f>IFERROR(__xludf.DUMMYFUNCTION("googletranslate(D3963,""id"",""en"")"),"Rather complicated ppkm")</f>
        <v>Rather complicated ppkm</v>
      </c>
    </row>
    <row r="3964" ht="15.75" customHeight="1">
      <c r="A3964" s="2">
        <v>3965.0</v>
      </c>
      <c r="B3964" s="5" t="s">
        <v>7238</v>
      </c>
      <c r="C3964" s="6">
        <v>2.0</v>
      </c>
      <c r="D3964" s="7" t="s">
        <v>7239</v>
      </c>
      <c r="E3964" s="8" t="str">
        <f>IFERROR(__xludf.DUMMYFUNCTION("googletranslate(D3964,""id"",""en"")"),"PPKMPagi - Morning Property of the ex hehe")</f>
        <v>PPKMPagi - Morning Property of the ex hehe</v>
      </c>
    </row>
    <row r="3965" ht="15.75" customHeight="1">
      <c r="A3965" s="2">
        <v>3966.0</v>
      </c>
      <c r="B3965" s="5" t="s">
        <v>7240</v>
      </c>
      <c r="C3965" s="6">
        <v>2.0</v>
      </c>
      <c r="D3965" s="7" t="s">
        <v>7241</v>
      </c>
      <c r="E3965" s="8" t="str">
        <f>IFERROR(__xludf.DUMMYFUNCTION("googletranslate(D3965,""id"",""en"")"),"Can it be a ppkm gini?")</f>
        <v>Can it be a ppkm gini?</v>
      </c>
    </row>
    <row r="3966" ht="15.75" customHeight="1">
      <c r="A3966" s="2">
        <v>3967.0</v>
      </c>
      <c r="B3966" s="5" t="s">
        <v>7242</v>
      </c>
      <c r="C3966" s="6">
        <v>2.0</v>
      </c>
      <c r="D3966" s="9" t="s">
        <v>7243</v>
      </c>
      <c r="E3966" s="8" t="str">
        <f>IFERROR(__xludf.DUMMYFUNCTION("googletranslate(D3966,""id"",""en"")"),"LOVE GAMES LEVEL, GANJEN AND AND PPKM LEVEL ... because it empathizes it doesn't have to experience or manage")</f>
        <v>LOVE GAMES LEVEL, GANJEN AND AND PPKM LEVEL ... because it empathizes it doesn't have to experience or manage</v>
      </c>
    </row>
    <row r="3967" ht="15.75" customHeight="1">
      <c r="A3967" s="2">
        <v>3968.0</v>
      </c>
      <c r="B3967" s="5" t="s">
        <v>7244</v>
      </c>
      <c r="C3967" s="6">
        <v>2.0</v>
      </c>
      <c r="D3967" s="9" t="s">
        <v>7245</v>
      </c>
      <c r="E3967" s="8" t="str">
        <f>IFERROR(__xludf.DUMMYFUNCTION("googletranslate(D3967,""id"",""en"")"),"After the road yesterday before PPKM, I missed the original")</f>
        <v>After the road yesterday before PPKM, I missed the original</v>
      </c>
    </row>
    <row r="3968" ht="15.75" customHeight="1">
      <c r="A3968" s="2">
        <v>3969.0</v>
      </c>
      <c r="B3968" s="5" t="s">
        <v>7246</v>
      </c>
      <c r="C3968" s="6">
        <v>3.0</v>
      </c>
      <c r="D3968" s="9" t="s">
        <v>7247</v>
      </c>
      <c r="E3968" s="8" t="str">
        <f>IFERROR(__xludf.DUMMYFUNCTION("googletranslate(D3968,""id"",""en"")"),"PPKM until now has not been over. There are still many out there people who have no exception. We are all Haeus always keep yourself and still obey the existing health protocol. Sane sane for everything. Silim Bidiyi ~")</f>
        <v>PPKM until now has not been over. There are still many out there people who have no exception. We are all Haeus always keep yourself and still obey the existing health protocol. Sane sane for everything. Silim Bidiyi ~</v>
      </c>
    </row>
    <row r="3969" ht="15.75" customHeight="1">
      <c r="A3969" s="2">
        <v>3970.0</v>
      </c>
      <c r="B3969" s="5" t="s">
        <v>7248</v>
      </c>
      <c r="C3969" s="6">
        <v>1.0</v>
      </c>
      <c r="D3969" s="9" t="s">
        <v>7249</v>
      </c>
      <c r="E3969" s="8" t="str">
        <f>IFERROR(__xludf.DUMMYFUNCTION("googletranslate(D3969,""id"",""en"")"),"How come it really can't, you know the ppkm or not?")</f>
        <v>How come it really can't, you know the ppkm or not?</v>
      </c>
    </row>
    <row r="3970" ht="15.75" customHeight="1">
      <c r="A3970" s="2">
        <v>3971.0</v>
      </c>
      <c r="B3970" s="5" t="s">
        <v>7250</v>
      </c>
      <c r="C3970" s="6">
        <v>1.0</v>
      </c>
      <c r="D3970" s="9" t="s">
        <v>7251</v>
      </c>
      <c r="E3970" s="8" t="str">
        <f>IFERROR(__xludf.DUMMYFUNCTION("googletranslate(D3970,""id"",""en"")"),"I don't know, it's easy, I haven't been waiting for BlackWidow, yeah, he said, but it was held on the outside cinema, here it was on the date. Uh, even the original PPKM is still until I watch it to be addressed until the year, nor of the cave.")</f>
        <v>I don't know, it's easy, I haven't been waiting for BlackWidow, yeah, he said, but it was held on the outside cinema, here it was on the date. Uh, even the original PPKM is still until I watch it to be addressed until the year, nor of the cave.</v>
      </c>
    </row>
    <row r="3971" ht="15.75" customHeight="1">
      <c r="A3971" s="2">
        <v>3972.0</v>
      </c>
      <c r="B3971" s="5" t="s">
        <v>7252</v>
      </c>
      <c r="C3971" s="6">
        <v>1.0</v>
      </c>
      <c r="D3971" s="9" t="s">
        <v>7252</v>
      </c>
      <c r="E3971" s="8" t="str">
        <f>IFERROR(__xludf.DUMMYFUNCTION("googletranslate(D3971,""id"",""en"")"),"When the situation has been talking again, give up? What is this work? try it from the past, it's not an ego, obedient, we can now, it doesn't know the term PPKM so farimally, the spread of the virus doesn't soar")</f>
        <v>When the situation has been talking again, give up? What is this work? try it from the past, it's not an ego, obedient, we can now, it doesn't know the term PPKM so farimally, the spread of the virus doesn't soar</v>
      </c>
    </row>
    <row r="3972" ht="15.75" customHeight="1">
      <c r="A3972" s="2">
        <v>3973.0</v>
      </c>
      <c r="B3972" s="5" t="s">
        <v>7253</v>
      </c>
      <c r="C3972" s="6">
        <v>3.0</v>
      </c>
      <c r="D3972" s="10" t="s">
        <v>7254</v>
      </c>
      <c r="E3972" s="8" t="str">
        <f>IFERROR(__xludf.DUMMYFUNCTION("googletranslate(D3972,""id"",""en"")"),"Support PPKM ...")</f>
        <v>Support PPKM ...</v>
      </c>
    </row>
    <row r="3973" ht="15.75" customHeight="1">
      <c r="A3973" s="2">
        <v>3974.0</v>
      </c>
      <c r="B3973" s="5" t="s">
        <v>7255</v>
      </c>
      <c r="C3973" s="6">
        <v>2.0</v>
      </c>
      <c r="D3973" s="7" t="s">
        <v>7256</v>
      </c>
      <c r="E3973" s="8" t="str">
        <f>IFERROR(__xludf.DUMMYFUNCTION("googletranslate(D3973,""id"",""en"")"),"nie ppkm until when?")</f>
        <v>nie ppkm until when?</v>
      </c>
    </row>
    <row r="3974" ht="15.75" customHeight="1">
      <c r="A3974" s="2">
        <v>3975.0</v>
      </c>
      <c r="B3974" s="5" t="s">
        <v>7257</v>
      </c>
      <c r="C3974" s="6">
        <v>1.0</v>
      </c>
      <c r="D3974" s="7" t="s">
        <v>7258</v>
      </c>
      <c r="E3974" s="8" t="str">
        <f>IFERROR(__xludf.DUMMYFUNCTION("googletranslate(D3974,""id"",""en"")"),"EMG yes, I'm extracted and because again, the ppkm is still quiet, it doesn't automatically be quiet and there is no chat and honesty from kmren ud smpt often hurts it is dizzy, cold dry SMsekk. Trs in the throat, there is no one who is clutching, how com"&amp;"e it is bnr2, how come it says wkw")</f>
        <v>EMG yes, I'm extracted and because again, the ppkm is still quiet, it doesn't automatically be quiet and there is no chat and honesty from kmren ud smpt often hurts it is dizzy, cold dry SMsekk. Trs in the throat, there is no one who is clutching, how come it is bnr2, how come it says wkw</v>
      </c>
    </row>
    <row r="3975" ht="15.75" customHeight="1">
      <c r="A3975" s="2">
        <v>3976.0</v>
      </c>
      <c r="B3975" s="5" t="s">
        <v>7259</v>
      </c>
      <c r="C3975" s="6">
        <v>2.0</v>
      </c>
      <c r="D3975" s="9" t="s">
        <v>7260</v>
      </c>
      <c r="E3975" s="8" t="str">
        <f>IFERROR(__xludf.DUMMYFUNCTION("googletranslate(D3975,""id"",""en"")"),"Yes, what do you want, just a covid debt. If you add again our country can be quasi by foreigners. The solution is, this contribution is a few% of total wealth for total PPKM / total lockdown. Well the money donations make PPKM for several months.")</f>
        <v>Yes, what do you want, just a covid debt. If you add again our country can be quasi by foreigners. The solution is, this contribution is a few% of total wealth for total PPKM / total lockdown. Well the money donations make PPKM for several months.</v>
      </c>
    </row>
    <row r="3976" ht="15.75" customHeight="1">
      <c r="A3976" s="2">
        <v>3977.0</v>
      </c>
      <c r="B3976" s="5" t="s">
        <v>7261</v>
      </c>
      <c r="C3976" s="6">
        <v>2.0</v>
      </c>
      <c r="D3976" s="7" t="s">
        <v>7262</v>
      </c>
      <c r="E3976" s="8" t="str">
        <f>IFERROR(__xludf.DUMMYFUNCTION("googletranslate(D3976,""id"",""en"")"),"PPKM, returned Pakdhe to his mom")</f>
        <v>PPKM, returned Pakdhe to his mom</v>
      </c>
    </row>
    <row r="3977" ht="15.75" customHeight="1">
      <c r="A3977" s="2">
        <v>3978.0</v>
      </c>
      <c r="B3977" s="5" t="s">
        <v>7263</v>
      </c>
      <c r="C3977" s="6">
        <v>2.0</v>
      </c>
      <c r="D3977" s="9" t="s">
        <v>7264</v>
      </c>
      <c r="E3977" s="8" t="str">
        <f>IFERROR(__xludf.DUMMYFUNCTION("googletranslate(D3977,""id"",""en"")"),"What needs to be held by PPKM jg or grebek vaccine")</f>
        <v>What needs to be held by PPKM jg or grebek vaccine</v>
      </c>
    </row>
    <row r="3978" ht="15.75" customHeight="1">
      <c r="A3978" s="2">
        <v>3979.0</v>
      </c>
      <c r="B3978" s="5" t="s">
        <v>7265</v>
      </c>
      <c r="C3978" s="6">
        <v>1.0</v>
      </c>
      <c r="D3978" s="7" t="s">
        <v>7266</v>
      </c>
      <c r="E3978" s="8" t="str">
        <f>IFERROR(__xludf.DUMMYFUNCTION("googletranslate(D3978,""id"",""en"")"),"Woy ppkm is not finished to the dams")</f>
        <v>Woy ppkm is not finished to the dams</v>
      </c>
    </row>
    <row r="3979" ht="15.75" customHeight="1">
      <c r="A3979" s="2">
        <v>3980.0</v>
      </c>
      <c r="B3979" s="5" t="s">
        <v>7267</v>
      </c>
      <c r="C3979" s="6">
        <v>1.0</v>
      </c>
      <c r="D3979" s="7" t="s">
        <v>7268</v>
      </c>
      <c r="E3979" s="8" t="str">
        <f>IFERROR(__xludf.DUMMYFUNCTION("googletranslate(D3979,""id"",""en"")"),"on the cover because of the ppkm ni")</f>
        <v>on the cover because of the ppkm ni</v>
      </c>
    </row>
    <row r="3980" ht="15.75" customHeight="1">
      <c r="A3980" s="2">
        <v>3981.0</v>
      </c>
      <c r="B3980" s="5" t="s">
        <v>7269</v>
      </c>
      <c r="C3980" s="6">
        <v>1.0</v>
      </c>
      <c r="D3980" s="10" t="s">
        <v>7270</v>
      </c>
      <c r="E3980" s="8" t="str">
        <f>IFERROR(__xludf.DUMMYFUNCTION("googletranslate(D3980,""id"",""en"")"),"PPKM Anjir.")</f>
        <v>PPKM Anjir.</v>
      </c>
    </row>
    <row r="3981" ht="15.75" customHeight="1">
      <c r="A3981" s="2">
        <v>3982.0</v>
      </c>
      <c r="B3981" s="5" t="s">
        <v>7271</v>
      </c>
      <c r="C3981" s="6">
        <v>1.0</v>
      </c>
      <c r="D3981" s="7" t="s">
        <v>7272</v>
      </c>
      <c r="E3981" s="8" t="str">
        <f>IFERROR(__xludf.DUMMYFUNCTION("googletranslate(D3981,""id"",""en"")"),"Pak boss, please PPKM whatever level ""extended"", provided the suffering of the people's shortened.Prof. SUTEKI, S.H., M.Hum (Legal and Community Expert)")</f>
        <v>Pak boss, please PPKM whatever level "extended", provided the suffering of the people's shortened.Prof. SUTEKI, S.H., M.Hum (Legal and Community Expert)</v>
      </c>
    </row>
    <row r="3982" ht="15.75" customHeight="1">
      <c r="A3982" s="2">
        <v>3983.0</v>
      </c>
      <c r="B3982" s="5" t="s">
        <v>7273</v>
      </c>
      <c r="C3982" s="6">
        <v>2.0</v>
      </c>
      <c r="D3982" s="7" t="s">
        <v>7274</v>
      </c>
      <c r="E3982" s="8" t="str">
        <f>IFERROR(__xludf.DUMMYFUNCTION("googletranslate(D3982,""id"",""en"")"),"Age of PPKM Level")</f>
        <v>Age of PPKM Level</v>
      </c>
    </row>
    <row r="3983" ht="15.75" customHeight="1">
      <c r="A3983" s="2">
        <v>3984.0</v>
      </c>
      <c r="B3983" s="5" t="s">
        <v>7275</v>
      </c>
      <c r="C3983" s="6">
        <v>2.0</v>
      </c>
      <c r="D3983" s="7" t="s">
        <v>7276</v>
      </c>
      <c r="E3983" s="8" t="str">
        <f>IFERROR(__xludf.DUMMYFUNCTION("googletranslate(D3983,""id"",""en"")"),"Yesterday again wanted around to see the night of Bandung's night when the city ppc.bed, the district is different. Lonely City is full of city people")</f>
        <v>Yesterday again wanted around to see the night of Bandung's night when the city ppc.bed, the district is different. Lonely City is full of city people</v>
      </c>
    </row>
    <row r="3984" ht="15.75" customHeight="1">
      <c r="A3984" s="2">
        <v>3985.0</v>
      </c>
      <c r="B3984" s="5" t="s">
        <v>7277</v>
      </c>
      <c r="C3984" s="6">
        <v>2.0</v>
      </c>
      <c r="D3984" s="7" t="s">
        <v>7278</v>
      </c>
      <c r="E3984" s="8" t="str">
        <f>IFERROR(__xludf.DUMMYFUNCTION("googletranslate(D3984,""id"",""en"")"),"My soft PPKmpan has you")</f>
        <v>My soft PPKmpan has you</v>
      </c>
    </row>
    <row r="3985" ht="15.75" customHeight="1">
      <c r="A3985" s="2">
        <v>3986.0</v>
      </c>
      <c r="B3985" s="5" t="s">
        <v>7279</v>
      </c>
      <c r="C3985" s="6">
        <v>1.0</v>
      </c>
      <c r="D3985" s="9" t="s">
        <v>7280</v>
      </c>
      <c r="E3985" s="8" t="str">
        <f>IFERROR(__xludf.DUMMYFUNCTION("googletranslate(D3985,""id"",""en"")"),"There was a clinical cleric of a wedding at the time of the pandemic (not yet an emergency ppkm as I remembered the EU) a fine of Rp. JT + Impanited by officials (village) degree of celebration at the Emergency Emergency PPKM Rp. rb just ... pay RB back r"&amp;"b for the parking lot")</f>
        <v>There was a clinical cleric of a wedding at the time of the pandemic (not yet an emergency ppkm as I remembered the EU) a fine of Rp. JT + Impanited by officials (village) degree of celebration at the Emergency Emergency PPKM Rp. rb just ... pay RB back rb for the parking lot</v>
      </c>
    </row>
    <row r="3986" ht="15.75" customHeight="1">
      <c r="A3986" s="2">
        <v>3987.0</v>
      </c>
      <c r="B3986" s="5" t="s">
        <v>7281</v>
      </c>
      <c r="C3986" s="6">
        <v>3.0</v>
      </c>
      <c r="D3986" s="7" t="s">
        <v>7282</v>
      </c>
      <c r="E3986" s="8" t="str">
        <f>IFERROR(__xludf.DUMMYFUNCTION("googletranslate(D3986,""id"",""en"")"),"Don't worry about MBA, a little bit that BS raised our body's immunity during the PPKM period.")</f>
        <v>Don't worry about MBA, a little bit that BS raised our body's immunity during the PPKM period.</v>
      </c>
    </row>
    <row r="3987" ht="15.75" customHeight="1">
      <c r="A3987" s="2">
        <v>3988.0</v>
      </c>
      <c r="B3987" s="5" t="s">
        <v>7283</v>
      </c>
      <c r="C3987" s="6">
        <v>1.0</v>
      </c>
      <c r="D3987" s="9" t="s">
        <v>7284</v>
      </c>
      <c r="E3987" s="8" t="str">
        <f>IFERROR(__xludf.DUMMYFUNCTION("googletranslate(D3987,""id"",""en"")"),"If the birthday party is just as high as high school, bro, bro ...")</f>
        <v>If the birthday party is just as high as high school, bro, bro ...</v>
      </c>
    </row>
    <row r="3988" ht="15.75" customHeight="1">
      <c r="A3988" s="2">
        <v>3989.0</v>
      </c>
      <c r="B3988" s="5" t="s">
        <v>7285</v>
      </c>
      <c r="C3988" s="6">
        <v>1.0</v>
      </c>
      <c r="D3988" s="9" t="s">
        <v>7286</v>
      </c>
      <c r="E3988" s="8" t="str">
        <f>IFERROR(__xludf.DUMMYFUNCTION("googletranslate(D3988,""id"",""en"")"),"His behavior is smart, the Templatan PPKM is broken down so that the people just surrender. Try if you make a one-month PPKM, most likely angry people or out of control")</f>
        <v>His behavior is smart, the Templatan PPKM is broken down so that the people just surrender. Try if you make a one-month PPKM, most likely angry people or out of control</v>
      </c>
    </row>
    <row r="3989" ht="15.75" customHeight="1">
      <c r="A3989" s="2">
        <v>3990.0</v>
      </c>
      <c r="B3989" s="5" t="s">
        <v>7287</v>
      </c>
      <c r="C3989" s="6">
        <v>2.0</v>
      </c>
      <c r="D3989" s="9" t="s">
        <v>7288</v>
      </c>
      <c r="E3989" s="8" t="str">
        <f>IFERROR(__xludf.DUMMYFUNCTION("googletranslate(D3989,""id"",""en"")"),"This photo was taken before the PPKM period")</f>
        <v>This photo was taken before the PPKM period</v>
      </c>
    </row>
    <row r="3990" ht="15.75" customHeight="1">
      <c r="A3990" s="2">
        <v>3991.0</v>
      </c>
      <c r="B3990" s="5" t="s">
        <v>7289</v>
      </c>
      <c r="C3990" s="6">
        <v>1.0</v>
      </c>
      <c r="D3990" s="7" t="s">
        <v>7290</v>
      </c>
      <c r="E3990" s="8" t="str">
        <f>IFERROR(__xludf.DUMMYFUNCTION("googletranslate(D3990,""id"",""en"")"),"Mhn sorry for the president who respects ... sorry to deviate from the title. In this long PPKM period we cannot work. Selling but lonely buyers. Is there no help to the people sir?")</f>
        <v>Mhn sorry for the president who respects ... sorry to deviate from the title. In this long PPKM period we cannot work. Selling but lonely buyers. Is there no help to the people sir?</v>
      </c>
    </row>
    <row r="3991" ht="15.75" customHeight="1">
      <c r="A3991" s="2">
        <v>3992.0</v>
      </c>
      <c r="B3991" s="5" t="s">
        <v>7291</v>
      </c>
      <c r="C3991" s="6">
        <v>1.0</v>
      </c>
      <c r="D3991" s="9" t="s">
        <v>7292</v>
      </c>
      <c r="E3991" s="8" t="str">
        <f>IFERROR(__xludf.DUMMYFUNCTION("googletranslate(D3991,""id"",""en"")"),"Maybe if someone when wearing a uniform feels able to do violence one example of the Satpol PP that hit Mother or who ruin operaan org when PPKM")</f>
        <v>Maybe if someone when wearing a uniform feels able to do violence one example of the Satpol PP that hit Mother or who ruin operaan org when PPKM</v>
      </c>
    </row>
    <row r="3992" ht="15.75" customHeight="1">
      <c r="A3992" s="2">
        <v>3993.0</v>
      </c>
      <c r="B3992" s="5" t="s">
        <v>7293</v>
      </c>
      <c r="C3992" s="6">
        <v>3.0</v>
      </c>
      <c r="D3992" s="10" t="s">
        <v>7294</v>
      </c>
      <c r="E3992" s="8" t="str">
        <f>IFERROR(__xludf.DUMMYFUNCTION("googletranslate(D3992,""id"",""en"")"),"Support PPKM")</f>
        <v>Support PPKM</v>
      </c>
    </row>
    <row r="3993" ht="15.75" customHeight="1">
      <c r="A3993" s="2">
        <v>3994.0</v>
      </c>
      <c r="B3993" s="5" t="s">
        <v>7295</v>
      </c>
      <c r="C3993" s="6">
        <v>3.0</v>
      </c>
      <c r="D3993" s="7" t="s">
        <v>7296</v>
      </c>
      <c r="E3993" s="8" t="str">
        <f>IFERROR(__xludf.DUMMYFUNCTION("googletranslate(D3993,""id"",""en"")"),"Kirain Juli Gakan Dapet Order because of PPKM and Eid al-Adha Wkwk. It turned out to be ngempil from Yutuber Banjarmasin. Smoothly work smoothly")</f>
        <v>Kirain Juli Gakan Dapet Order because of PPKM and Eid al-Adha Wkwk. It turned out to be ngempil from Yutuber Banjarmasin. Smoothly work smoothly</v>
      </c>
    </row>
    <row r="3994" ht="15.75" customHeight="1">
      <c r="A3994" s="2">
        <v>3995.0</v>
      </c>
      <c r="B3994" s="5" t="s">
        <v>7297</v>
      </c>
      <c r="C3994" s="6">
        <v>2.0</v>
      </c>
      <c r="D3994" s="7" t="s">
        <v>7298</v>
      </c>
      <c r="E3994" s="8" t="str">
        <f>IFERROR(__xludf.DUMMYFUNCTION("googletranslate(D3994,""id"",""en"")"),"I when PPKM was pertizang")</f>
        <v>I when PPKM was pertizang</v>
      </c>
    </row>
    <row r="3995" ht="15.75" customHeight="1">
      <c r="A3995" s="2">
        <v>3996.0</v>
      </c>
      <c r="B3995" s="5" t="s">
        <v>7299</v>
      </c>
      <c r="C3995" s="6">
        <v>1.0</v>
      </c>
      <c r="D3995" s="9" t="s">
        <v>7300</v>
      </c>
      <c r="E3995" s="8" t="str">
        <f>IFERROR(__xludf.DUMMYFUNCTION("googletranslate(D3995,""id"",""en"")"),"Geez, the deck, the language is rude and dirty. Ngefans may, yes but also seen. Wrong, he, again, this ppkm has a party with a prokes that are not obeyed.")</f>
        <v>Geez, the deck, the language is rude and dirty. Ngefans may, yes but also seen. Wrong, he, again, this ppkm has a party with a prokes that are not obeyed.</v>
      </c>
    </row>
    <row r="3996" ht="15.75" customHeight="1">
      <c r="A3996" s="2">
        <v>3997.0</v>
      </c>
      <c r="B3996" s="5" t="s">
        <v>7301</v>
      </c>
      <c r="C3996" s="6">
        <v>2.0</v>
      </c>
      <c r="D3996" s="9" t="s">
        <v>7302</v>
      </c>
      <c r="E3996" s="8" t="str">
        <f>IFERROR(__xludf.DUMMYFUNCTION("googletranslate(D3996,""id"",""en"")"),"Maybe before PPKM Kali. Gtau LG")</f>
        <v>Maybe before PPKM Kali. Gtau LG</v>
      </c>
    </row>
    <row r="3997" ht="15.75" customHeight="1">
      <c r="A3997" s="2">
        <v>3998.0</v>
      </c>
      <c r="B3997" s="5" t="s">
        <v>7303</v>
      </c>
      <c r="C3997" s="6">
        <v>1.0</v>
      </c>
      <c r="D3997" s="7" t="s">
        <v>7304</v>
      </c>
      <c r="E3997" s="8" t="str">
        <f>IFERROR(__xludf.DUMMYFUNCTION("googletranslate(D3997,""id"",""en"")"),"Halah opo kui ppkm, ra important wkwk")</f>
        <v>Halah opo kui ppkm, ra important wkwk</v>
      </c>
    </row>
    <row r="3998" ht="15.75" customHeight="1">
      <c r="A3998" s="2">
        <v>3999.0</v>
      </c>
      <c r="B3998" s="5" t="s">
        <v>7305</v>
      </c>
      <c r="C3998" s="6">
        <v>1.0</v>
      </c>
      <c r="D3998" s="7" t="s">
        <v>7306</v>
      </c>
      <c r="E3998" s="8" t="str">
        <f>IFERROR(__xludf.DUMMYFUNCTION("googletranslate(D3998,""id"",""en"")"),"The most ppkm extended teros")</f>
        <v>The most ppkm extended teros</v>
      </c>
    </row>
    <row r="3999" ht="15.75" customHeight="1">
      <c r="A3999" s="2">
        <v>4000.0</v>
      </c>
      <c r="B3999" s="5" t="s">
        <v>7307</v>
      </c>
      <c r="C3999" s="6">
        <v>1.0</v>
      </c>
      <c r="D3999" s="7" t="s">
        <v>7308</v>
      </c>
      <c r="E3999" s="8" t="str">
        <f>IFERROR(__xludf.DUMMYFUNCTION("googletranslate(D3999,""id"",""en"")"),"Mending PKN than PPKM")</f>
        <v>Mending PKN than PPKM</v>
      </c>
    </row>
    <row r="4000" ht="15.75" customHeight="1">
      <c r="A4000" s="2">
        <v>4001.0</v>
      </c>
      <c r="B4000" s="5" t="s">
        <v>7309</v>
      </c>
      <c r="C4000" s="6">
        <v>2.0</v>
      </c>
      <c r="D4000" s="7" t="s">
        <v>7310</v>
      </c>
      <c r="E4000" s="8" t="str">
        <f>IFERROR(__xludf.DUMMYFUNCTION("googletranslate(D4000,""id"",""en"")"),"Ppkm ngerni ora? Wkwk")</f>
        <v>Ppkm ngerni ora? Wkwk</v>
      </c>
    </row>
    <row r="4001" ht="15.75" customHeight="1">
      <c r="A4001" s="2">
        <v>4002.0</v>
      </c>
      <c r="B4001" s="5" t="s">
        <v>7311</v>
      </c>
      <c r="C4001" s="6">
        <v>1.0</v>
      </c>
      <c r="D4001" s="7" t="s">
        <v>7312</v>
      </c>
      <c r="E4001" s="8" t="str">
        <f>IFERROR(__xludf.DUMMYFUNCTION("googletranslate(D4001,""id"",""en"")"),"It's delicious to blame the people to continue, I follow the proces, join the PPKM rules that have never been able to bansos. What problem do I make?")</f>
        <v>It's delicious to blame the people to continue, I follow the proces, join the PPKM rules that have never been able to bansos. What problem do I make?</v>
      </c>
    </row>
    <row r="4002" ht="15.75" customHeight="1">
      <c r="A4002" s="2">
        <v>4003.0</v>
      </c>
      <c r="B4002" s="5" t="s">
        <v>7313</v>
      </c>
      <c r="C4002" s="6">
        <v>1.0</v>
      </c>
      <c r="D4002" s="9" t="s">
        <v>7314</v>
      </c>
      <c r="E4002" s="8" t="str">
        <f>IFERROR(__xludf.DUMMYFUNCTION("googletranslate(D4002,""id"",""en"")"),"Gawe kept ya kan ... college ppkm (plonga-plongo kaga understand)")</f>
        <v>Gawe kept ya kan ... college ppkm (plonga-plongo kaga understand)</v>
      </c>
    </row>
    <row r="4003" ht="15.75" customHeight="1">
      <c r="A4003" s="2">
        <v>4004.0</v>
      </c>
      <c r="B4003" s="5" t="s">
        <v>7315</v>
      </c>
      <c r="C4003" s="6">
        <v>3.0</v>
      </c>
      <c r="D4003" s="9" t="s">
        <v>7316</v>
      </c>
      <c r="E4003" s="8" t="str">
        <f>IFERROR(__xludf.DUMMYFUNCTION("googletranslate(D4003,""id"",""en"")"),"Senayan suggestion when the PPKM extended accelerated to give MSME assistance, expand vaccination range: //")</f>
        <v>Senayan suggestion when the PPKM extended accelerated to give MSME assistance, expand vaccination range: //</v>
      </c>
    </row>
    <row r="4004" ht="15.75" customHeight="1">
      <c r="A4004" s="2">
        <v>4005.0</v>
      </c>
      <c r="B4004" s="5" t="s">
        <v>7317</v>
      </c>
      <c r="C4004" s="6">
        <v>1.0</v>
      </c>
      <c r="D4004" s="7" t="s">
        <v>7318</v>
      </c>
      <c r="E4004" s="8" t="str">
        <f>IFERROR(__xludf.DUMMYFUNCTION("googletranslate(D4004,""id"",""en"")"),"Assalamualaikum RKB Morning MBA Vita PPKM Sprt Chicken Geprek Level Rakya Pula Smkin Padmakannya Krn Construction on Daily Needs")</f>
        <v>Assalamualaikum RKB Morning MBA Vita PPKM Sprt Chicken Geprek Level Rakya Pula Smkin Padmakannya Krn Construction on Daily Needs</v>
      </c>
    </row>
    <row r="4005" ht="15.75" customHeight="1">
      <c r="A4005" s="2">
        <v>4006.0</v>
      </c>
      <c r="B4005" s="5" t="s">
        <v>7319</v>
      </c>
      <c r="C4005" s="6">
        <v>2.0</v>
      </c>
      <c r="D4005" s="7" t="s">
        <v>7320</v>
      </c>
      <c r="E4005" s="8" t="str">
        <f>IFERROR(__xludf.DUMMYFUNCTION("googletranslate(D4005,""id"",""en"")"),"PPKM - Returns I Wait for his personal motorcycle taxi")</f>
        <v>PPKM - Returns I Wait for his personal motorcycle taxi</v>
      </c>
    </row>
    <row r="4006" ht="15.75" customHeight="1">
      <c r="A4006" s="2">
        <v>4007.0</v>
      </c>
      <c r="B4006" s="5" t="s">
        <v>7321</v>
      </c>
      <c r="C4006" s="6">
        <v>2.0</v>
      </c>
      <c r="D4006" s="7" t="s">
        <v>7322</v>
      </c>
      <c r="E4006" s="8" t="str">
        <f>IFERROR(__xludf.DUMMYFUNCTION("googletranslate(D4006,""id"",""en"")"),"Who's last PPKM level?")</f>
        <v>Who's last PPKM level?</v>
      </c>
    </row>
    <row r="4007" ht="15.75" customHeight="1">
      <c r="A4007" s="2">
        <v>4008.0</v>
      </c>
      <c r="B4007" s="5" t="s">
        <v>7323</v>
      </c>
      <c r="C4007" s="6">
        <v>1.0</v>
      </c>
      <c r="D4007" s="9" t="s">
        <v>7324</v>
      </c>
      <c r="E4007" s="8" t="str">
        <f>IFERROR(__xludf.DUMMYFUNCTION("googletranslate(D4007,""id"",""en"")"),"It's hot if you look at the story update with another guy while we can't get out because of PPKM ..")</f>
        <v>It's hot if you look at the story update with another guy while we can't get out because of PPKM ..</v>
      </c>
    </row>
    <row r="4008" ht="15.75" customHeight="1">
      <c r="A4008" s="2">
        <v>4009.0</v>
      </c>
      <c r="B4008" s="5" t="s">
        <v>7325</v>
      </c>
      <c r="C4008" s="6">
        <v>2.0</v>
      </c>
      <c r="D4008" s="7" t="s">
        <v>7326</v>
      </c>
      <c r="E4008" s="8" t="str">
        <f>IFERROR(__xludf.DUMMYFUNCTION("googletranslate(D4008,""id"",""en"")"),"Ppkm, not ppkn")</f>
        <v>Ppkm, not ppkn</v>
      </c>
    </row>
    <row r="4009" ht="15.75" customHeight="1">
      <c r="A4009" s="2">
        <v>4010.0</v>
      </c>
      <c r="B4009" s="5" t="s">
        <v>7327</v>
      </c>
      <c r="C4009" s="6">
        <v>2.0</v>
      </c>
      <c r="D4009" s="7" t="s">
        <v>7328</v>
      </c>
      <c r="E4009" s="8" t="str">
        <f>IFERROR(__xludf.DUMMYFUNCTION("googletranslate(D4009,""id"",""en"")"),"PPKM means ko ppkn")</f>
        <v>PPKM means ko ppkn</v>
      </c>
    </row>
    <row r="4010" ht="15.75" customHeight="1">
      <c r="A4010" s="2">
        <v>4011.0</v>
      </c>
      <c r="B4010" s="5" t="s">
        <v>7329</v>
      </c>
      <c r="C4010" s="6">
        <v>2.0</v>
      </c>
      <c r="D4010" s="7" t="s">
        <v>7329</v>
      </c>
      <c r="E4010" s="8" t="str">
        <f>IFERROR(__xludf.DUMMYFUNCTION("googletranslate(D4010,""id"",""en"")"),"Ppkm extended until ......")</f>
        <v>Ppkm extended until ......</v>
      </c>
    </row>
    <row r="4011" ht="15.75" customHeight="1">
      <c r="A4011" s="2">
        <v>4012.0</v>
      </c>
      <c r="B4011" s="5" t="s">
        <v>7330</v>
      </c>
      <c r="C4011" s="6">
        <v>1.0</v>
      </c>
      <c r="D4011" s="9" t="s">
        <v>7331</v>
      </c>
      <c r="E4011" s="8" t="str">
        <f>IFERROR(__xludf.DUMMYFUNCTION("googletranslate(D4011,""id"",""en"")"),"After all, the birthday of the ppkm, it's hard, don't you know, it's not embarrassed ????")</f>
        <v>After all, the birthday of the ppkm, it's hard, don't you know, it's not embarrassed ????</v>
      </c>
    </row>
    <row r="4012" ht="15.75" customHeight="1">
      <c r="A4012" s="2">
        <v>4013.0</v>
      </c>
      <c r="B4012" s="5" t="s">
        <v>7332</v>
      </c>
      <c r="C4012" s="6">
        <v>1.0</v>
      </c>
      <c r="D4012" s="7" t="s">
        <v>7333</v>
      </c>
      <c r="E4012" s="8" t="str">
        <f>IFERROR(__xludf.DUMMYFUNCTION("googletranslate(D4012,""id"",""en"")"),"Usually the already, but this ppkm gatau or")</f>
        <v>Usually the already, but this ppkm gatau or</v>
      </c>
    </row>
    <row r="4013" ht="15.75" customHeight="1">
      <c r="A4013" s="2">
        <v>4014.0</v>
      </c>
      <c r="B4013" s="5" t="s">
        <v>7334</v>
      </c>
      <c r="C4013" s="6">
        <v>2.0</v>
      </c>
      <c r="D4013" s="10" t="s">
        <v>7335</v>
      </c>
      <c r="E4013" s="8" t="str">
        <f>IFERROR(__xludf.DUMMYFUNCTION("googletranslate(D4013,""id"",""en"")"),"PPKM factor")</f>
        <v>PPKM factor</v>
      </c>
    </row>
    <row r="4014" ht="15.75" customHeight="1">
      <c r="A4014" s="2">
        <v>4015.0</v>
      </c>
      <c r="B4014" s="5" t="s">
        <v>7336</v>
      </c>
      <c r="C4014" s="6">
        <v>1.0</v>
      </c>
      <c r="D4014" s="7" t="s">
        <v>7337</v>
      </c>
      <c r="E4014" s="8" t="str">
        <f>IFERROR(__xludf.DUMMYFUNCTION("googletranslate(D4014,""id"",""en"")"),"Which made a birthday party in the middle of the PPKM niihh")</f>
        <v>Which made a birthday party in the middle of the PPKM niihh</v>
      </c>
    </row>
    <row r="4015" ht="15.75" customHeight="1">
      <c r="A4015" s="2">
        <v>4016.0</v>
      </c>
      <c r="B4015" s="5" t="s">
        <v>7338</v>
      </c>
      <c r="C4015" s="6">
        <v>2.0</v>
      </c>
      <c r="D4015" s="7" t="s">
        <v>7339</v>
      </c>
      <c r="E4015" s="8" t="str">
        <f>IFERROR(__xludf.DUMMYFUNCTION("googletranslate(D4015,""id"",""en"")"),"PPKM, once PDKT then disappeared")</f>
        <v>PPKM, once PDKT then disappeared</v>
      </c>
    </row>
    <row r="4016" ht="15.75" customHeight="1">
      <c r="A4016" s="2">
        <v>4017.0</v>
      </c>
      <c r="B4016" s="5" t="s">
        <v>7340</v>
      </c>
      <c r="C4016" s="6">
        <v>1.0</v>
      </c>
      <c r="D4016" s="7" t="s">
        <v>7341</v>
      </c>
      <c r="E4016" s="8" t="str">
        <f>IFERROR(__xludf.DUMMYFUNCTION("googletranslate(D4016,""id"",""en"")"),"he clamped my birthday gt ppkm")</f>
        <v>he clamped my birthday gt ppkm</v>
      </c>
    </row>
    <row r="4017" ht="15.75" customHeight="1">
      <c r="A4017" s="2">
        <v>4018.0</v>
      </c>
      <c r="B4017" s="5" t="s">
        <v>7342</v>
      </c>
      <c r="C4017" s="6">
        <v>2.0</v>
      </c>
      <c r="D4017" s="10" t="s">
        <v>7343</v>
      </c>
      <c r="E4017" s="8" t="str">
        <f>IFERROR(__xludf.DUMMYFUNCTION("googletranslate(D4017,""id"",""en"")"),"Slesai PPKM.")</f>
        <v>Slesai PPKM.</v>
      </c>
    </row>
    <row r="4018" ht="15.75" customHeight="1">
      <c r="A4018" s="2">
        <v>4019.0</v>
      </c>
      <c r="B4018" s="5" t="s">
        <v>7344</v>
      </c>
      <c r="C4018" s="6">
        <v>2.0</v>
      </c>
      <c r="D4018" s="7" t="s">
        <v>7345</v>
      </c>
      <c r="E4018" s="8" t="str">
        <f>IFERROR(__xludf.DUMMYFUNCTION("googletranslate(D4018,""id"",""en"")"),"PPKM (morning morning hit angry)")</f>
        <v>PPKM (morning morning hit angry)</v>
      </c>
    </row>
    <row r="4019" ht="15.75" customHeight="1">
      <c r="A4019" s="2">
        <v>4020.0</v>
      </c>
      <c r="B4019" s="5" t="s">
        <v>7346</v>
      </c>
      <c r="C4019" s="6">
        <v>2.0</v>
      </c>
      <c r="D4019" s="9" t="s">
        <v>7347</v>
      </c>
      <c r="E4019" s="8" t="str">
        <f>IFERROR(__xludf.DUMMYFUNCTION("googletranslate(D4019,""id"",""en"")"),"The haunted bunder house at the Swimy Track of Ijen Crater Via if only the PPKM is not applied perhaps a similar moment moment will still continue. Unfortunately inevitably we have no choice but to settle at home for good")</f>
        <v>The haunted bunder house at the Swimy Track of Ijen Crater Via if only the PPKM is not applied perhaps a similar moment moment will still continue. Unfortunately inevitably we have no choice but to settle at home for good</v>
      </c>
    </row>
    <row r="4020" ht="15.75" customHeight="1">
      <c r="A4020" s="2">
        <v>4021.0</v>
      </c>
      <c r="B4020" s="5" t="s">
        <v>7348</v>
      </c>
      <c r="C4020" s="6">
        <v>1.0</v>
      </c>
      <c r="D4020" s="7" t="s">
        <v>7349</v>
      </c>
      <c r="E4020" s="8" t="str">
        <f>IFERROR(__xludf.DUMMYFUNCTION("googletranslate(D4020,""id"",""en"")"),"Problem PPKM, Government Guarantees Infrastructure and TKA Safe, Abdullah Rasyid: Not Guaranteed People's Life")</f>
        <v>Problem PPKM, Government Guarantees Infrastructure and TKA Safe, Abdullah Rasyid: Not Guaranteed People's Life</v>
      </c>
    </row>
    <row r="4021" ht="15.75" customHeight="1">
      <c r="A4021" s="2">
        <v>4022.0</v>
      </c>
      <c r="B4021" s="5" t="s">
        <v>7350</v>
      </c>
      <c r="C4021" s="6">
        <v>2.0</v>
      </c>
      <c r="D4021" s="7" t="s">
        <v>7351</v>
      </c>
      <c r="E4021" s="8" t="str">
        <f>IFERROR(__xludf.DUMMYFUNCTION("googletranslate(D4021,""id"",""en"")"),"nynder mnit gk krasa ,,,, tnang sja fto was taken before ppkm")</f>
        <v>nynder mnit gk krasa ,,,, tnang sja fto was taken before ppkm</v>
      </c>
    </row>
    <row r="4022" ht="15.75" customHeight="1">
      <c r="A4022" s="2">
        <v>4023.0</v>
      </c>
      <c r="B4022" s="5" t="s">
        <v>7352</v>
      </c>
      <c r="C4022" s="6">
        <v>2.0</v>
      </c>
      <c r="D4022" s="7" t="s">
        <v>7353</v>
      </c>
      <c r="E4022" s="8" t="str">
        <f>IFERROR(__xludf.DUMMYFUNCTION("googletranslate(D4022,""id"",""en"")"),"kan ppkm je gabol everywhere, to apart i here")</f>
        <v>kan ppkm je gabol everywhere, to apart i here</v>
      </c>
    </row>
    <row r="4023" ht="15.75" customHeight="1">
      <c r="A4023" s="2">
        <v>4024.0</v>
      </c>
      <c r="B4023" s="5" t="s">
        <v>7354</v>
      </c>
      <c r="C4023" s="6">
        <v>2.0</v>
      </c>
      <c r="D4023" s="7" t="s">
        <v>7355</v>
      </c>
      <c r="E4023" s="8" t="str">
        <f>IFERROR(__xludf.DUMMYFUNCTION("googletranslate(D4023,""id"",""en"")"),"PPKM is extended to August")</f>
        <v>PPKM is extended to August</v>
      </c>
    </row>
    <row r="4024" ht="15.75" customHeight="1">
      <c r="A4024" s="2">
        <v>4025.0</v>
      </c>
      <c r="B4024" s="5" t="s">
        <v>7356</v>
      </c>
      <c r="C4024" s="6">
        <v>2.0</v>
      </c>
      <c r="D4024" s="7" t="s">
        <v>7356</v>
      </c>
      <c r="E4024" s="8" t="str">
        <f>IFERROR(__xludf.DUMMYFUNCTION("googletranslate(D4024,""id"",""en"")"),"Ni ppkm jdi extended no huh?")</f>
        <v>Ni ppkm jdi extended no huh?</v>
      </c>
    </row>
    <row r="4025" ht="15.75" customHeight="1">
      <c r="A4025" s="2">
        <v>4026.0</v>
      </c>
      <c r="B4025" s="5" t="s">
        <v>7357</v>
      </c>
      <c r="C4025" s="6">
        <v>2.0</v>
      </c>
      <c r="D4025" s="9" t="s">
        <v>7358</v>
      </c>
      <c r="E4025" s="8" t="str">
        <f>IFERROR(__xludf.DUMMYFUNCTION("googletranslate(D4025,""id"",""en"")"),"Seriously, PPKM yesterday in the area of ​​Padang or Atjeh yes I forgot me.")</f>
        <v>Seriously, PPKM yesterday in the area of ​​Padang or Atjeh yes I forgot me.</v>
      </c>
    </row>
    <row r="4026" ht="15.75" customHeight="1">
      <c r="A4026" s="2">
        <v>4027.0</v>
      </c>
      <c r="B4026" s="5" t="s">
        <v>7359</v>
      </c>
      <c r="C4026" s="6">
        <v>1.0</v>
      </c>
      <c r="D4026" s="7" t="s">
        <v>7360</v>
      </c>
      <c r="E4026" s="8" t="str">
        <f>IFERROR(__xludf.DUMMYFUNCTION("googletranslate(D4026,""id"",""en"")"),"I want to mbah mbah regarding this policy but lazy just waste energy. Again PPKM Kudu Keeps Immune, Cuman can pray that Allah awesome for the representatives of the people")</f>
        <v>I want to mbah mbah regarding this policy but lazy just waste energy. Again PPKM Kudu Keeps Immune, Cuman can pray that Allah awesome for the representatives of the people</v>
      </c>
    </row>
    <row r="4027" ht="15.75" customHeight="1">
      <c r="A4027" s="2">
        <v>4028.0</v>
      </c>
      <c r="B4027" s="5" t="s">
        <v>7361</v>
      </c>
      <c r="C4027" s="6">
        <v>3.0</v>
      </c>
      <c r="D4027" s="7" t="s">
        <v>7362</v>
      </c>
      <c r="E4027" s="8" t="str">
        <f>IFERROR(__xludf.DUMMYFUNCTION("googletranslate(D4027,""id"",""en"")"),"Assalamualaikum Wr Wbmet Morning Residents TL Met Activities Fixed Discipline Prokes, Datay PPKM, with Red and White Spirit")</f>
        <v>Assalamualaikum Wr Wbmet Morning Residents TL Met Activities Fixed Discipline Prokes, Datay PPKM, with Red and White Spirit</v>
      </c>
    </row>
    <row r="4028" ht="15.75" customHeight="1">
      <c r="A4028" s="2">
        <v>4029.0</v>
      </c>
      <c r="B4028" s="5" t="s">
        <v>7363</v>
      </c>
      <c r="C4028" s="6">
        <v>2.0</v>
      </c>
      <c r="D4028" s="7" t="s">
        <v>7364</v>
      </c>
      <c r="E4028" s="8" t="str">
        <f>IFERROR(__xludf.DUMMYFUNCTION("googletranslate(D4028,""id"",""en"")"),"ppkm day to rmh nad worked on the task of sewing pants")</f>
        <v>ppkm day to rmh nad worked on the task of sewing pants</v>
      </c>
    </row>
    <row r="4029" ht="15.75" customHeight="1">
      <c r="A4029" s="2">
        <v>4030.0</v>
      </c>
      <c r="B4029" s="5" t="s">
        <v>7365</v>
      </c>
      <c r="C4029" s="6">
        <v>2.0</v>
      </c>
      <c r="D4029" s="7" t="s">
        <v>7366</v>
      </c>
      <c r="E4029" s="8" t="str">
        <f>IFERROR(__xludf.DUMMYFUNCTION("googletranslate(D4029,""id"",""en"")"),"Gaasss the results of the PPKM program, slowly you slowly knead ... wkwkwkk")</f>
        <v>Gaasss the results of the PPKM program, slowly you slowly knead ... wkwkwkk</v>
      </c>
    </row>
    <row r="4030" ht="15.75" customHeight="1">
      <c r="A4030" s="2">
        <v>4031.0</v>
      </c>
      <c r="B4030" s="5" t="s">
        <v>7367</v>
      </c>
      <c r="C4030" s="6">
        <v>1.0</v>
      </c>
      <c r="D4030" s="9" t="s">
        <v>7368</v>
      </c>
      <c r="E4030" s="8" t="str">
        <f>IFERROR(__xludf.DUMMYFUNCTION("googletranslate(D4030,""id"",""en"")"),"That funny PLG, when I saw the coverage of the insulation post on. AD the motorbike whose motorbike is like a sight of SY, with a small child, ttpi bs passes. The very focus is that the Rules for PPKM junior high school rules are neglected.")</f>
        <v>That funny PLG, when I saw the coverage of the insulation post on. AD the motorbike whose motorbike is like a sight of SY, with a small child, ttpi bs passes. The very focus is that the Rules for PPKM junior high school rules are neglected.</v>
      </c>
    </row>
    <row r="4031" ht="15.75" customHeight="1">
      <c r="A4031" s="2">
        <v>4032.0</v>
      </c>
      <c r="B4031" s="5" t="s">
        <v>7369</v>
      </c>
      <c r="C4031" s="6">
        <v>2.0</v>
      </c>
      <c r="D4031" s="7" t="s">
        <v>7370</v>
      </c>
      <c r="E4031" s="8" t="str">
        <f>IFERROR(__xludf.DUMMYFUNCTION("googletranslate(D4031,""id"",""en"")"),"huf bgt ppkm usually already has anyone opened the area of ​​my house area")</f>
        <v>huf bgt ppkm usually already has anyone opened the area of ​​my house area</v>
      </c>
    </row>
    <row r="4032" ht="15.75" customHeight="1">
      <c r="A4032" s="2">
        <v>4033.0</v>
      </c>
      <c r="B4032" s="5" t="s">
        <v>7371</v>
      </c>
      <c r="C4032" s="6">
        <v>2.0</v>
      </c>
      <c r="D4032" s="9" t="s">
        <v>7372</v>
      </c>
      <c r="E4032" s="8" t="str">
        <f>IFERROR(__xludf.DUMMYFUNCTION("googletranslate(D4032,""id"",""en"")"),"Since the PPKM also applies to mountains, so look at the view from the front of the house first XIXI")</f>
        <v>Since the PPKM also applies to mountains, so look at the view from the front of the house first XIXI</v>
      </c>
    </row>
    <row r="4033" ht="15.75" customHeight="1">
      <c r="A4033" s="2">
        <v>4034.0</v>
      </c>
      <c r="B4033" s="5" t="s">
        <v>7373</v>
      </c>
      <c r="C4033" s="6">
        <v>2.0</v>
      </c>
      <c r="D4033" s="7" t="s">
        <v>7374</v>
      </c>
      <c r="E4033" s="8" t="str">
        <f>IFERROR(__xludf.DUMMYFUNCTION("googletranslate(D4033,""id"",""en"")"),"Still ppkm hmm")</f>
        <v>Still ppkm hmm</v>
      </c>
    </row>
    <row r="4034" ht="15.75" customHeight="1">
      <c r="A4034" s="2">
        <v>4035.0</v>
      </c>
      <c r="B4034" s="5" t="s">
        <v>7375</v>
      </c>
      <c r="C4034" s="6">
        <v>2.0</v>
      </c>
      <c r="D4034" s="7" t="s">
        <v>7375</v>
      </c>
      <c r="E4034" s="8" t="str">
        <f>IFERROR(__xludf.DUMMYFUNCTION("googletranslate(D4034,""id"",""en"")"),"Want the PPKM level as well, I will still love you &amp; lt; 3")</f>
        <v>Want the PPKM level as well, I will still love you &amp; lt; 3</v>
      </c>
    </row>
    <row r="4035" ht="15.75" customHeight="1">
      <c r="A4035" s="2">
        <v>4036.0</v>
      </c>
      <c r="B4035" s="5" t="s">
        <v>7376</v>
      </c>
      <c r="C4035" s="6">
        <v>2.0</v>
      </c>
      <c r="D4035" s="7" t="s">
        <v>7377</v>
      </c>
      <c r="E4035" s="8" t="str">
        <f>IFERROR(__xludf.DUMMYFUNCTION("googletranslate(D4035,""id"",""en"")"),"Restrictions on Mobility in PPKM Level")</f>
        <v>Restrictions on Mobility in PPKM Level</v>
      </c>
    </row>
    <row r="4036" ht="15.75" customHeight="1">
      <c r="A4036" s="2">
        <v>4037.0</v>
      </c>
      <c r="B4036" s="5" t="s">
        <v>7378</v>
      </c>
      <c r="C4036" s="6">
        <v>1.0</v>
      </c>
      <c r="D4036" s="7" t="s">
        <v>7379</v>
      </c>
      <c r="E4036" s="8" t="str">
        <f>IFERROR(__xludf.DUMMYFUNCTION("googletranslate(D4036,""id"",""en"")"),"PPKM also tong tra can help !!")</f>
        <v>PPKM also tong tra can help !!</v>
      </c>
    </row>
    <row r="4037" ht="15.75" customHeight="1">
      <c r="A4037" s="2">
        <v>4038.0</v>
      </c>
      <c r="B4037" s="5" t="s">
        <v>7380</v>
      </c>
      <c r="C4037" s="6">
        <v>1.0</v>
      </c>
      <c r="D4037" s="7" t="s">
        <v>7381</v>
      </c>
      <c r="E4037" s="8" t="str">
        <f>IFERROR(__xludf.DUMMYFUNCTION("googletranslate(D4037,""id"",""en"")"),"PPKM Level Want to eat it difficult to use the event talking about occupancy. Awry. Leisure is incoming a list of good ones or not")</f>
        <v>PPKM Level Want to eat it difficult to use the event talking about occupancy. Awry. Leisure is incoming a list of good ones or not</v>
      </c>
    </row>
    <row r="4038" ht="15.75" customHeight="1">
      <c r="A4038" s="2">
        <v>4039.0</v>
      </c>
      <c r="B4038" s="5" t="s">
        <v>7382</v>
      </c>
      <c r="C4038" s="6">
        <v>1.0</v>
      </c>
      <c r="D4038" s="7" t="s">
        <v>7383</v>
      </c>
      <c r="E4038" s="8" t="str">
        <f>IFERROR(__xludf.DUMMYFUNCTION("googletranslate(D4038,""id"",""en"")"),"It's closed the PPKM stall")</f>
        <v>It's closed the PPKM stall</v>
      </c>
    </row>
    <row r="4039" ht="15.75" customHeight="1">
      <c r="A4039" s="2">
        <v>4040.0</v>
      </c>
      <c r="B4039" s="5" t="s">
        <v>7384</v>
      </c>
      <c r="C4039" s="6">
        <v>2.0</v>
      </c>
      <c r="D4039" s="10" t="s">
        <v>5027</v>
      </c>
      <c r="E4039" s="8" t="str">
        <f>IFERROR(__xludf.DUMMYFUNCTION("googletranslate(D4039,""id"",""en"")"),"Ppkm dear")</f>
        <v>Ppkm dear</v>
      </c>
    </row>
    <row r="4040" ht="15.75" customHeight="1">
      <c r="A4040" s="2">
        <v>4041.0</v>
      </c>
      <c r="B4040" s="5" t="s">
        <v>7385</v>
      </c>
      <c r="C4040" s="6">
        <v>2.0</v>
      </c>
      <c r="D4040" s="7" t="s">
        <v>7386</v>
      </c>
      <c r="E4040" s="8" t="str">
        <f>IFERROR(__xludf.DUMMYFUNCTION("googletranslate(D4040,""id"",""en"")"),"Predict the economic impact of Emergency PPKM")</f>
        <v>Predict the economic impact of Emergency PPKM</v>
      </c>
    </row>
    <row r="4041" ht="15.75" customHeight="1">
      <c r="A4041" s="2">
        <v>4042.0</v>
      </c>
      <c r="B4041" s="5" t="s">
        <v>7387</v>
      </c>
      <c r="C4041" s="6">
        <v>1.0</v>
      </c>
      <c r="D4041" s="9" t="s">
        <v>7388</v>
      </c>
      <c r="E4041" s="8" t="str">
        <f>IFERROR(__xludf.DUMMYFUNCTION("googletranslate(D4041,""id"",""en"")"),"Because of the PPKM, I went to work JD Shift alias Starting hours - Wohh Edan")</f>
        <v>Because of the PPKM, I went to work JD Shift alias Starting hours - Wohh Edan</v>
      </c>
    </row>
    <row r="4042" ht="15.75" customHeight="1">
      <c r="A4042" s="2">
        <v>4043.0</v>
      </c>
      <c r="B4042" s="5" t="s">
        <v>7389</v>
      </c>
      <c r="C4042" s="6">
        <v>1.0</v>
      </c>
      <c r="D4042" s="9" t="s">
        <v>7390</v>
      </c>
      <c r="E4042" s="8" t="str">
        <f>IFERROR(__xludf.DUMMYFUNCTION("googletranslate(D4042,""id"",""en"")"),"Ngainain. But if you ask for TTD? TTD online? The paper has been smo before PPKM. Told to ask for TTD to the guide of SM testers. Then attack again to prodi.trus if you want to guide it? Mentor I'm a type of guidance onlen")</f>
        <v>Ngainain. But if you ask for TTD? TTD online? The paper has been smo before PPKM. Told to ask for TTD to the guide of SM testers. Then attack again to prodi.trus if you want to guide it? Mentor I'm a type of guidance onlen</v>
      </c>
    </row>
    <row r="4043" ht="15.75" customHeight="1">
      <c r="A4043" s="2">
        <v>4044.0</v>
      </c>
      <c r="B4043" s="5" t="s">
        <v>7391</v>
      </c>
      <c r="C4043" s="6">
        <v>1.0</v>
      </c>
      <c r="D4043" s="7" t="s">
        <v>7392</v>
      </c>
      <c r="E4043" s="8" t="str">
        <f>IFERROR(__xludf.DUMMYFUNCTION("googletranslate(D4043,""id"",""en"")"),"What's the hard time for the Anj Vaccine! PPKM continues to continue this BGST")</f>
        <v>What's the hard time for the Anj Vaccine! PPKM continues to continue this BGST</v>
      </c>
    </row>
    <row r="4044" ht="15.75" customHeight="1">
      <c r="A4044" s="2">
        <v>4045.0</v>
      </c>
      <c r="B4044" s="5" t="s">
        <v>7393</v>
      </c>
      <c r="C4044" s="6">
        <v>2.0</v>
      </c>
      <c r="D4044" s="7" t="s">
        <v>7394</v>
      </c>
      <c r="E4044" s="8" t="str">
        <f>IFERROR(__xludf.DUMMYFUNCTION("googletranslate(D4044,""id"",""en"")"),"can dine in ppkm right")</f>
        <v>can dine in ppkm right</v>
      </c>
    </row>
    <row r="4045" ht="15.75" customHeight="1">
      <c r="A4045" s="2">
        <v>4046.0</v>
      </c>
      <c r="B4045" s="5" t="s">
        <v>7395</v>
      </c>
      <c r="C4045" s="6">
        <v>3.0</v>
      </c>
      <c r="D4045" s="9" t="s">
        <v>7396</v>
      </c>
      <c r="E4045" s="8" t="str">
        <f>IFERROR(__xludf.DUMMYFUNCTION("googletranslate(D4045,""id"",""en"")"),"I am the usual society highly support PPKM or other policies to handle couples in this country. Already provocation, it's time to make a more concerned contribution!")</f>
        <v>I am the usual society highly support PPKM or other policies to handle couples in this country. Already provocation, it's time to make a more concerned contribution!</v>
      </c>
    </row>
    <row r="4046" ht="15.75" customHeight="1">
      <c r="A4046" s="2">
        <v>4047.0</v>
      </c>
      <c r="B4046" s="5" t="s">
        <v>7397</v>
      </c>
      <c r="C4046" s="6">
        <v>2.0</v>
      </c>
      <c r="D4046" s="7" t="s">
        <v>7397</v>
      </c>
      <c r="E4046" s="8" t="str">
        <f>IFERROR(__xludf.DUMMYFUNCTION("googletranslate(D4046,""id"",""en"")"),"Jogja pqs again ppkm this is safe or not? Sunday tomorrow gases jogja ya")</f>
        <v>Jogja pqs again ppkm this is safe or not? Sunday tomorrow gases jogja ya</v>
      </c>
    </row>
    <row r="4047" ht="15.75" customHeight="1">
      <c r="A4047" s="2">
        <v>4048.0</v>
      </c>
      <c r="B4047" s="5" t="s">
        <v>7398</v>
      </c>
      <c r="C4047" s="6">
        <v>3.0</v>
      </c>
      <c r="D4047" s="7" t="s">
        <v>7399</v>
      </c>
      <c r="E4047" s="8" t="str">
        <f>IFERROR(__xludf.DUMMYFUNCTION("googletranslate(D4047,""id"",""en"")"),"..Masyarakat who dutifully all aturanPPKM Level that have been made and the Government jg supervise the strict implementation of PPKM with the results that we expect that a significant decrease will be achieved.")</f>
        <v>..Masyarakat who dutifully all aturanPPKM Level that have been made and the Government jg supervise the strict implementation of PPKM with the results that we expect that a significant decrease will be achieved.</v>
      </c>
    </row>
    <row r="4048" ht="15.75" customHeight="1">
      <c r="A4048" s="2">
        <v>4049.0</v>
      </c>
      <c r="B4048" s="5" t="s">
        <v>7400</v>
      </c>
      <c r="C4048" s="6">
        <v>2.0</v>
      </c>
      <c r="D4048" s="10" t="s">
        <v>1635</v>
      </c>
      <c r="E4048" s="8" t="str">
        <f>IFERROR(__xludf.DUMMYFUNCTION("googletranslate(D4048,""id"",""en"")"),"Again PPKM.")</f>
        <v>Again PPKM.</v>
      </c>
    </row>
    <row r="4049" ht="15.75" customHeight="1">
      <c r="A4049" s="2">
        <v>4050.0</v>
      </c>
      <c r="B4049" s="5" t="s">
        <v>7401</v>
      </c>
      <c r="C4049" s="6">
        <v>3.0</v>
      </c>
      <c r="D4049" s="7" t="s">
        <v>7402</v>
      </c>
      <c r="E4049" s="8" t="str">
        <f>IFERROR(__xludf.DUMMYFUNCTION("googletranslate(D4049,""id"",""en"")"),"Emergency PPKM is for a common purposes Prevent Covid-19.Ayo transmission Support Emergency PPKM extension level to anticipate transmission of Delta variant and also to protect health together.")</f>
        <v>Emergency PPKM is for a common purposes Prevent Covid-19.Ayo transmission Support Emergency PPKM extension level to anticipate transmission of Delta variant and also to protect health together.</v>
      </c>
    </row>
    <row r="4050" ht="15.75" customHeight="1">
      <c r="A4050" s="2">
        <v>4051.0</v>
      </c>
      <c r="B4050" s="5" t="s">
        <v>7403</v>
      </c>
      <c r="C4050" s="6">
        <v>2.0</v>
      </c>
      <c r="D4050" s="9" t="s">
        <v>7404</v>
      </c>
      <c r="E4050" s="8" t="str">
        <f>IFERROR(__xludf.DUMMYFUNCTION("googletranslate(D4050,""id"",""en"")"),"The discenses I see the TNI in the Knight-soulless TNI, don't just be able to Nurunin Billboards and PPKM Motorbikes also hang out people ate minutes.")</f>
        <v>The discenses I see the TNI in the Knight-soulless TNI, don't just be able to Nurunin Billboards and PPKM Motorbikes also hang out people ate minutes.</v>
      </c>
    </row>
    <row r="4051" ht="15.75" customHeight="1">
      <c r="A4051" s="2">
        <v>4052.0</v>
      </c>
      <c r="B4051" s="5" t="s">
        <v>7405</v>
      </c>
      <c r="C4051" s="6">
        <v>3.0</v>
      </c>
      <c r="D4051" s="7" t="s">
        <v>7406</v>
      </c>
      <c r="E4051" s="8" t="str">
        <f>IFERROR(__xludf.DUMMYFUNCTION("googletranslate(D4051,""id"",""en"")"),"It is very appropriate for the government to extend PPKM Level, let's support the program, so that it can prevent transmission and decrease in Covid-19. which is most important. We must maintain strict prokes.")</f>
        <v>It is very appropriate for the government to extend PPKM Level, let's support the program, so that it can prevent transmission and decrease in Covid-19. which is most important. We must maintain strict prokes.</v>
      </c>
    </row>
    <row r="4052" ht="15.75" customHeight="1">
      <c r="A4052" s="2">
        <v>4053.0</v>
      </c>
      <c r="B4052" s="5" t="s">
        <v>7407</v>
      </c>
      <c r="C4052" s="6">
        <v>3.0</v>
      </c>
      <c r="D4052" s="9" t="s">
        <v>7408</v>
      </c>
      <c r="E4052" s="8" t="str">
        <f>IFERROR(__xludf.DUMMYFUNCTION("googletranslate(D4052,""id"",""en"")"),"We support PPKM efforts to prevent Covit's very malefense prevention, paralyze everything is time to mutual cooperation to succeed PPKM levels for shared safety")</f>
        <v>We support PPKM efforts to prevent Covit's very malefense prevention, paralyze everything is time to mutual cooperation to succeed PPKM levels for shared safety</v>
      </c>
    </row>
    <row r="4053" ht="15.75" customHeight="1">
      <c r="A4053" s="2">
        <v>4054.0</v>
      </c>
      <c r="B4053" s="5" t="s">
        <v>7409</v>
      </c>
      <c r="C4053" s="6">
        <v>1.0</v>
      </c>
      <c r="D4053" s="7" t="s">
        <v>7409</v>
      </c>
      <c r="E4053" s="8" t="str">
        <f>IFERROR(__xludf.DUMMYFUNCTION("googletranslate(D4053,""id"",""en"")"),"Don't be blended opinion ... I happens because life in the state of the company is increasingly difficult, the law because of the effect! Keep the people who are victims, where is the government, DPR, MPR etc. You are blind, PPKM but do not carry out the "&amp;"contents of the Quarantine Law ..")</f>
        <v>Don't be blended opinion ... I happens because life in the state of the company is increasingly difficult, the law because of the effect! Keep the people who are victims, where is the government, DPR, MPR etc. You are blind, PPKM but do not carry out the contents of the Quarantine Law ..</v>
      </c>
    </row>
    <row r="4054" ht="15.75" customHeight="1">
      <c r="A4054" s="2">
        <v>4055.0</v>
      </c>
      <c r="B4054" s="5" t="s">
        <v>7410</v>
      </c>
      <c r="C4054" s="6">
        <v>3.0</v>
      </c>
      <c r="D4054" s="7" t="s">
        <v>7411</v>
      </c>
      <c r="E4054" s="8" t="str">
        <f>IFERROR(__xludf.DUMMYFUNCTION("googletranslate(D4054,""id"",""en"")"),"decided to extend PPKM level and, crawled, July to August for Java-Bali and a number of non-Java-Bali regions. Even though the weight is expected to keep following the rules")</f>
        <v>decided to extend PPKM level and, crawled, July to August for Java-Bali and a number of non-Java-Bali regions. Even though the weight is expected to keep following the rules</v>
      </c>
    </row>
    <row r="4055" ht="15.75" customHeight="1">
      <c r="A4055" s="2">
        <v>4056.0</v>
      </c>
      <c r="B4055" s="5" t="s">
        <v>7412</v>
      </c>
      <c r="C4055" s="6">
        <v>3.0</v>
      </c>
      <c r="D4055" s="9" t="s">
        <v>7413</v>
      </c>
      <c r="E4055" s="8" t="str">
        <f>IFERROR(__xludf.DUMMYFUNCTION("googletranslate(D4055,""id"",""en"")"),"Let's apply the health protocol strictly, avoid gathering, and participating in vaccination, hopefully the Covid-19 case will soon come down, and the PPKM can be loosened, so that we can move again as uses.")</f>
        <v>Let's apply the health protocol strictly, avoid gathering, and participating in vaccination, hopefully the Covid-19 case will soon come down, and the PPKM can be loosened, so that we can move again as uses.</v>
      </c>
    </row>
    <row r="4056" ht="15.75" customHeight="1">
      <c r="A4056" s="2">
        <v>4057.0</v>
      </c>
      <c r="B4056" s="5" t="s">
        <v>7414</v>
      </c>
      <c r="C4056" s="6">
        <v>3.0</v>
      </c>
      <c r="D4056" s="7" t="s">
        <v>7415</v>
      </c>
      <c r="E4056" s="8" t="str">
        <f>IFERROR(__xludf.DUMMYFUNCTION("googletranslate(D4056,""id"",""en"")"),"PPKM level has been decided, we as a community support this, and hope this level PPKM has an impact on the decline in C0VD19 in August and so on improving normal again.")</f>
        <v>PPKM level has been decided, we as a community support this, and hope this level PPKM has an impact on the decline in C0VD19 in August and so on improving normal again.</v>
      </c>
    </row>
    <row r="4057" ht="15.75" customHeight="1">
      <c r="A4057" s="2">
        <v>4058.0</v>
      </c>
      <c r="B4057" s="5" t="s">
        <v>7416</v>
      </c>
      <c r="C4057" s="6">
        <v>2.0</v>
      </c>
      <c r="D4057" s="9" t="s">
        <v>7417</v>
      </c>
      <c r="E4057" s="8" t="str">
        <f>IFERROR(__xludf.DUMMYFUNCTION("googletranslate(D4057,""id"",""en"")"),"The micro PPKM which is based on a regional area like that too, too ...")</f>
        <v>The micro PPKM which is based on a regional area like that too, too ...</v>
      </c>
    </row>
    <row r="4058" ht="15.75" customHeight="1">
      <c r="A4058" s="2">
        <v>4059.0</v>
      </c>
      <c r="B4058" s="5" t="s">
        <v>7418</v>
      </c>
      <c r="C4058" s="6">
        <v>1.0</v>
      </c>
      <c r="D4058" s="9" t="s">
        <v>7419</v>
      </c>
      <c r="E4058" s="8" t="str">
        <f>IFERROR(__xludf.DUMMYFUNCTION("googletranslate(D4058,""id"",""en"")"),"In the air-conditioned bus waiting for the results, just out the bus when tested. And the price of the test antigen is indeed hrgnya around that (so it doesn't want to pay, bring the antigen test srt). Hrs, which is in the passenger, because it is wrong, "&amp;"it doesn't obey the PPKM rules travel out of town without")</f>
        <v>In the air-conditioned bus waiting for the results, just out the bus when tested. And the price of the test antigen is indeed hrgnya around that (so it doesn't want to pay, bring the antigen test srt). Hrs, which is in the passenger, because it is wrong, it doesn't obey the PPKM rules travel out of town without</v>
      </c>
    </row>
    <row r="4059" ht="15.75" customHeight="1">
      <c r="A4059" s="2">
        <v>4060.0</v>
      </c>
      <c r="B4059" s="5" t="s">
        <v>7420</v>
      </c>
      <c r="C4059" s="6">
        <v>3.0</v>
      </c>
      <c r="D4059" s="7" t="s">
        <v>7421</v>
      </c>
      <c r="E4059" s="8" t="str">
        <f>IFERROR(__xludf.DUMMYFUNCTION("googletranslate(D4059,""id"",""en"")"),"Emergency PPKM at the level, only a decisive step to anticipate the transmission of malignant delta variant .5 m and vaccination is a basic basic thing in the implementation of the Emergency PPKM. We are already obedient in its implementation?")</f>
        <v>Emergency PPKM at the level, only a decisive step to anticipate the transmission of malignant delta variant .5 m and vaccination is a basic basic thing in the implementation of the Emergency PPKM. We are already obedient in its implementation?</v>
      </c>
    </row>
    <row r="4060" ht="15.75" customHeight="1">
      <c r="A4060" s="2">
        <v>4061.0</v>
      </c>
      <c r="B4060" s="5" t="s">
        <v>7422</v>
      </c>
      <c r="C4060" s="6">
        <v>1.0</v>
      </c>
      <c r="D4060" s="7" t="s">
        <v>7423</v>
      </c>
      <c r="E4060" s="8" t="str">
        <f>IFERROR(__xludf.DUMMYFUNCTION("googletranslate(D4060,""id"",""en"")"),"After ppkm nongki ae dog at Ivory Walk all looking for girls")</f>
        <v>After ppkm nongki ae dog at Ivory Walk all looking for girls</v>
      </c>
    </row>
    <row r="4061" ht="15.75" customHeight="1">
      <c r="A4061" s="2">
        <v>4062.0</v>
      </c>
      <c r="B4061" s="5" t="s">
        <v>7424</v>
      </c>
      <c r="C4061" s="6">
        <v>2.0</v>
      </c>
      <c r="D4061" s="9" t="s">
        <v>7425</v>
      </c>
      <c r="E4061" s="8" t="str">
        <f>IFERROR(__xludf.DUMMYFUNCTION("googletranslate(D4061,""id"",""en"")"),"This hoax. The correct news, KRN PPKM then all * Inter-city bus passengers must include an antigen test letter *, then for those who do not have a negative test Negative Test on the need to continue the Girnn. Well at the location of the city (before ente"&amp;"ring the city) provides an antigen test and indeed HRS")</f>
        <v>This hoax. The correct news, KRN PPKM then all * Inter-city bus passengers must include an antigen test letter *, then for those who do not have a negative test Negative Test on the need to continue the Girnn. Well at the location of the city (before entering the city) provides an antigen test and indeed HRS</v>
      </c>
    </row>
    <row r="4062" ht="15.75" customHeight="1">
      <c r="A4062" s="2">
        <v>4063.0</v>
      </c>
      <c r="B4062" s="5" t="s">
        <v>7426</v>
      </c>
      <c r="C4062" s="6">
        <v>1.0</v>
      </c>
      <c r="D4062" s="9" t="s">
        <v>7427</v>
      </c>
      <c r="E4062" s="8" t="str">
        <f>IFERROR(__xludf.DUMMYFUNCTION("googletranslate(D4062,""id"",""en"")"),"Era covid this is not all people who are unemployed for worrying but it's hard to find work, especially the PPKM, the level is already rich eating chili..so if you want to talk about using the brain, don't use it, bro, bro, mas")</f>
        <v>Era covid this is not all people who are unemployed for worrying but it's hard to find work, especially the PPKM, the level is already rich eating chili..so if you want to talk about using the brain, don't use it, bro, bro, mas</v>
      </c>
    </row>
    <row r="4063" ht="15.75" customHeight="1">
      <c r="A4063" s="2">
        <v>4064.0</v>
      </c>
      <c r="B4063" s="5" t="s">
        <v>7428</v>
      </c>
      <c r="C4063" s="6">
        <v>1.0</v>
      </c>
      <c r="D4063" s="7" t="s">
        <v>7429</v>
      </c>
      <c r="E4063" s="8" t="str">
        <f>IFERROR(__xludf.DUMMYFUNCTION("googletranslate(D4063,""id"",""en"")"),"Because PPKM. Not eating. Yes kaan ...")</f>
        <v>Because PPKM. Not eating. Yes kaan ...</v>
      </c>
    </row>
    <row r="4064" ht="15.75" customHeight="1">
      <c r="A4064" s="2">
        <v>4065.0</v>
      </c>
      <c r="B4064" s="5" t="s">
        <v>7430</v>
      </c>
      <c r="C4064" s="6">
        <v>3.0</v>
      </c>
      <c r="D4064" s="9" t="s">
        <v>7431</v>
      </c>
      <c r="E4064" s="8" t="str">
        <f>IFERROR(__xludf.DUMMYFUNCTION("googletranslate(D4064,""id"",""en"")"),"I don't know the Vietnam vaccine is minimal, the PPKM is the best currently plus a vaccine that has been massive again, I believe this is DRPD Lockdown")</f>
        <v>I don't know the Vietnam vaccine is minimal, the PPKM is the best currently plus a vaccine that has been massive again, I believe this is DRPD Lockdown</v>
      </c>
    </row>
    <row r="4065" ht="15.75" customHeight="1">
      <c r="A4065" s="2">
        <v>4066.0</v>
      </c>
      <c r="B4065" s="5" t="s">
        <v>7432</v>
      </c>
      <c r="C4065" s="6">
        <v>2.0</v>
      </c>
      <c r="D4065" s="7" t="s">
        <v>7433</v>
      </c>
      <c r="E4065" s="8" t="str">
        <f>IFERROR(__xludf.DUMMYFUNCTION("googletranslate(D4065,""id"",""en"")"),"Calm down, can still be resisted using PPKM level S Pro ..")</f>
        <v>Calm down, can still be resisted using PPKM level S Pro ..</v>
      </c>
    </row>
    <row r="4066" ht="15.75" customHeight="1">
      <c r="A4066" s="2">
        <v>4067.0</v>
      </c>
      <c r="B4066" s="5" t="s">
        <v>7434</v>
      </c>
      <c r="C4066" s="6">
        <v>2.0</v>
      </c>
      <c r="D4066" s="9" t="s">
        <v>7435</v>
      </c>
      <c r="E4066" s="8" t="str">
        <f>IFERROR(__xludf.DUMMYFUNCTION("googletranslate(D4066,""id"",""en"")"),"min, if you want to change the number plate but now in Jakarta and can't pulkam because ppkm can it be done on jkt yeah min? thanks")</f>
        <v>min, if you want to change the number plate but now in Jakarta and can't pulkam because ppkm can it be done on jkt yeah min? thanks</v>
      </c>
    </row>
    <row r="4067" ht="15.75" customHeight="1">
      <c r="A4067" s="2">
        <v>4068.0</v>
      </c>
      <c r="B4067" s="5" t="s">
        <v>7436</v>
      </c>
      <c r="C4067" s="6">
        <v>1.0</v>
      </c>
      <c r="D4067" s="7" t="s">
        <v>7437</v>
      </c>
      <c r="E4067" s="8" t="str">
        <f>IFERROR(__xludf.DUMMYFUNCTION("googletranslate(D4067,""id"",""en"")"),"If the ppkm is mulu, when will it meet it")</f>
        <v>If the ppkm is mulu, when will it meet it</v>
      </c>
    </row>
    <row r="4068" ht="15.75" customHeight="1">
      <c r="A4068" s="2">
        <v>4069.0</v>
      </c>
      <c r="B4068" s="5" t="s">
        <v>7438</v>
      </c>
      <c r="C4068" s="6">
        <v>2.0</v>
      </c>
      <c r="D4068" s="7" t="s">
        <v>7439</v>
      </c>
      <c r="E4068" s="8" t="str">
        <f>IFERROR(__xludf.DUMMYFUNCTION("googletranslate(D4068,""id"",""en"")"),"Again PPKM brothers ...")</f>
        <v>Again PPKM brothers ...</v>
      </c>
    </row>
    <row r="4069" ht="15.75" customHeight="1">
      <c r="A4069" s="2">
        <v>4070.0</v>
      </c>
      <c r="B4069" s="5" t="s">
        <v>7440</v>
      </c>
      <c r="C4069" s="6">
        <v>2.0</v>
      </c>
      <c r="D4069" s="7" t="s">
        <v>7441</v>
      </c>
      <c r="E4069" s="8" t="str">
        <f>IFERROR(__xludf.DUMMYFUNCTION("googletranslate(D4069,""id"",""en"")"),"We have risen level, what are you? PPKM.")</f>
        <v>We have risen level, what are you? PPKM.</v>
      </c>
    </row>
    <row r="4070" ht="15.75" customHeight="1">
      <c r="A4070" s="2">
        <v>4071.0</v>
      </c>
      <c r="B4070" s="5" t="s">
        <v>7442</v>
      </c>
      <c r="C4070" s="6">
        <v>2.0</v>
      </c>
      <c r="D4070" s="7" t="s">
        <v>7443</v>
      </c>
      <c r="E4070" s="8" t="str">
        <f>IFERROR(__xludf.DUMMYFUNCTION("googletranslate(D4070,""id"",""en"")"),"Udh long is from the time of BLM PPKM")</f>
        <v>Udh long is from the time of BLM PPKM</v>
      </c>
    </row>
    <row r="4071" ht="15.75" customHeight="1">
      <c r="A4071" s="2">
        <v>4072.0</v>
      </c>
      <c r="B4071" s="5" t="s">
        <v>7444</v>
      </c>
      <c r="C4071" s="6">
        <v>2.0</v>
      </c>
      <c r="D4071" s="10" t="s">
        <v>7445</v>
      </c>
      <c r="E4071" s="8" t="str">
        <f>IFERROR(__xludf.DUMMYFUNCTION("googletranslate(D4071,""id"",""en"")"),"April PPKM")</f>
        <v>April PPKM</v>
      </c>
    </row>
    <row r="4072" ht="15.75" customHeight="1">
      <c r="A4072" s="2">
        <v>4073.0</v>
      </c>
      <c r="B4072" s="5" t="s">
        <v>7446</v>
      </c>
      <c r="C4072" s="6">
        <v>2.0</v>
      </c>
      <c r="D4072" s="7" t="s">
        <v>7447</v>
      </c>
      <c r="E4072" s="8" t="str">
        <f>IFERROR(__xludf.DUMMYFUNCTION("googletranslate(D4072,""id"",""en"")"),"Kayake During Genose PPKM Doesn't I Love")</f>
        <v>Kayake During Genose PPKM Doesn't I Love</v>
      </c>
    </row>
    <row r="4073" ht="15.75" customHeight="1">
      <c r="A4073" s="2">
        <v>4074.0</v>
      </c>
      <c r="B4073" s="5" t="s">
        <v>7448</v>
      </c>
      <c r="C4073" s="6">
        <v>2.0</v>
      </c>
      <c r="D4073" s="9" t="s">
        <v>7449</v>
      </c>
      <c r="E4073" s="8" t="str">
        <f>IFERROR(__xludf.DUMMYFUNCTION("googletranslate(D4073,""id"",""en"")"),"Can you go to Solo if PPKM?")</f>
        <v>Can you go to Solo if PPKM?</v>
      </c>
    </row>
    <row r="4074" ht="15.75" customHeight="1">
      <c r="A4074" s="2">
        <v>4075.0</v>
      </c>
      <c r="B4074" s="5" t="s">
        <v>7450</v>
      </c>
      <c r="C4074" s="6">
        <v>1.0</v>
      </c>
      <c r="D4074" s="9" t="s">
        <v>7451</v>
      </c>
      <c r="E4074" s="8" t="str">
        <f>IFERROR(__xludf.DUMMYFUNCTION("googletranslate(D4074,""id"",""en"")"),"Rich in my oranggura morning gedebak gedebuk to bank bni gataunyunya until there security said lid and open again because of the ppkm. Ajgggg")</f>
        <v>Rich in my oranggura morning gedebak gedebuk to bank bni gataunyunya until there security said lid and open again because of the ppkm. Ajgggg</v>
      </c>
    </row>
    <row r="4075" ht="15.75" customHeight="1">
      <c r="A4075" s="2">
        <v>4076.0</v>
      </c>
      <c r="B4075" s="5" t="s">
        <v>7452</v>
      </c>
      <c r="C4075" s="6">
        <v>1.0</v>
      </c>
      <c r="D4075" s="7" t="s">
        <v>7453</v>
      </c>
      <c r="E4075" s="8" t="str">
        <f>IFERROR(__xludf.DUMMYFUNCTION("googletranslate(D4075,""id"",""en"")"),"Still insisting about saying that this PPKM is effective?")</f>
        <v>Still insisting about saying that this PPKM is effective?</v>
      </c>
    </row>
    <row r="4076" ht="15.75" customHeight="1">
      <c r="A4076" s="2">
        <v>4077.0</v>
      </c>
      <c r="B4076" s="5" t="s">
        <v>7454</v>
      </c>
      <c r="C4076" s="6">
        <v>2.0</v>
      </c>
      <c r="D4076" s="7" t="s">
        <v>7455</v>
      </c>
      <c r="E4076" s="8" t="str">
        <f>IFERROR(__xludf.DUMMYFUNCTION("googletranslate(D4076,""id"",""en"")"),"PPKM SIST Later Hujat Kek NTU Selebtok Birthday Party")</f>
        <v>PPKM SIST Later Hujat Kek NTU Selebtok Birthday Party</v>
      </c>
    </row>
    <row r="4077" ht="15.75" customHeight="1">
      <c r="A4077" s="2">
        <v>4078.0</v>
      </c>
      <c r="B4077" s="5" t="s">
        <v>7456</v>
      </c>
      <c r="C4077" s="6">
        <v>2.0</v>
      </c>
      <c r="D4077" s="7" t="s">
        <v>7456</v>
      </c>
      <c r="E4077" s="8" t="str">
        <f>IFERROR(__xludf.DUMMYFUNCTION("googletranslate(D4077,""id"",""en"")"),"This PPKM effect is like the new Angel Angel appears in the world alter or just my feelings.")</f>
        <v>This PPKM effect is like the new Angel Angel appears in the world alter or just my feelings.</v>
      </c>
    </row>
    <row r="4078" ht="15.75" customHeight="1">
      <c r="A4078" s="2">
        <v>4079.0</v>
      </c>
      <c r="B4078" s="5" t="s">
        <v>7457</v>
      </c>
      <c r="C4078" s="6">
        <v>3.0</v>
      </c>
      <c r="D4078" s="7" t="s">
        <v>7458</v>
      </c>
      <c r="E4078" s="8" t="str">
        <f>IFERROR(__xludf.DUMMYFUNCTION("googletranslate(D4078,""id"",""en"")"),"PPKM follow, the prokes live, don't make it difficult.")</f>
        <v>PPKM follow, the prokes live, don't make it difficult.</v>
      </c>
    </row>
    <row r="4079" ht="15.75" customHeight="1">
      <c r="A4079" s="2">
        <v>4080.0</v>
      </c>
      <c r="B4079" s="5" t="s">
        <v>7459</v>
      </c>
      <c r="C4079" s="6">
        <v>3.0</v>
      </c>
      <c r="D4079" s="9" t="s">
        <v>7460</v>
      </c>
      <c r="E4079" s="8" t="str">
        <f>IFERROR(__xludf.DUMMYFUNCTION("googletranslate(D4079,""id"",""en"")"),"Anjir t, actually if everyone is really rich, not a rich new person who often shows off $ number $% of their total wealth of PPKM like this will not feel the impact on the lower middle people. Want a PPKM month, it's not a problem from obeying the rules. "&amp;"Hope it is useful.")</f>
        <v>Anjir t, actually if everyone is really rich, not a rich new person who often shows off $ number $% of their total wealth of PPKM like this will not feel the impact on the lower middle people. Want a PPKM month, it's not a problem from obeying the rules. Hope it is useful.</v>
      </c>
    </row>
    <row r="4080" ht="15.75" customHeight="1">
      <c r="A4080" s="2">
        <v>4081.0</v>
      </c>
      <c r="B4080" s="5" t="s">
        <v>7461</v>
      </c>
      <c r="C4080" s="6">
        <v>3.0</v>
      </c>
      <c r="D4080" s="7" t="s">
        <v>7462</v>
      </c>
      <c r="E4080" s="8" t="str">
        <f>IFERROR(__xludf.DUMMYFUNCTION("googletranslate(D4080,""id"",""en"")"),"This is a positive thing we can see if we are all obedient to prokes and PPKM, the government's seriousness seems the result. In overcoming pandemic,")</f>
        <v>This is a positive thing we can see if we are all obedient to prokes and PPKM, the government's seriousness seems the result. In overcoming pandemic,</v>
      </c>
    </row>
    <row r="4081" ht="15.75" customHeight="1">
      <c r="A4081" s="2">
        <v>4082.0</v>
      </c>
      <c r="B4081" s="5" t="s">
        <v>7463</v>
      </c>
      <c r="C4081" s="6">
        <v>1.0</v>
      </c>
      <c r="D4081" s="7" t="s">
        <v>7464</v>
      </c>
      <c r="E4081" s="8" t="str">
        <f>IFERROR(__xludf.DUMMYFUNCTION("googletranslate(D4081,""id"",""en"")"),"Why is vaccination can be very minimal? Nakes tired? Rs full? Empty vaccine? Isn't that all the evidence if we can't control this outbreak with PPKM?")</f>
        <v>Why is vaccination can be very minimal? Nakes tired? Rs full? Empty vaccine? Isn't that all the evidence if we can't control this outbreak with PPKM?</v>
      </c>
    </row>
    <row r="4082" ht="15.75" customHeight="1">
      <c r="A4082" s="2">
        <v>4083.0</v>
      </c>
      <c r="B4082" s="5" t="s">
        <v>7465</v>
      </c>
      <c r="C4082" s="6">
        <v>2.0</v>
      </c>
      <c r="D4082" s="7" t="s">
        <v>7466</v>
      </c>
      <c r="E4082" s="8" t="str">
        <f>IFERROR(__xludf.DUMMYFUNCTION("googletranslate(D4082,""id"",""en"")"),"PPKM means interacting with paper bundles")</f>
        <v>PPKM means interacting with paper bundles</v>
      </c>
    </row>
    <row r="4083" ht="15.75" customHeight="1">
      <c r="A4083" s="2">
        <v>4084.0</v>
      </c>
      <c r="B4083" s="5" t="s">
        <v>7467</v>
      </c>
      <c r="C4083" s="6">
        <v>2.0</v>
      </c>
      <c r="D4083" s="9" t="s">
        <v>7468</v>
      </c>
      <c r="E4083" s="8" t="str">
        <f>IFERROR(__xludf.DUMMYFUNCTION("googletranslate(D4083,""id"",""en"")"),"Just sure with the PPKM level defender. As long as you just have Marcelo, I have been dying, the other friend tastes the three of them behind.")</f>
        <v>Just sure with the PPKM level defender. As long as you just have Marcelo, I have been dying, the other friend tastes the three of them behind.</v>
      </c>
    </row>
    <row r="4084" ht="15.75" customHeight="1">
      <c r="A4084" s="2">
        <v>4085.0</v>
      </c>
      <c r="B4084" s="5" t="s">
        <v>7469</v>
      </c>
      <c r="C4084" s="6">
        <v>2.0</v>
      </c>
      <c r="D4084" s="7" t="s">
        <v>7470</v>
      </c>
      <c r="E4084" s="8" t="str">
        <f>IFERROR(__xludf.DUMMYFUNCTION("googletranslate(D4084,""id"",""en"")"),"Right again ppkm kanda fun can increase immune ...")</f>
        <v>Right again ppkm kanda fun can increase immune ...</v>
      </c>
    </row>
    <row r="4085" ht="15.75" customHeight="1">
      <c r="A4085" s="2">
        <v>4086.0</v>
      </c>
      <c r="B4085" s="5" t="s">
        <v>7471</v>
      </c>
      <c r="C4085" s="6">
        <v>2.0</v>
      </c>
      <c r="D4085" s="7" t="s">
        <v>7472</v>
      </c>
      <c r="E4085" s="8" t="str">
        <f>IFERROR(__xludf.DUMMYFUNCTION("googletranslate(D4085,""id"",""en"")"),"ppkm = panic panic you")</f>
        <v>ppkm = panic panic you</v>
      </c>
    </row>
    <row r="4086" ht="15.75" customHeight="1">
      <c r="A4086" s="2">
        <v>4087.0</v>
      </c>
      <c r="B4086" s="5" t="s">
        <v>7473</v>
      </c>
      <c r="C4086" s="6">
        <v>1.0</v>
      </c>
      <c r="D4086" s="7" t="s">
        <v>7474</v>
      </c>
      <c r="E4086" s="8" t="str">
        <f>IFERROR(__xludf.DUMMYFUNCTION("googletranslate(D4086,""id"",""en"")"),"If with the PPKM extended and the result is still the same, then it will be continued with the penalty shootout ...! ne ra can be mending back sir, _")</f>
        <v>If with the PPKM extended and the result is still the same, then it will be continued with the penalty shootout ...! ne ra can be mending back sir, _</v>
      </c>
    </row>
    <row r="4087" ht="15.75" customHeight="1">
      <c r="A4087" s="2">
        <v>4088.0</v>
      </c>
      <c r="B4087" s="5" t="s">
        <v>7475</v>
      </c>
      <c r="C4087" s="6">
        <v>1.0</v>
      </c>
      <c r="D4087" s="7" t="s">
        <v>7475</v>
      </c>
      <c r="E4087" s="8" t="str">
        <f>IFERROR(__xludf.DUMMYFUNCTION("googletranslate(D4087,""id"",""en"")"),"I have been florching. Military police were reduced to curb troubled civilians. However, there are members of the TNI who were interrogated by police officers at the time of insulation - PPKM.")</f>
        <v>I have been florching. Military police were reduced to curb troubled civilians. However, there are members of the TNI who were interrogated by police officers at the time of insulation - PPKM.</v>
      </c>
    </row>
    <row r="4088" ht="15.75" customHeight="1">
      <c r="A4088" s="2">
        <v>4089.0</v>
      </c>
      <c r="B4088" s="5" t="s">
        <v>7476</v>
      </c>
      <c r="C4088" s="6">
        <v>1.0</v>
      </c>
      <c r="D4088" s="7" t="s">
        <v>7477</v>
      </c>
      <c r="E4088" s="8" t="str">
        <f>IFERROR(__xludf.DUMMYFUNCTION("googletranslate(D4088,""id"",""en"")"),"Good morning the people waiting for PPKM finished and will add to it ...")</f>
        <v>Good morning the people waiting for PPKM finished and will add to it ...</v>
      </c>
    </row>
    <row r="4089" ht="15.75" customHeight="1">
      <c r="A4089" s="2">
        <v>4090.0</v>
      </c>
      <c r="B4089" s="5" t="s">
        <v>7478</v>
      </c>
      <c r="C4089" s="6">
        <v>2.0</v>
      </c>
      <c r="D4089" s="7" t="s">
        <v>7479</v>
      </c>
      <c r="E4089" s="8" t="str">
        <f>IFERROR(__xludf.DUMMYFUNCTION("googletranslate(D4089,""id"",""en"")"),"Entering the age of aka teenagers are underestimated, even though the breakfast of breakfast goat soup Hasan mustache mantapanjengyes tp bogor odd even ppkm ppkkm p3k etc. etc. lah y yaudalaya ok")</f>
        <v>Entering the age of aka teenagers are underestimated, even though the breakfast of breakfast goat soup Hasan mustache mantapanjengyes tp bogor odd even ppkm ppkkm p3k etc. etc. lah y yaudalaya ok</v>
      </c>
    </row>
    <row r="4090" ht="15.75" customHeight="1">
      <c r="A4090" s="2">
        <v>4091.0</v>
      </c>
      <c r="B4090" s="5" t="s">
        <v>7480</v>
      </c>
      <c r="C4090" s="6">
        <v>2.0</v>
      </c>
      <c r="D4090" s="9" t="s">
        <v>7481</v>
      </c>
      <c r="E4090" s="8" t="str">
        <f>IFERROR(__xludf.DUMMYFUNCTION("googletranslate(D4090,""id"",""en"")"),"Shopee Food area Semarang hasn't been launched ... Initially I want this July simultaneously. But because PPKM was postponed.")</f>
        <v>Shopee Food area Semarang hasn't been launched ... Initially I want this July simultaneously. But because PPKM was postponed.</v>
      </c>
    </row>
    <row r="4091" ht="15.75" customHeight="1">
      <c r="A4091" s="2">
        <v>4092.0</v>
      </c>
      <c r="B4091" s="5" t="s">
        <v>7482</v>
      </c>
      <c r="C4091" s="6">
        <v>1.0</v>
      </c>
      <c r="D4091" s="9" t="s">
        <v>7483</v>
      </c>
      <c r="E4091" s="8" t="str">
        <f>IFERROR(__xludf.DUMMYFUNCTION("googletranslate(D4091,""id"",""en"")"),"Mr. Stop PPKM Many of the Impact, Suggestion Sy Pak Better made Loaded in the Mall at the shopping center Must have a vaccine certificate, if you want a vacation out of town there must also be a vaccine certificate, still hold a raid for vaccines, keep on"&amp;" the prokes")</f>
        <v>Mr. Stop PPKM Many of the Impact, Suggestion Sy Pak Better made Loaded in the Mall at the shopping center Must have a vaccine certificate, if you want a vacation out of town there must also be a vaccine certificate, still hold a raid for vaccines, keep on the prokes</v>
      </c>
    </row>
    <row r="4092" ht="15.75" customHeight="1">
      <c r="A4092" s="2">
        <v>4093.0</v>
      </c>
      <c r="B4092" s="5" t="s">
        <v>7484</v>
      </c>
      <c r="C4092" s="6">
        <v>2.0</v>
      </c>
      <c r="D4092" s="7" t="s">
        <v>7485</v>
      </c>
      <c r="E4092" s="8" t="str">
        <f>IFERROR(__xludf.DUMMYFUNCTION("googletranslate(D4092,""id"",""en"")"),"Thank you Dul, wait for PPKM finished Ye")</f>
        <v>Thank you Dul, wait for PPKM finished Ye</v>
      </c>
    </row>
    <row r="4093" ht="15.75" customHeight="1">
      <c r="A4093" s="2">
        <v>4094.0</v>
      </c>
      <c r="B4093" s="5" t="s">
        <v>7486</v>
      </c>
      <c r="C4093" s="6">
        <v>2.0</v>
      </c>
      <c r="D4093" s="7" t="s">
        <v>7487</v>
      </c>
      <c r="E4093" s="8" t="str">
        <f>IFERROR(__xludf.DUMMYFUNCTION("googletranslate(D4093,""id"",""en"")"),"Dilemma wants to eat chicken noodles but it's not good if it's wrapped, but again PPKM")</f>
        <v>Dilemma wants to eat chicken noodles but it's not good if it's wrapped, but again PPKM</v>
      </c>
    </row>
    <row r="4094" ht="15.75" customHeight="1">
      <c r="A4094" s="2">
        <v>4095.0</v>
      </c>
      <c r="B4094" s="5" t="s">
        <v>7488</v>
      </c>
      <c r="C4094" s="6">
        <v>2.0</v>
      </c>
      <c r="D4094" s="7" t="s">
        <v>7489</v>
      </c>
      <c r="E4094" s="8" t="str">
        <f>IFERROR(__xludf.DUMMYFUNCTION("googletranslate(D4094,""id"",""en"")"),"Here nder, but just after the ppkm")</f>
        <v>Here nder, but just after the ppkm</v>
      </c>
    </row>
    <row r="4095" ht="15.75" customHeight="1">
      <c r="A4095" s="2">
        <v>4096.0</v>
      </c>
      <c r="B4095" s="5" t="s">
        <v>7490</v>
      </c>
      <c r="C4095" s="6">
        <v>1.0</v>
      </c>
      <c r="D4095" s="7" t="s">
        <v>7491</v>
      </c>
      <c r="E4095" s="8" t="str">
        <f>IFERROR(__xludf.DUMMYFUNCTION("googletranslate(D4095,""id"",""en"")"),"It doesn't expect to get rid of that prof, ppkm")</f>
        <v>It doesn't expect to get rid of that prof, ppkm</v>
      </c>
    </row>
    <row r="4096" ht="15.75" customHeight="1">
      <c r="A4096" s="2">
        <v>4097.0</v>
      </c>
      <c r="B4096" s="5" t="s">
        <v>7492</v>
      </c>
      <c r="C4096" s="6">
        <v>2.0</v>
      </c>
      <c r="D4096" s="7" t="s">
        <v>7492</v>
      </c>
      <c r="E4096" s="8" t="str">
        <f>IFERROR(__xludf.DUMMYFUNCTION("googletranslate(D4096,""id"",""en"")"),"Ppkm extends my chat on a short level")</f>
        <v>Ppkm extends my chat on a short level</v>
      </c>
    </row>
    <row r="4097" ht="15.75" customHeight="1">
      <c r="A4097" s="2">
        <v>4098.0</v>
      </c>
      <c r="B4097" s="5" t="s">
        <v>7493</v>
      </c>
      <c r="C4097" s="6">
        <v>1.0</v>
      </c>
      <c r="D4097" s="9" t="s">
        <v>7493</v>
      </c>
      <c r="E4097" s="8" t="str">
        <f>IFERROR(__xludf.DUMMYFUNCTION("googletranslate(D4097,""id"",""en"")"),"As long as the PPKM road is closed even though it leaks too, just annoys. Ga pimpan passion, started the double maskeran and felt Engapp, a lot of sad news, stopped by when I left RMH was reluctant. Straight kek usually cwk k superindo")</f>
        <v>As long as the PPKM road is closed even though it leaks too, just annoys. Ga pimpan passion, started the double maskeran and felt Engapp, a lot of sad news, stopped by when I left RMH was reluctant. Straight kek usually cwk k superindo</v>
      </c>
    </row>
    <row r="4098" ht="15.75" customHeight="1">
      <c r="A4098" s="2">
        <v>4099.0</v>
      </c>
      <c r="B4098" s="5" t="s">
        <v>7494</v>
      </c>
      <c r="C4098" s="6">
        <v>2.0</v>
      </c>
      <c r="D4098" s="10" t="s">
        <v>7495</v>
      </c>
      <c r="E4098" s="8" t="str">
        <f>IFERROR(__xludf.DUMMYFUNCTION("googletranslate(D4098,""id"",""en"")"),"PPKM Level")</f>
        <v>PPKM Level</v>
      </c>
    </row>
    <row r="4099" ht="15.75" customHeight="1">
      <c r="A4099" s="2">
        <v>4100.0</v>
      </c>
      <c r="B4099" s="5" t="s">
        <v>7496</v>
      </c>
      <c r="C4099" s="6">
        <v>2.0</v>
      </c>
      <c r="D4099" s="7" t="s">
        <v>7496</v>
      </c>
      <c r="E4099" s="8" t="str">
        <f>IFERROR(__xludf.DUMMYFUNCTION("googletranslate(D4099,""id"",""en"")"),"Wait for the PPKM Duls")</f>
        <v>Wait for the PPKM Duls</v>
      </c>
    </row>
    <row r="4100" ht="15.75" customHeight="1">
      <c r="A4100" s="2">
        <v>4101.0</v>
      </c>
      <c r="B4100" s="5" t="s">
        <v>7497</v>
      </c>
      <c r="C4100" s="6">
        <v>1.0</v>
      </c>
      <c r="D4100" s="7" t="s">
        <v>7498</v>
      </c>
      <c r="E4100" s="8" t="str">
        <f>IFERROR(__xludf.DUMMYFUNCTION("googletranslate(D4100,""id"",""en"")"),"One impact of the PPKM is the limited convection business, so the procurement of our security guard uniform is hampered. And according to the no / 2021 pollination this August. Is there a tolerance of the provisions?")</f>
        <v>One impact of the PPKM is the limited convection business, so the procurement of our security guard uniform is hampered. And according to the no / 2021 pollination this August. Is there a tolerance of the provisions?</v>
      </c>
    </row>
    <row r="4101" ht="15.75" customHeight="1">
      <c r="A4101" s="2">
        <v>4102.0</v>
      </c>
      <c r="B4101" s="5" t="s">
        <v>7499</v>
      </c>
      <c r="C4101" s="6">
        <v>1.0</v>
      </c>
      <c r="D4101" s="9" t="s">
        <v>7500</v>
      </c>
      <c r="E4101" s="8" t="str">
        <f>IFERROR(__xludf.DUMMYFUNCTION("googletranslate(D4101,""id"",""en"")"),"Because what makes this book an author2 is all the same. Their work is good, it doesn't need to doubt. Besides this PPKM beuh can be frustrated too, it can not be everywhere, stress online it feels, the task continues there is no pause. Besides that I liv"&amp;"e in the village, there is a more hourly clock if it rises Speda")</f>
        <v>Because what makes this book an author2 is all the same. Their work is good, it doesn't need to doubt. Besides this PPKM beuh can be frustrated too, it can not be everywhere, stress online it feels, the task continues there is no pause. Besides that I live in the village, there is a more hourly clock if it rises Speda</v>
      </c>
    </row>
    <row r="4102" ht="15.75" customHeight="1">
      <c r="A4102" s="2">
        <v>4103.0</v>
      </c>
      <c r="B4102" s="5" t="s">
        <v>7501</v>
      </c>
      <c r="C4102" s="6">
        <v>1.0</v>
      </c>
      <c r="D4102" s="7" t="s">
        <v>7502</v>
      </c>
      <c r="E4102" s="8" t="str">
        <f>IFERROR(__xludf.DUMMYFUNCTION("googletranslate(D4102,""id"",""en"")"),"Good morning ... which during the ppkm was inside until it was gum")</f>
        <v>Good morning ... which during the ppkm was inside until it was gum</v>
      </c>
    </row>
    <row r="4103" ht="15.75" customHeight="1">
      <c r="A4103" s="2">
        <v>4104.0</v>
      </c>
      <c r="B4103" s="5" t="s">
        <v>7503</v>
      </c>
      <c r="C4103" s="6">
        <v>2.0</v>
      </c>
      <c r="D4103" s="7" t="s">
        <v>7504</v>
      </c>
      <c r="E4103" s="8" t="str">
        <f>IFERROR(__xludf.DUMMYFUNCTION("googletranslate(D4103,""id"",""en"")"),"keknya from the beginning of the PPKM also the influence of SM activities in Jogja here")</f>
        <v>keknya from the beginning of the PPKM also the influence of SM activities in Jogja here</v>
      </c>
    </row>
    <row r="4104" ht="15.75" customHeight="1">
      <c r="A4104" s="2">
        <v>4105.0</v>
      </c>
      <c r="B4104" s="5" t="s">
        <v>7505</v>
      </c>
      <c r="C4104" s="6">
        <v>2.0</v>
      </c>
      <c r="D4104" s="7" t="s">
        <v>7506</v>
      </c>
      <c r="E4104" s="8" t="str">
        <f>IFERROR(__xludf.DUMMYFUNCTION("googletranslate(D4104,""id"",""en"")"),"When you hear the PPKM extended")</f>
        <v>When you hear the PPKM extended</v>
      </c>
    </row>
    <row r="4105" ht="15.75" customHeight="1">
      <c r="A4105" s="2">
        <v>4106.0</v>
      </c>
      <c r="B4105" s="5" t="s">
        <v>7507</v>
      </c>
      <c r="C4105" s="6">
        <v>1.0</v>
      </c>
      <c r="D4105" s="9" t="s">
        <v>7508</v>
      </c>
      <c r="E4105" s="8" t="str">
        <f>IFERROR(__xludf.DUMMYFUNCTION("googletranslate(D4105,""id"",""en"")"),"This is not a new account for a senior buzzer, it has a stupidity of the rich level of PPKM, the more foolishness is getting bigger")</f>
        <v>This is not a new account for a senior buzzer, it has a stupidity of the rich level of PPKM, the more foolishness is getting bigger</v>
      </c>
    </row>
    <row r="4106" ht="15.75" customHeight="1">
      <c r="A4106" s="2">
        <v>4107.0</v>
      </c>
      <c r="B4106" s="5" t="s">
        <v>7509</v>
      </c>
      <c r="C4106" s="6">
        <v>2.0</v>
      </c>
      <c r="D4106" s="7" t="s">
        <v>7510</v>
      </c>
      <c r="E4106" s="8" t="str">
        <f>IFERROR(__xludf.DUMMYFUNCTION("googletranslate(D4106,""id"",""en"")"),"I've built doong, right after the ppkm road can be")</f>
        <v>I've built doong, right after the ppkm road can be</v>
      </c>
    </row>
    <row r="4107" ht="15.75" customHeight="1">
      <c r="A4107" s="2">
        <v>4108.0</v>
      </c>
      <c r="B4107" s="5" t="s">
        <v>7511</v>
      </c>
      <c r="C4107" s="6">
        <v>2.0</v>
      </c>
      <c r="D4107" s="10" t="s">
        <v>7512</v>
      </c>
      <c r="E4107" s="8" t="str">
        <f>IFERROR(__xludf.DUMMYFUNCTION("googletranslate(D4107,""id"",""en"")"),"There is PPKM")</f>
        <v>There is PPKM</v>
      </c>
    </row>
    <row r="4108" ht="15.75" customHeight="1">
      <c r="A4108" s="2">
        <v>4109.0</v>
      </c>
      <c r="B4108" s="5" t="s">
        <v>7513</v>
      </c>
      <c r="C4108" s="6">
        <v>2.0</v>
      </c>
      <c r="D4108" s="7" t="s">
        <v>7514</v>
      </c>
      <c r="E4108" s="8" t="str">
        <f>IFERROR(__xludf.DUMMYFUNCTION("googletranslate(D4108,""id"",""en"")"),"PPKM level is a little varied filled with film level (weird TP Okela)")</f>
        <v>PPKM level is a little varied filled with film level (weird TP Okela)</v>
      </c>
    </row>
    <row r="4109" ht="15.75" customHeight="1">
      <c r="A4109" s="2">
        <v>4110.0</v>
      </c>
      <c r="B4109" s="5" t="s">
        <v>7515</v>
      </c>
      <c r="C4109" s="6">
        <v>1.0</v>
      </c>
      <c r="D4109" s="7" t="s">
        <v>7515</v>
      </c>
      <c r="E4109" s="8" t="str">
        <f>IFERROR(__xludf.DUMMYFUNCTION("googletranslate(D4109,""id"",""en"")"),"I think the ppkm will not have anything to know it is binyik")</f>
        <v>I think the ppkm will not have anything to know it is binyik</v>
      </c>
    </row>
    <row r="4110" ht="15.75" customHeight="1">
      <c r="A4110" s="2">
        <v>4111.0</v>
      </c>
      <c r="B4110" s="5" t="s">
        <v>7516</v>
      </c>
      <c r="C4110" s="6">
        <v>1.0</v>
      </c>
      <c r="D4110" s="9" t="s">
        <v>7517</v>
      </c>
      <c r="E4110" s="8" t="str">
        <f>IFERROR(__xludf.DUMMYFUNCTION("googletranslate(D4110,""id"",""en"")"),"The bigger, the more bosen is also old. Play the cellphone but Gasuka played the cellphone, Mo played out PPKM, watching almost every hour every minute, playing the game but Gasuka Ngeegame, Nugas, just waiting for the UAS finished. Yeah, bored my life .."&amp;".")</f>
        <v>The bigger, the more bosen is also old. Play the cellphone but Gasuka played the cellphone, Mo played out PPKM, watching almost every hour every minute, playing the game but Gasuka Ngeegame, Nugas, just waiting for the UAS finished. Yeah, bored my life ...</v>
      </c>
    </row>
    <row r="4111" ht="15.75" customHeight="1">
      <c r="A4111" s="2">
        <v>4112.0</v>
      </c>
      <c r="B4111" s="5" t="s">
        <v>7518</v>
      </c>
      <c r="C4111" s="6">
        <v>1.0</v>
      </c>
      <c r="D4111" s="7" t="s">
        <v>7519</v>
      </c>
      <c r="E4111" s="8" t="str">
        <f>IFERROR(__xludf.DUMMYFUNCTION("googletranslate(D4111,""id"",""en"")"),"huaaaa let's finish pgn to mothercare buy a gift for your child")</f>
        <v>huaaaa let's finish pgn to mothercare buy a gift for your child</v>
      </c>
    </row>
    <row r="4112" ht="15.75" customHeight="1">
      <c r="A4112" s="2">
        <v>4113.0</v>
      </c>
      <c r="B4112" s="5" t="s">
        <v>7520</v>
      </c>
      <c r="C4112" s="6">
        <v>3.0</v>
      </c>
      <c r="D4112" s="7" t="s">
        <v>7521</v>
      </c>
      <c r="E4112" s="8" t="str">
        <f>IFERROR(__xludf.DUMMYFUNCTION("googletranslate(D4112,""id"",""en"")"),"Agree when fighters fight for Indonesian names. We in the country struggling to lower the ego Success PPKM reduced the mortality rate and spread of Covid-19.")</f>
        <v>Agree when fighters fight for Indonesian names. We in the country struggling to lower the ego Success PPKM reduced the mortality rate and spread of Covid-19.</v>
      </c>
    </row>
    <row r="4113" ht="15.75" customHeight="1">
      <c r="A4113" s="2">
        <v>4114.0</v>
      </c>
      <c r="B4113" s="5" t="s">
        <v>7522</v>
      </c>
      <c r="C4113" s="6">
        <v>1.0</v>
      </c>
      <c r="D4113" s="9" t="s">
        <v>7523</v>
      </c>
      <c r="E4113" s="8" t="str">
        <f>IFERROR(__xludf.DUMMYFUNCTION("googletranslate(D4113,""id"",""en"")"),"WOY AK GBUT WHO WANTS WANT DM SIE SIE NTAR BEKHERN THE PPKM PPKM Spicy Level Mampus BTW I AVA DASHA TARAN TRIMSS")</f>
        <v>WOY AK GBUT WHO WANTS WANT DM SIE SIE NTAR BEKHERN THE PPKM PPKM Spicy Level Mampus BTW I AVA DASHA TARAN TRIMSS</v>
      </c>
    </row>
    <row r="4114" ht="15.75" customHeight="1">
      <c r="A4114" s="2">
        <v>4115.0</v>
      </c>
      <c r="B4114" s="5" t="s">
        <v>7524</v>
      </c>
      <c r="C4114" s="6">
        <v>2.0</v>
      </c>
      <c r="D4114" s="7" t="s">
        <v>7525</v>
      </c>
      <c r="E4114" s="8" t="str">
        <f>IFERROR(__xludf.DUMMYFUNCTION("googletranslate(D4114,""id"",""en"")"),"LFC victims of PPKM, huh? Bener's economical")</f>
        <v>LFC victims of PPKM, huh? Bener's economical</v>
      </c>
    </row>
    <row r="4115" ht="15.75" customHeight="1">
      <c r="A4115" s="2">
        <v>4116.0</v>
      </c>
      <c r="B4115" s="5" t="s">
        <v>7526</v>
      </c>
      <c r="C4115" s="6">
        <v>1.0</v>
      </c>
      <c r="D4115" s="7" t="s">
        <v>7527</v>
      </c>
      <c r="E4115" s="8" t="str">
        <f>IFERROR(__xludf.DUMMYFUNCTION("googletranslate(D4115,""id"",""en"")"),"Virtual Meets Again Amen, PPKM Extends Not")</f>
        <v>Virtual Meets Again Amen, PPKM Extends Not</v>
      </c>
    </row>
    <row r="4116" ht="15.75" customHeight="1">
      <c r="A4116" s="2">
        <v>4117.0</v>
      </c>
      <c r="B4116" s="5" t="s">
        <v>7528</v>
      </c>
      <c r="C4116" s="6">
        <v>2.0</v>
      </c>
      <c r="D4116" s="9" t="s">
        <v>7529</v>
      </c>
      <c r="E4116" s="8" t="str">
        <f>IFERROR(__xludf.DUMMYFUNCTION("googletranslate(D4116,""id"",""en"")"),"Randomous things during the PPKM are Ngefollow Account IG Alpaca. Really emesh. Want Miara.")</f>
        <v>Randomous things during the PPKM are Ngefollow Account IG Alpaca. Really emesh. Want Miara.</v>
      </c>
    </row>
    <row r="4117" ht="15.75" customHeight="1">
      <c r="A4117" s="2">
        <v>4118.0</v>
      </c>
      <c r="B4117" s="5" t="s">
        <v>7530</v>
      </c>
      <c r="C4117" s="6">
        <v>3.0</v>
      </c>
      <c r="D4117" s="7" t="s">
        <v>7521</v>
      </c>
      <c r="E4117" s="8" t="str">
        <f>IFERROR(__xludf.DUMMYFUNCTION("googletranslate(D4117,""id"",""en"")"),"Agree when fighters fight for Indonesian names. We in the country struggling to lower the ego Success PPKM reduced the mortality rate and spread of Covid-19.")</f>
        <v>Agree when fighters fight for Indonesian names. We in the country struggling to lower the ego Success PPKM reduced the mortality rate and spread of Covid-19.</v>
      </c>
    </row>
    <row r="4118" ht="15.75" customHeight="1">
      <c r="A4118" s="2">
        <v>4119.0</v>
      </c>
      <c r="B4118" s="5" t="s">
        <v>7531</v>
      </c>
      <c r="C4118" s="6">
        <v>3.0</v>
      </c>
      <c r="D4118" s="7" t="s">
        <v>7532</v>
      </c>
      <c r="E4118" s="8" t="str">
        <f>IFERROR(__xludf.DUMMYFUNCTION("googletranslate(D4118,""id"",""en"")"),"Bansos PPKMjokowi Caring for Indonesia")</f>
        <v>Bansos PPKMjokowi Caring for Indonesia</v>
      </c>
    </row>
    <row r="4119" ht="15.75" customHeight="1">
      <c r="A4119" s="2">
        <v>4120.0</v>
      </c>
      <c r="B4119" s="5" t="s">
        <v>7533</v>
      </c>
      <c r="C4119" s="6">
        <v>2.0</v>
      </c>
      <c r="D4119" s="7" t="s">
        <v>7534</v>
      </c>
      <c r="E4119" s="8" t="str">
        <f>IFERROR(__xludf.DUMMYFUNCTION("googletranslate(D4119,""id"",""en"")"),"Ppkm extended but your cht will not be extended")</f>
        <v>Ppkm extended but your cht will not be extended</v>
      </c>
    </row>
    <row r="4120" ht="15.75" customHeight="1">
      <c r="A4120" s="2">
        <v>4121.0</v>
      </c>
      <c r="B4120" s="5" t="s">
        <v>7535</v>
      </c>
      <c r="C4120" s="6">
        <v>2.0</v>
      </c>
      <c r="D4120" s="7" t="s">
        <v>7536</v>
      </c>
      <c r="E4120" s="8" t="str">
        <f>IFERROR(__xludf.DUMMYFUNCTION("googletranslate(D4120,""id"",""en"")"),"Gun Giga Gi Gataau? Cibodas. Hayu Atuh PPKM Gas")</f>
        <v>Gun Giga Gi Gataau? Cibodas. Hayu Atuh PPKM Gas</v>
      </c>
    </row>
    <row r="4121" ht="15.75" customHeight="1">
      <c r="A4121" s="2">
        <v>4122.0</v>
      </c>
      <c r="B4121" s="5" t="s">
        <v>7537</v>
      </c>
      <c r="C4121" s="6">
        <v>1.0</v>
      </c>
      <c r="D4121" s="7" t="s">
        <v>7538</v>
      </c>
      <c r="E4121" s="8" t="str">
        <f>IFERROR(__xludf.DUMMYFUNCTION("googletranslate(D4121,""id"",""en"")"),"Sharing C19 Continues PPKM Add Level Increasingly Long People People's Inithudi Chinese: Sinovac Vaccine Antibodies only last the moon")</f>
        <v>Sharing C19 Continues PPKM Add Level Increasingly Long People People's Inithudi Chinese: Sinovac Vaccine Antibodies only last the moon</v>
      </c>
    </row>
    <row r="4122" ht="15.75" customHeight="1">
      <c r="A4122" s="2">
        <v>4123.0</v>
      </c>
      <c r="B4122" s="5" t="s">
        <v>7539</v>
      </c>
      <c r="C4122" s="6">
        <v>2.0</v>
      </c>
      <c r="D4122" s="7" t="s">
        <v>7540</v>
      </c>
      <c r="E4122" s="8" t="str">
        <f>IFERROR(__xludf.DUMMYFUNCTION("googletranslate(D4122,""id"",""en"")"),"PPKM 'extended until the woman said yes sorry I was wrong.")</f>
        <v>PPKM 'extended until the woman said yes sorry I was wrong.</v>
      </c>
    </row>
    <row r="4123" ht="15.75" customHeight="1">
      <c r="A4123" s="2">
        <v>4124.0</v>
      </c>
      <c r="B4123" s="5" t="s">
        <v>7541</v>
      </c>
      <c r="C4123" s="6">
        <v>2.0</v>
      </c>
      <c r="D4123" s="10" t="s">
        <v>6349</v>
      </c>
      <c r="E4123" s="8" t="str">
        <f>IFERROR(__xludf.DUMMYFUNCTION("googletranslate(D4123,""id"",""en"")"),"Kan PPKM.")</f>
        <v>Kan PPKM.</v>
      </c>
    </row>
    <row r="4124" ht="15.75" customHeight="1">
      <c r="A4124" s="2">
        <v>4125.0</v>
      </c>
      <c r="B4124" s="5" t="s">
        <v>7542</v>
      </c>
      <c r="C4124" s="6">
        <v>2.0</v>
      </c>
      <c r="D4124" s="7" t="s">
        <v>7542</v>
      </c>
      <c r="E4124" s="8" t="str">
        <f>IFERROR(__xludf.DUMMYFUNCTION("googletranslate(D4124,""id"",""en"")"),"PPKM: I slowly retreated slowly")</f>
        <v>PPKM: I slowly retreated slowly</v>
      </c>
    </row>
    <row r="4125" ht="15.75" customHeight="1">
      <c r="A4125" s="2">
        <v>4126.0</v>
      </c>
      <c r="B4125" s="5" t="s">
        <v>7543</v>
      </c>
      <c r="C4125" s="6">
        <v>1.0</v>
      </c>
      <c r="D4125" s="7" t="s">
        <v>7543</v>
      </c>
      <c r="E4125" s="8" t="str">
        <f>IFERROR(__xludf.DUMMYFUNCTION("googletranslate(D4125,""id"",""en"")"),"Ppkm when the completion of Woi, need healing already stressful level")</f>
        <v>Ppkm when the completion of Woi, need healing already stressful level</v>
      </c>
    </row>
    <row r="4126" ht="15.75" customHeight="1">
      <c r="A4126" s="2">
        <v>4127.0</v>
      </c>
      <c r="B4126" s="5" t="s">
        <v>7544</v>
      </c>
      <c r="C4126" s="6">
        <v>1.0</v>
      </c>
      <c r="D4126" s="9" t="s">
        <v>7545</v>
      </c>
      <c r="E4126" s="8" t="str">
        <f>IFERROR(__xludf.DUMMYFUNCTION("googletranslate(D4126,""id"",""en"")"),"Our government is like this first to think of this pandemic. Choose the cost of the cost with PSBB / PPKM, it turns out that since April it doesn't finish. PDHL if since WHO declares a pandemic in March directly Lockdown the month like Wuhan, the total co"&amp;"st can be smaller lbh")</f>
        <v>Our government is like this first to think of this pandemic. Choose the cost of the cost with PSBB / PPKM, it turns out that since April it doesn't finish. PDHL if since WHO declares a pandemic in March directly Lockdown the month like Wuhan, the total cost can be smaller lbh</v>
      </c>
    </row>
    <row r="4127" ht="15.75" customHeight="1">
      <c r="A4127" s="2">
        <v>4128.0</v>
      </c>
      <c r="B4127" s="5" t="s">
        <v>7546</v>
      </c>
      <c r="C4127" s="6">
        <v>3.0</v>
      </c>
      <c r="D4127" s="7" t="s">
        <v>7547</v>
      </c>
      <c r="E4127" s="8" t="str">
        <f>IFERROR(__xludf.DUMMYFUNCTION("googletranslate(D4127,""id"",""en"")"),"The community and apparatus must be together to create a conducive, orderly and obedient atmosphere of prokes. For the sake of breaking the chain of Covid deployment and the success of the PPKM.")</f>
        <v>The community and apparatus must be together to create a conducive, orderly and obedient atmosphere of prokes. For the sake of breaking the chain of Covid deployment and the success of the PPKM.</v>
      </c>
    </row>
    <row r="4128" ht="15.75" customHeight="1">
      <c r="A4128" s="2">
        <v>4129.0</v>
      </c>
      <c r="B4128" s="5" t="s">
        <v>7548</v>
      </c>
      <c r="C4128" s="6">
        <v>3.0</v>
      </c>
      <c r="D4128" s="7" t="s">
        <v>7547</v>
      </c>
      <c r="E4128" s="8" t="str">
        <f>IFERROR(__xludf.DUMMYFUNCTION("googletranslate(D4128,""id"",""en"")"),"The community and apparatus must be together to create a conducive, orderly and obedient atmosphere of prokes. For the sake of breaking the chain of Covid deployment and the success of the PPKM.")</f>
        <v>The community and apparatus must be together to create a conducive, orderly and obedient atmosphere of prokes. For the sake of breaking the chain of Covid deployment and the success of the PPKM.</v>
      </c>
    </row>
    <row r="4129" ht="15.75" customHeight="1">
      <c r="A4129" s="2">
        <v>4130.0</v>
      </c>
      <c r="B4129" s="5" t="s">
        <v>7549</v>
      </c>
      <c r="C4129" s="6">
        <v>1.0</v>
      </c>
      <c r="D4129" s="9" t="s">
        <v>7550</v>
      </c>
      <c r="E4129" s="8" t="str">
        <f>IFERROR(__xludf.DUMMYFUNCTION("googletranslate(D4129,""id"",""en"")"),"Sir, if the general public is sentenced to Langgar PPKM, ASN period, which has given an example of no sanction? Help they also crusted because it has been violated PPKM. Cc.")</f>
        <v>Sir, if the general public is sentenced to Langgar PPKM, ASN period, which has given an example of no sanction? Help they also crusted because it has been violated PPKM. Cc.</v>
      </c>
    </row>
    <row r="4130" ht="15.75" customHeight="1">
      <c r="A4130" s="2">
        <v>4131.0</v>
      </c>
      <c r="B4130" s="5" t="s">
        <v>7551</v>
      </c>
      <c r="C4130" s="6">
        <v>2.0</v>
      </c>
      <c r="D4130" s="7" t="s">
        <v>7552</v>
      </c>
      <c r="E4130" s="8" t="str">
        <f>IFERROR(__xludf.DUMMYFUNCTION("googletranslate(D4130,""id"",""en"")"),"Hey yow ppkm ... never attention, then disappears.lebeww")</f>
        <v>Hey yow ppkm ... never attention, then disappears.lebeww</v>
      </c>
    </row>
    <row r="4131" ht="15.75" customHeight="1">
      <c r="A4131" s="2">
        <v>4132.0</v>
      </c>
      <c r="B4131" s="5" t="s">
        <v>7553</v>
      </c>
      <c r="C4131" s="6">
        <v>1.0</v>
      </c>
      <c r="D4131" s="7" t="s">
        <v>7554</v>
      </c>
      <c r="E4131" s="8" t="str">
        <f>IFERROR(__xludf.DUMMYFUNCTION("googletranslate(D4131,""id"",""en"")"),"The term policy of PSBB, Micro PPKM, Emergency PPKM, PPKM Level. Only because of avoiding the word lockdown n don't want to run the chapter law !! BNGSD! (")</f>
        <v>The term policy of PSBB, Micro PPKM, Emergency PPKM, PPKM Level. Only because of avoiding the word lockdown n don't want to run the chapter law !! BNGSD! (</v>
      </c>
    </row>
    <row r="4132" ht="15.75" customHeight="1">
      <c r="A4132" s="2">
        <v>4133.0</v>
      </c>
      <c r="B4132" s="5" t="s">
        <v>7555</v>
      </c>
      <c r="C4132" s="6">
        <v>2.0</v>
      </c>
      <c r="D4132" s="7" t="s">
        <v>7556</v>
      </c>
      <c r="E4132" s="8" t="str">
        <f>IFERROR(__xludf.DUMMYFUNCTION("googletranslate(D4132,""id"",""en"")"),"Morning kak hopefully it works fast ppkm spy can hang out lg")</f>
        <v>Morning kak hopefully it works fast ppkm spy can hang out lg</v>
      </c>
    </row>
    <row r="4133" ht="15.75" customHeight="1">
      <c r="A4133" s="2">
        <v>4134.0</v>
      </c>
      <c r="B4133" s="5" t="s">
        <v>7557</v>
      </c>
      <c r="C4133" s="6">
        <v>1.0</v>
      </c>
      <c r="D4133" s="9" t="s">
        <v>7558</v>
      </c>
      <c r="E4133" s="8" t="str">
        <f>IFERROR(__xludf.DUMMYFUNCTION("googletranslate(D4133,""id"",""en"")"),"Again ppkm nde cell nda can near huhuhu even though I want to give ice cream if it's near .g")</f>
        <v>Again ppkm nde cell nda can near huhuhu even though I want to give ice cream if it's near .g</v>
      </c>
    </row>
    <row r="4134" ht="15.75" customHeight="1">
      <c r="A4134" s="2">
        <v>4135.0</v>
      </c>
      <c r="B4134" s="5" t="s">
        <v>7559</v>
      </c>
      <c r="C4134" s="6">
        <v>3.0</v>
      </c>
      <c r="D4134" s="7" t="s">
        <v>7560</v>
      </c>
      <c r="E4134" s="8" t="str">
        <f>IFERROR(__xludf.DUMMYFUNCTION("googletranslate(D4134,""id"",""en"")"),"Hoping that with the extension of the Kovid COVID case quickly reduced")</f>
        <v>Hoping that with the extension of the Kovid COVID case quickly reduced</v>
      </c>
    </row>
    <row r="4135" ht="15.75" customHeight="1">
      <c r="A4135" s="2">
        <v>4136.0</v>
      </c>
      <c r="B4135" s="5" t="s">
        <v>7561</v>
      </c>
      <c r="C4135" s="6">
        <v>2.0</v>
      </c>
      <c r="D4135" s="7" t="s">
        <v>7562</v>
      </c>
      <c r="E4135" s="8" t="str">
        <f>IFERROR(__xludf.DUMMYFUNCTION("googletranslate(D4135,""id"",""en"")"),"Ppkm tuh pepet you huh?")</f>
        <v>Ppkm tuh pepet you huh?</v>
      </c>
    </row>
    <row r="4136" ht="15.75" customHeight="1">
      <c r="A4136" s="2">
        <v>4137.0</v>
      </c>
      <c r="B4136" s="5" t="s">
        <v>7563</v>
      </c>
      <c r="C4136" s="6">
        <v>1.0</v>
      </c>
      <c r="D4136" s="7" t="s">
        <v>7564</v>
      </c>
      <c r="E4136" s="8" t="str">
        <f>IFERROR(__xludf.DUMMYFUNCTION("googletranslate(D4136,""id"",""en"")"),"While getting lemoned, continuing life. PPKM is not finished until the level.")</f>
        <v>While getting lemoned, continuing life. PPKM is not finished until the level.</v>
      </c>
    </row>
    <row r="4137" ht="15.75" customHeight="1">
      <c r="A4137" s="2">
        <v>4138.0</v>
      </c>
      <c r="B4137" s="5" t="s">
        <v>7565</v>
      </c>
      <c r="C4137" s="6">
        <v>1.0</v>
      </c>
      <c r="D4137" s="9" t="s">
        <v>7566</v>
      </c>
      <c r="E4137" s="8" t="str">
        <f>IFERROR(__xludf.DUMMYFUNCTION("googletranslate(D4137,""id"",""en"")"),"Pak is actually able to give a big donation, at least hundreds of billions if from his wealth. Just wait for an angel who whispered to move. Maybe the angel is still hit by PPKM, it has not been able to come.")</f>
        <v>Pak is actually able to give a big donation, at least hundreds of billions if from his wealth. Just wait for an angel who whispered to move. Maybe the angel is still hit by PPKM, it has not been able to come.</v>
      </c>
    </row>
    <row r="4138" ht="15.75" customHeight="1">
      <c r="A4138" s="2">
        <v>4139.0</v>
      </c>
      <c r="B4138" s="5" t="s">
        <v>7567</v>
      </c>
      <c r="C4138" s="6">
        <v>2.0</v>
      </c>
      <c r="D4138" s="9" t="s">
        <v>7568</v>
      </c>
      <c r="E4138" s="8" t="str">
        <f>IFERROR(__xludf.DUMMYFUNCTION("googletranslate(D4138,""id"",""en"")"),"If you don't want to go hereIIIIIIIII")</f>
        <v>If you don't want to go hereIIIIIIIII</v>
      </c>
    </row>
    <row r="4139" ht="15.75" customHeight="1">
      <c r="A4139" s="2">
        <v>4140.0</v>
      </c>
      <c r="B4139" s="5" t="s">
        <v>7569</v>
      </c>
      <c r="C4139" s="6">
        <v>1.0</v>
      </c>
      <c r="D4139" s="9" t="s">
        <v>7570</v>
      </c>
      <c r="E4139" s="8" t="str">
        <f>IFERROR(__xludf.DUMMYFUNCTION("googletranslate(D4139,""id"",""en"")"),"Now again the days of the people are hard to find money ... there are those who are laid off, there are those who sell it, you don't sell it, but how come there are people who want to cheat ... I know you are hard, but it's easy, many others are more diff"&amp;"icult from you but it's still a business using a really way, it's not nipu rich in you")</f>
        <v>Now again the days of the people are hard to find money ... there are those who are laid off, there are those who sell it, you don't sell it, but how come there are people who want to cheat ... I know you are hard, but it's easy, many others are more difficult from you but it's still a business using a really way, it's not nipu rich in you</v>
      </c>
    </row>
    <row r="4140" ht="15.75" customHeight="1">
      <c r="A4140" s="2">
        <v>4141.0</v>
      </c>
      <c r="B4140" s="5" t="s">
        <v>7571</v>
      </c>
      <c r="C4140" s="6">
        <v>1.0</v>
      </c>
      <c r="D4140" s="9" t="s">
        <v>7572</v>
      </c>
      <c r="E4140" s="8" t="str">
        <f>IFERROR(__xludf.DUMMYFUNCTION("googletranslate(D4140,""id"",""en"")"),"The membership, we can, the problem is the passport I just died and skrng lg ppkm like this, how come it has gone aee")</f>
        <v>The membership, we can, the problem is the passport I just died and skrng lg ppkm like this, how come it has gone aee</v>
      </c>
    </row>
    <row r="4141" ht="15.75" customHeight="1">
      <c r="A4141" s="2">
        <v>4142.0</v>
      </c>
      <c r="B4141" s="5" t="s">
        <v>7573</v>
      </c>
      <c r="C4141" s="6">
        <v>2.0</v>
      </c>
      <c r="D4141" s="7" t="s">
        <v>7574</v>
      </c>
      <c r="E4141" s="8" t="str">
        <f>IFERROR(__xludf.DUMMYFUNCTION("googletranslate(D4141,""id"",""en"")"),"Riding the train when the PPKM can only make the work and the NDER vaccine, so I never ever")</f>
        <v>Riding the train when the PPKM can only make the work and the NDER vaccine, so I never ever</v>
      </c>
    </row>
    <row r="4142" ht="15.75" customHeight="1">
      <c r="A4142" s="2">
        <v>4143.0</v>
      </c>
      <c r="B4142" s="5" t="s">
        <v>7575</v>
      </c>
      <c r="C4142" s="6">
        <v>1.0</v>
      </c>
      <c r="D4142" s="7" t="s">
        <v>7576</v>
      </c>
      <c r="E4142" s="8" t="str">
        <f>IFERROR(__xludf.DUMMYFUNCTION("googletranslate(D4142,""id"",""en"")"),"Don't blame if the PPKM is extended until the end.")</f>
        <v>Don't blame if the PPKM is extended until the end.</v>
      </c>
    </row>
    <row r="4143" ht="15.75" customHeight="1">
      <c r="A4143" s="2">
        <v>4144.0</v>
      </c>
      <c r="B4143" s="5" t="s">
        <v>7577</v>
      </c>
      <c r="C4143" s="6">
        <v>1.0</v>
      </c>
      <c r="D4143" s="7" t="s">
        <v>7578</v>
      </c>
      <c r="E4143" s="8" t="str">
        <f>IFERROR(__xludf.DUMMYFUNCTION("googletranslate(D4143,""id"",""en"")"),"As a result of the extension of the PPKM this July, it can't be a party, maybe August PPKM ends. YG wants to join grub and join the party can be DM or directly chat wa.")</f>
        <v>As a result of the extension of the PPKM this July, it can't be a party, maybe August PPKM ends. YG wants to join grub and join the party can be DM or directly chat wa.</v>
      </c>
    </row>
    <row r="4144" ht="15.75" customHeight="1">
      <c r="A4144" s="2">
        <v>4145.0</v>
      </c>
      <c r="B4144" s="5" t="s">
        <v>7579</v>
      </c>
      <c r="C4144" s="6">
        <v>1.0</v>
      </c>
      <c r="D4144" s="7" t="s">
        <v>7580</v>
      </c>
      <c r="E4144" s="8" t="str">
        <f>IFERROR(__xludf.DUMMYFUNCTION("googletranslate(D4144,""id"",""en"")"),"It's useless if it's just long if it's not hard, it's just extended PPKM but it's not hardened.")</f>
        <v>It's useless if it's just long if it's not hard, it's just extended PPKM but it's not hardened.</v>
      </c>
    </row>
    <row r="4145" ht="15.75" customHeight="1">
      <c r="A4145" s="2">
        <v>4146.0</v>
      </c>
      <c r="B4145" s="5" t="s">
        <v>7581</v>
      </c>
      <c r="C4145" s="6">
        <v>2.0</v>
      </c>
      <c r="D4145" s="7" t="s">
        <v>7582</v>
      </c>
      <c r="E4145" s="8" t="str">
        <f>IFERROR(__xludf.DUMMYFUNCTION("googletranslate(D4145,""id"",""en"")"),"Ppkmagi morning we copy")</f>
        <v>Ppkmagi morning we copy</v>
      </c>
    </row>
    <row r="4146" ht="15.75" customHeight="1">
      <c r="A4146" s="2">
        <v>4147.0</v>
      </c>
      <c r="B4146" s="5" t="s">
        <v>7583</v>
      </c>
      <c r="C4146" s="6">
        <v>2.0</v>
      </c>
      <c r="D4146" s="7" t="s">
        <v>7584</v>
      </c>
      <c r="E4146" s="8" t="str">
        <f>IFERROR(__xludf.DUMMYFUNCTION("googletranslate(D4146,""id"",""en"")"),"The forest that opened the PPKM Lagj where is it?")</f>
        <v>The forest that opened the PPKM Lagj where is it?</v>
      </c>
    </row>
    <row r="4147" ht="15.75" customHeight="1">
      <c r="A4147" s="2">
        <v>4148.0</v>
      </c>
      <c r="B4147" s="5" t="s">
        <v>7585</v>
      </c>
      <c r="C4147" s="6">
        <v>1.0</v>
      </c>
      <c r="D4147" s="7" t="s">
        <v>7586</v>
      </c>
      <c r="E4147" s="8" t="str">
        <f>IFERROR(__xludf.DUMMYFUNCTION("googletranslate(D4147,""id"",""en"")"),"Officials: salary can. Benefits can. But still lacking. ORAKAT: Tax must be. Help in pieces. Daily work There is PPKM.G using a mask on a fine. It's good for officials in Indonesia. It's usually just calling math lessons.")</f>
        <v>Officials: salary can. Benefits can. But still lacking. ORAKAT: Tax must be. Help in pieces. Daily work There is PPKM.G using a mask on a fine. It's good for officials in Indonesia. It's usually just calling math lessons.</v>
      </c>
    </row>
    <row r="4148" ht="15.75" customHeight="1">
      <c r="A4148" s="2">
        <v>4149.0</v>
      </c>
      <c r="B4148" s="5" t="s">
        <v>7587</v>
      </c>
      <c r="C4148" s="6">
        <v>2.0</v>
      </c>
      <c r="D4148" s="7" t="s">
        <v>7588</v>
      </c>
      <c r="E4148" s="8" t="str">
        <f>IFERROR(__xludf.DUMMYFUNCTION("googletranslate(D4148,""id"",""en"")"),"Haha just found a play for the installed PPKM enjected so much")</f>
        <v>Haha just found a play for the installed PPKM enjected so much</v>
      </c>
    </row>
    <row r="4149" ht="15.75" customHeight="1">
      <c r="A4149" s="2">
        <v>4150.0</v>
      </c>
      <c r="B4149" s="5" t="s">
        <v>7589</v>
      </c>
      <c r="C4149" s="6">
        <v>2.0</v>
      </c>
      <c r="D4149" s="7" t="s">
        <v>7590</v>
      </c>
      <c r="E4149" s="8" t="str">
        <f>IFERROR(__xludf.DUMMYFUNCTION("googletranslate(D4149,""id"",""en"")"),"Will be extended again on the ppkm")</f>
        <v>Will be extended again on the ppkm</v>
      </c>
    </row>
    <row r="4150" ht="15.75" customHeight="1">
      <c r="A4150" s="2">
        <v>4151.0</v>
      </c>
      <c r="B4150" s="5" t="s">
        <v>7591</v>
      </c>
      <c r="C4150" s="6">
        <v>2.0</v>
      </c>
      <c r="D4150" s="7" t="s">
        <v>7592</v>
      </c>
      <c r="E4150" s="8" t="str">
        <f>IFERROR(__xludf.DUMMYFUNCTION("googletranslate(D4150,""id"",""en"")"),"Bismillah exhausted ppkm gas")</f>
        <v>Bismillah exhausted ppkm gas</v>
      </c>
    </row>
    <row r="4151" ht="15.75" customHeight="1">
      <c r="A4151" s="2">
        <v>4152.0</v>
      </c>
      <c r="B4151" s="5" t="s">
        <v>7593</v>
      </c>
      <c r="C4151" s="6">
        <v>3.0</v>
      </c>
      <c r="D4151" s="7" t="s">
        <v>7594</v>
      </c>
      <c r="E4151" s="8" t="str">
        <f>IFERROR(__xludf.DUMMYFUNCTION("googletranslate(D4151,""id"",""en"")"),"The spirit of work is still burning even though Emergency PPKM.")</f>
        <v>The spirit of work is still burning even though Emergency PPKM.</v>
      </c>
    </row>
    <row r="4152" ht="15.75" customHeight="1">
      <c r="A4152" s="2">
        <v>4153.0</v>
      </c>
      <c r="B4152" s="5" t="s">
        <v>7595</v>
      </c>
      <c r="C4152" s="6">
        <v>2.0</v>
      </c>
      <c r="D4152" s="7" t="s">
        <v>7595</v>
      </c>
      <c r="E4152" s="8" t="str">
        <f>IFERROR(__xludf.DUMMYFUNCTION("googletranslate(D4152,""id"",""en"")"),"If PPKM is only able to limit our meetings, trust treasure can limit our relationship.")</f>
        <v>If PPKM is only able to limit our meetings, trust treasure can limit our relationship.</v>
      </c>
    </row>
    <row r="4153" ht="15.75" customHeight="1">
      <c r="A4153" s="2">
        <v>4154.0</v>
      </c>
      <c r="B4153" s="5" t="s">
        <v>7596</v>
      </c>
      <c r="C4153" s="6">
        <v>2.0</v>
      </c>
      <c r="D4153" s="7" t="s">
        <v>7597</v>
      </c>
      <c r="E4153" s="8" t="str">
        <f>IFERROR(__xludf.DUMMYFUNCTION("googletranslate(D4153,""id"",""en"")"),"PPKPLelan-softly we marhata sinamot")</f>
        <v>PPKPLelan-softly we marhata sinamot</v>
      </c>
    </row>
    <row r="4154" ht="15.75" customHeight="1">
      <c r="A4154" s="2">
        <v>4155.0</v>
      </c>
      <c r="B4154" s="5" t="s">
        <v>7598</v>
      </c>
      <c r="C4154" s="6">
        <v>1.0</v>
      </c>
      <c r="D4154" s="7" t="s">
        <v>7598</v>
      </c>
      <c r="E4154" s="8" t="str">
        <f>IFERROR(__xludf.DUMMYFUNCTION("googletranslate(D4154,""id"",""en"")"),"PPKM extended makes it ga home ""... huhu")</f>
        <v>PPKM extended makes it ga home "... huhu</v>
      </c>
    </row>
    <row r="4155" ht="15.75" customHeight="1">
      <c r="A4155" s="2">
        <v>4156.0</v>
      </c>
      <c r="B4155" s="5" t="s">
        <v>7599</v>
      </c>
      <c r="C4155" s="6">
        <v>3.0</v>
      </c>
      <c r="D4155" s="7" t="s">
        <v>7600</v>
      </c>
      <c r="E4155" s="8" t="str">
        <f>IFERROR(__xludf.DUMMYFUNCTION("googletranslate(D4155,""id"",""en"")"),"Agree PPKM Extended, Dasco: For the Safety People")</f>
        <v>Agree PPKM Extended, Dasco: For the Safety People</v>
      </c>
    </row>
    <row r="4156" ht="15.75" customHeight="1">
      <c r="A4156" s="2">
        <v>4157.0</v>
      </c>
      <c r="B4156" s="5" t="s">
        <v>7601</v>
      </c>
      <c r="C4156" s="6">
        <v>3.0</v>
      </c>
      <c r="D4156" s="7" t="s">
        <v>7594</v>
      </c>
      <c r="E4156" s="8" t="str">
        <f>IFERROR(__xludf.DUMMYFUNCTION("googletranslate(D4156,""id"",""en"")"),"The spirit of work is still burning even though Emergency PPKM.")</f>
        <v>The spirit of work is still burning even though Emergency PPKM.</v>
      </c>
    </row>
    <row r="4157" ht="15.75" customHeight="1">
      <c r="A4157" s="2">
        <v>4158.0</v>
      </c>
      <c r="B4157" s="5" t="s">
        <v>7602</v>
      </c>
      <c r="C4157" s="6">
        <v>2.0</v>
      </c>
      <c r="D4157" s="7" t="s">
        <v>7603</v>
      </c>
      <c r="E4157" s="8" t="str">
        <f>IFERROR(__xludf.DUMMYFUNCTION("googletranslate(D4157,""id"",""en"")"),"PPKM is still a long time ... I pGN siomay batagor in front of Untag ...")</f>
        <v>PPKM is still a long time ... I pGN siomay batagor in front of Untag ...</v>
      </c>
    </row>
    <row r="4158" ht="15.75" customHeight="1">
      <c r="A4158" s="2">
        <v>4159.0</v>
      </c>
      <c r="B4158" s="5" t="s">
        <v>7604</v>
      </c>
      <c r="C4158" s="6">
        <v>1.0</v>
      </c>
      <c r="D4158" s="9" t="s">
        <v>7566</v>
      </c>
      <c r="E4158" s="8" t="str">
        <f>IFERROR(__xludf.DUMMYFUNCTION("googletranslate(D4158,""id"",""en"")"),"Pak is actually able to give a big donation, at least hundreds of billions if from his wealth. Just wait for an angel who whispered to move. Maybe the angel is still hit by PPKM, it has not been able to come.")</f>
        <v>Pak is actually able to give a big donation, at least hundreds of billions if from his wealth. Just wait for an angel who whispered to move. Maybe the angel is still hit by PPKM, it has not been able to come.</v>
      </c>
    </row>
    <row r="4159" ht="15.75" customHeight="1">
      <c r="A4159" s="2">
        <v>4160.0</v>
      </c>
      <c r="B4159" s="5" t="s">
        <v>7605</v>
      </c>
      <c r="C4159" s="6">
        <v>1.0</v>
      </c>
      <c r="D4159" s="9" t="s">
        <v>7606</v>
      </c>
      <c r="E4159" s="8" t="str">
        <f>IFERROR(__xludf.DUMMYFUNCTION("googletranslate(D4159,""id"",""en"")"),"""Loh Marriage Pas PPKM? Liat sikonnya first later if a lot of bgt is ready to come the lurah just sie wkwk.")</f>
        <v>"Loh Marriage Pas PPKM? Liat sikonnya first later if a lot of bgt is ready to come the lurah just sie wkwk.</v>
      </c>
    </row>
    <row r="4160" ht="15.75" customHeight="1">
      <c r="A4160" s="2">
        <v>4161.0</v>
      </c>
      <c r="B4160" s="5" t="s">
        <v>7607</v>
      </c>
      <c r="C4160" s="6">
        <v>1.0</v>
      </c>
      <c r="D4160" s="7" t="s">
        <v>7608</v>
      </c>
      <c r="E4160" s="8" t="str">
        <f>IFERROR(__xludf.DUMMYFUNCTION("googletranslate(D4160,""id"",""en"")"),"The PPKM bansos are also not evenly distributed?")</f>
        <v>The PPKM bansos are also not evenly distributed?</v>
      </c>
    </row>
    <row r="4161" ht="15.75" customHeight="1">
      <c r="A4161" s="2">
        <v>4162.0</v>
      </c>
      <c r="B4161" s="5" t="s">
        <v>7609</v>
      </c>
      <c r="C4161" s="6">
        <v>1.0</v>
      </c>
      <c r="D4161" s="7" t="s">
        <v>7610</v>
      </c>
      <c r="E4161" s="8" t="str">
        <f>IFERROR(__xludf.DUMMYFUNCTION("googletranslate(D4161,""id"",""en"")"),"PPKM did not cut the transmission of Covid19, but decided on livelihood ...")</f>
        <v>PPKM did not cut the transmission of Covid19, but decided on livelihood ...</v>
      </c>
    </row>
    <row r="4162" ht="15.75" customHeight="1">
      <c r="A4162" s="2">
        <v>4163.0</v>
      </c>
      <c r="B4162" s="5" t="s">
        <v>7611</v>
      </c>
      <c r="C4162" s="6">
        <v>2.0</v>
      </c>
      <c r="D4162" s="9" t="s">
        <v>7612</v>
      </c>
      <c r="E4162" s="8" t="str">
        <f>IFERROR(__xludf.DUMMYFUNCTION("googletranslate(D4162,""id"",""en"")"),"DKI Jakarta Deputy Governor stated that for the marriage contract in the DKI Jakarta area, during the PPKM Level took place, both the brides, the second family of the bride and invited guests must be mandatory for the covid-19 vaccination at a minimum of "&amp;"the first dose and show a vaccine card before the marriage contract")</f>
        <v>DKI Jakarta Deputy Governor stated that for the marriage contract in the DKI Jakarta area, during the PPKM Level took place, both the brides, the second family of the bride and invited guests must be mandatory for the covid-19 vaccination at a minimum of the first dose and show a vaccine card before the marriage contract</v>
      </c>
    </row>
    <row r="4163" ht="15.75" customHeight="1">
      <c r="A4163" s="2">
        <v>4164.0</v>
      </c>
      <c r="B4163" s="5" t="s">
        <v>7613</v>
      </c>
      <c r="C4163" s="6">
        <v>1.0</v>
      </c>
      <c r="D4163" s="7" t="s">
        <v>7614</v>
      </c>
      <c r="E4163" s="8" t="str">
        <f>IFERROR(__xludf.DUMMYFUNCTION("googletranslate(D4163,""id"",""en"")"),"Some people ask ""How can we eat in minutes?"" Some just ask ""How can we eat tomorrow?"" The reality of PPKM.")</f>
        <v>Some people ask "How can we eat in minutes?" Some just ask "How can we eat tomorrow?" The reality of PPKM.</v>
      </c>
    </row>
    <row r="4164" ht="15.75" customHeight="1">
      <c r="A4164" s="2">
        <v>4165.0</v>
      </c>
      <c r="B4164" s="5" t="s">
        <v>7615</v>
      </c>
      <c r="C4164" s="6">
        <v>1.0</v>
      </c>
      <c r="D4164" s="9" t="s">
        <v>7616</v>
      </c>
      <c r="E4164" s="8" t="str">
        <f>IFERROR(__xludf.DUMMYFUNCTION("googletranslate(D4164,""id"",""en"")"),"It's still not the peak. Let's help the government to make a new term replacement for PPKM. Because the solution is nothing but changing terms.")</f>
        <v>It's still not the peak. Let's help the government to make a new term replacement for PPKM. Because the solution is nothing but changing terms.</v>
      </c>
    </row>
    <row r="4165" ht="15.75" customHeight="1">
      <c r="A4165" s="2">
        <v>4166.0</v>
      </c>
      <c r="B4165" s="5" t="s">
        <v>7617</v>
      </c>
      <c r="C4165" s="6">
        <v>1.0</v>
      </c>
      <c r="D4165" s="7" t="s">
        <v>7618</v>
      </c>
      <c r="E4165" s="8" t="str">
        <f>IFERROR(__xludf.DUMMYFUNCTION("googletranslate(D4165,""id"",""en"")"),"Just extended ppkm trs dizzy sm pr dp kleaannn please be patient")</f>
        <v>Just extended ppkm trs dizzy sm pr dp kleaannn please be patient</v>
      </c>
    </row>
    <row r="4166" ht="15.75" customHeight="1">
      <c r="A4166" s="2">
        <v>4167.0</v>
      </c>
      <c r="B4166" s="5" t="s">
        <v>7619</v>
      </c>
      <c r="C4166" s="6">
        <v>1.0</v>
      </c>
      <c r="D4166" s="7" t="s">
        <v>7620</v>
      </c>
      <c r="E4166" s="8" t="str">
        <f>IFERROR(__xludf.DUMMYFUNCTION("googletranslate(D4166,""id"",""en"")"),"Money is king ..Inya ... there are all money.")</f>
        <v>Money is king ..Inya ... there are all money.</v>
      </c>
    </row>
    <row r="4167" ht="15.75" customHeight="1">
      <c r="A4167" s="2">
        <v>4168.0</v>
      </c>
      <c r="B4167" s="5" t="s">
        <v>7621</v>
      </c>
      <c r="C4167" s="6">
        <v>3.0</v>
      </c>
      <c r="D4167" s="7" t="s">
        <v>7622</v>
      </c>
      <c r="E4167" s="8" t="str">
        <f>IFERROR(__xludf.DUMMYFUNCTION("googletranslate(D4167,""id"",""en"")"),"PPKM Level Vaccination Maintain Corruptor Health")</f>
        <v>PPKM Level Vaccination Maintain Corruptor Health</v>
      </c>
    </row>
    <row r="4168" ht="15.75" customHeight="1">
      <c r="A4168" s="2">
        <v>4169.0</v>
      </c>
      <c r="B4168" s="5" t="s">
        <v>7623</v>
      </c>
      <c r="C4168" s="6">
        <v>1.0</v>
      </c>
      <c r="D4168" s="7" t="s">
        <v>7624</v>
      </c>
      <c r="E4168" s="8" t="str">
        <f>IFERROR(__xludf.DUMMYFUNCTION("googletranslate(D4168,""id"",""en"")"),"It's been the day of PPKMindonesia still in Top TernaTak helpless or useless?")</f>
        <v>It's been the day of PPKMindonesia still in Top TernaTak helpless or useless?</v>
      </c>
    </row>
    <row r="4169" ht="15.75" customHeight="1">
      <c r="A4169" s="2">
        <v>4170.0</v>
      </c>
      <c r="B4169" s="5" t="s">
        <v>7625</v>
      </c>
      <c r="C4169" s="6">
        <v>1.0</v>
      </c>
      <c r="D4169" s="7" t="s">
        <v>7626</v>
      </c>
      <c r="E4169" s="8" t="str">
        <f>IFERROR(__xludf.DUMMYFUNCTION("googletranslate(D4169,""id"",""en"")"),"The awareness of the public is very low for vaccines, so it's slow, a lot of vaccine refusal but when there are the front queuingans, PSPB PPKM etc. played can't eat, especially just use a mask")</f>
        <v>The awareness of the public is very low for vaccines, so it's slow, a lot of vaccine refusal but when there are the front queuingans, PSPB PPKM etc. played can't eat, especially just use a mask</v>
      </c>
    </row>
    <row r="4170" ht="15.75" customHeight="1">
      <c r="A4170" s="2">
        <v>4171.0</v>
      </c>
      <c r="B4170" s="5" t="s">
        <v>7627</v>
      </c>
      <c r="C4170" s="6">
        <v>2.0</v>
      </c>
      <c r="D4170" s="7" t="s">
        <v>7627</v>
      </c>
      <c r="E4170" s="8" t="str">
        <f>IFERROR(__xludf.DUMMYFUNCTION("googletranslate(D4170,""id"",""en"")"),"PPKM = Slowly Slowly Kurnia Manggala")</f>
        <v>PPKM = Slowly Slowly Kurnia Manggala</v>
      </c>
    </row>
    <row r="4171" ht="15.75" customHeight="1">
      <c r="A4171" s="2">
        <v>4172.0</v>
      </c>
      <c r="B4171" s="5" t="s">
        <v>7628</v>
      </c>
      <c r="C4171" s="6">
        <v>2.0</v>
      </c>
      <c r="D4171" s="9" t="s">
        <v>7629</v>
      </c>
      <c r="E4171" s="8" t="str">
        <f>IFERROR(__xludf.DUMMYFUNCTION("googletranslate(D4171,""id"",""en"")"),"Me Before PPKM: Supply Goods ""Aesthetic to Souvenir Shop and Have Consignerme During PPKM: Tidooorrr All Day, Just Work on Custom Order. If there is gratitude, if you use it.")</f>
        <v>Me Before PPKM: Supply Goods "Aesthetic to Souvenir Shop and Have Consignerme During PPKM: Tidooorrr All Day, Just Work on Custom Order. If there is gratitude, if you use it.</v>
      </c>
    </row>
    <row r="4172" ht="15.75" customHeight="1">
      <c r="A4172" s="2">
        <v>4173.0</v>
      </c>
      <c r="B4172" s="5" t="s">
        <v>7630</v>
      </c>
      <c r="C4172" s="6">
        <v>3.0</v>
      </c>
      <c r="D4172" s="7" t="s">
        <v>7631</v>
      </c>
      <c r="E4172" s="8" t="str">
        <f>IFERROR(__xludf.DUMMYFUNCTION("googletranslate(D4172,""id"",""en"")"),"The best support system during PPKM is food")</f>
        <v>The best support system during PPKM is food</v>
      </c>
    </row>
    <row r="4173" ht="15.75" customHeight="1">
      <c r="A4173" s="2">
        <v>4174.0</v>
      </c>
      <c r="B4173" s="5" t="s">
        <v>7632</v>
      </c>
      <c r="C4173" s="6">
        <v>3.0</v>
      </c>
      <c r="D4173" s="7" t="s">
        <v>7633</v>
      </c>
      <c r="E4173" s="8" t="str">
        <f>IFERROR(__xludf.DUMMYFUNCTION("googletranslate(D4173,""id"",""en"")"),"For the sake of going to the peaceful life of Sentosa and avoiding all forms of destroyers of this nation ... thanks we are alert to the jokowi.patuhui ppkm to run prokes ... hope covid quickly from this country.drun dead !!!")</f>
        <v>For the sake of going to the peaceful life of Sentosa and avoiding all forms of destroyers of this nation ... thanks we are alert to the jokowi.patuhui ppkm to run prokes ... hope covid quickly from this country.drun dead !!!</v>
      </c>
    </row>
    <row r="4174" ht="15.75" customHeight="1">
      <c r="A4174" s="2">
        <v>4175.0</v>
      </c>
      <c r="B4174" s="5" t="s">
        <v>7634</v>
      </c>
      <c r="C4174" s="6">
        <v>2.0</v>
      </c>
      <c r="D4174" s="9" t="s">
        <v>7635</v>
      </c>
      <c r="E4174" s="8" t="str">
        <f>IFERROR(__xludf.DUMMYFUNCTION("googletranslate(D4174,""id"",""en"")"),"Ppkm finished cuddle pen ampe asma")</f>
        <v>Ppkm finished cuddle pen ampe asma</v>
      </c>
    </row>
    <row r="4175" ht="15.75" customHeight="1">
      <c r="A4175" s="2">
        <v>4176.0</v>
      </c>
      <c r="B4175" s="5" t="s">
        <v>7636</v>
      </c>
      <c r="C4175" s="6">
        <v>1.0</v>
      </c>
      <c r="D4175" s="7" t="s">
        <v>7637</v>
      </c>
      <c r="E4175" s="8" t="str">
        <f>IFERROR(__xludf.DUMMYFUNCTION("googletranslate(D4175,""id"",""en"")"),"Yes ppkm ppkm")</f>
        <v>Yes ppkm ppkm</v>
      </c>
    </row>
    <row r="4176" ht="15.75" customHeight="1">
      <c r="A4176" s="2">
        <v>4177.0</v>
      </c>
      <c r="B4176" s="5" t="s">
        <v>7638</v>
      </c>
      <c r="C4176" s="6">
        <v>1.0</v>
      </c>
      <c r="D4176" s="9" t="s">
        <v>7639</v>
      </c>
      <c r="E4176" s="8" t="str">
        <f>IFERROR(__xludf.DUMMYFUNCTION("googletranslate(D4176,""id"",""en"")"),"If you read the Minister of Health's statement last week, he said he didn't even have control. Who then? Might Be Luhut, ORHers. What is clear is that the incident is on the island of Java, in the period of PPKM. Luhut is responsible.")</f>
        <v>If you read the Minister of Health's statement last week, he said he didn't even have control. Who then? Might Be Luhut, ORHers. What is clear is that the incident is on the island of Java, in the period of PPKM. Luhut is responsible.</v>
      </c>
    </row>
    <row r="4177" ht="15.75" customHeight="1">
      <c r="A4177" s="2">
        <v>4178.0</v>
      </c>
      <c r="B4177" s="5" t="s">
        <v>7640</v>
      </c>
      <c r="C4177" s="6">
        <v>3.0</v>
      </c>
      <c r="D4177" s="7" t="s">
        <v>7641</v>
      </c>
      <c r="E4177" s="8" t="str">
        <f>IFERROR(__xludf.DUMMYFUNCTION("googletranslate(D4177,""id"",""en"")"),"Village Fighters KUMUNGUNG PPKM Support: Construction of Empowerment of Community Interests")</f>
        <v>Village Fighters KUMUNGUNG PPKM Support: Construction of Empowerment of Community Interests</v>
      </c>
    </row>
    <row r="4178" ht="15.75" customHeight="1">
      <c r="A4178" s="2">
        <v>4179.0</v>
      </c>
      <c r="B4178" s="5" t="s">
        <v>7642</v>
      </c>
      <c r="C4178" s="6">
        <v>2.0</v>
      </c>
      <c r="D4178" s="7" t="s">
        <v>7642</v>
      </c>
      <c r="E4178" s="8" t="str">
        <f>IFERROR(__xludf.DUMMYFUNCTION("googletranslate(D4178,""id"",""en"")"),"[bgr] Want to ask, anyone ever rises KRL PPKM right? Later I want to ask, thanks for you")</f>
        <v>[bgr] Want to ask, anyone ever rises KRL PPKM right? Later I want to ask, thanks for you</v>
      </c>
    </row>
    <row r="4179" ht="15.75" customHeight="1">
      <c r="A4179" s="2">
        <v>4180.0</v>
      </c>
      <c r="B4179" s="5" t="s">
        <v>7643</v>
      </c>
      <c r="C4179" s="6">
        <v>2.0</v>
      </c>
      <c r="D4179" s="7" t="s">
        <v>7644</v>
      </c>
      <c r="E4179" s="8" t="str">
        <f>IFERROR(__xludf.DUMMYFUNCTION("googletranslate(D4179,""id"",""en"")"),"Tight BGt Kek PPKM")</f>
        <v>Tight BGt Kek PPKM</v>
      </c>
    </row>
    <row r="4180" ht="15.75" customHeight="1">
      <c r="A4180" s="2">
        <v>4181.0</v>
      </c>
      <c r="B4180" s="5" t="s">
        <v>7645</v>
      </c>
      <c r="C4180" s="6">
        <v>3.0</v>
      </c>
      <c r="D4180" s="7" t="s">
        <v>7646</v>
      </c>
      <c r="E4180" s="8" t="str">
        <f>IFERROR(__xludf.DUMMYFUNCTION("googletranslate(D4180,""id"",""en"")"),"So help the government also sir, at least the other side of the party who helped promote vaccinations, and help Hospital with the oxygen ventilator, support PPKM Spy not much more covid19 victims. Don't even make a cadre. Because there is an action there "&amp;"must be a reaction!")</f>
        <v>So help the government also sir, at least the other side of the party who helped promote vaccinations, and help Hospital with the oxygen ventilator, support PPKM Spy not much more covid19 victims. Don't even make a cadre. Because there is an action there must be a reaction!</v>
      </c>
    </row>
    <row r="4181" ht="15.75" customHeight="1">
      <c r="A4181" s="2">
        <v>4182.0</v>
      </c>
      <c r="B4181" s="5" t="s">
        <v>7647</v>
      </c>
      <c r="C4181" s="6">
        <v>1.0</v>
      </c>
      <c r="D4181" s="7" t="s">
        <v>7648</v>
      </c>
      <c r="E4181" s="8" t="str">
        <f>IFERROR(__xludf.DUMMYFUNCTION("googletranslate(D4181,""id"",""en"")"),"Andi Arief has runs out of mind. The trace of your footsteps is bright. It is to dig down the peteteng grave")</f>
        <v>Andi Arief has runs out of mind. The trace of your footsteps is bright. It is to dig down the peteteng grave</v>
      </c>
    </row>
    <row r="4182" ht="15.75" customHeight="1">
      <c r="A4182" s="2">
        <v>4183.0</v>
      </c>
      <c r="B4182" s="5" t="s">
        <v>7649</v>
      </c>
      <c r="C4182" s="6">
        <v>1.0</v>
      </c>
      <c r="D4182" s="7" t="s">
        <v>7650</v>
      </c>
      <c r="E4182" s="8" t="str">
        <f>IFERROR(__xludf.DUMMYFUNCTION("googletranslate(D4182,""id"",""en"")"),"Where to make rules for travel terms must be a vaccine certificate. Already many people lose millions due to this rule. Moreover, who is in the area of ​​people. Want the vaccine is constrained by the domicile requirement. Want to go home in the airport. "&amp;"Ticket, PCR is scorched. Lost work.")</f>
        <v>Where to make rules for travel terms must be a vaccine certificate. Already many people lose millions due to this rule. Moreover, who is in the area of ​​people. Want the vaccine is constrained by the domicile requirement. Want to go home in the airport. Ticket, PCR is scorched. Lost work.</v>
      </c>
    </row>
    <row r="4183" ht="15.75" customHeight="1">
      <c r="A4183" s="2">
        <v>4184.0</v>
      </c>
      <c r="B4183" s="5" t="s">
        <v>7651</v>
      </c>
      <c r="C4183" s="6">
        <v>1.0</v>
      </c>
      <c r="D4183" s="7" t="s">
        <v>7652</v>
      </c>
      <c r="E4183" s="8" t="str">
        <f>IFERROR(__xludf.DUMMYFUNCTION("googletranslate(D4183,""id"",""en"")"),"Calm down the life of this mas., All sufficient ... want PPKM level even until the level of the god remains calm ...")</f>
        <v>Calm down the life of this mas., All sufficient ... want PPKM level even until the level of the god remains calm ...</v>
      </c>
    </row>
    <row r="4184" ht="15.75" customHeight="1">
      <c r="A4184" s="2">
        <v>4185.0</v>
      </c>
      <c r="B4184" s="5" t="s">
        <v>7653</v>
      </c>
      <c r="C4184" s="6">
        <v>2.0</v>
      </c>
      <c r="D4184" s="7" t="s">
        <v>7654</v>
      </c>
      <c r="E4184" s="8" t="str">
        <f>IFERROR(__xludf.DUMMYFUNCTION("googletranslate(D4184,""id"",""en"")"),"Min, my father can let the data record (face, fingerprint etc) for Taspen authentication. If he is sick and there is a ppkm, how do you do it to Taspen? There are other alternatives?")</f>
        <v>Min, my father can let the data record (face, fingerprint etc) for Taspen authentication. If he is sick and there is a ppkm, how do you do it to Taspen? There are other alternatives?</v>
      </c>
    </row>
    <row r="4185" ht="15.75" customHeight="1">
      <c r="A4185" s="2">
        <v>4186.0</v>
      </c>
      <c r="B4185" s="5" t="s">
        <v>7655</v>
      </c>
      <c r="C4185" s="6">
        <v>1.0</v>
      </c>
      <c r="D4185" s="9" t="s">
        <v>7656</v>
      </c>
      <c r="E4185" s="8" t="str">
        <f>IFERROR(__xludf.DUMMYFUNCTION("googletranslate(D4185,""id"",""en"")"),"SBY feels, the leader has started to deviate, so it needs guidance. And the country has begun to be destroyed, so it needs to be saved. Died and exposed cases are still high, even though Emergency PPKM is level. Just wait for the buzzer to die,")</f>
        <v>SBY feels, the leader has started to deviate, so it needs guidance. And the country has begun to be destroyed, so it needs to be saved. Died and exposed cases are still high, even though Emergency PPKM is level. Just wait for the buzzer to die,</v>
      </c>
    </row>
    <row r="4186" ht="15.75" customHeight="1">
      <c r="A4186" s="2">
        <v>4187.0</v>
      </c>
      <c r="B4186" s="5" t="s">
        <v>7657</v>
      </c>
      <c r="C4186" s="6">
        <v>2.0</v>
      </c>
      <c r="D4186" s="10" t="s">
        <v>3179</v>
      </c>
      <c r="E4186" s="8" t="str">
        <f>IFERROR(__xludf.DUMMYFUNCTION("googletranslate(D4186,""id"",""en"")"),"PPKM effect")</f>
        <v>PPKM effect</v>
      </c>
    </row>
    <row r="4187" ht="15.75" customHeight="1">
      <c r="A4187" s="2">
        <v>4188.0</v>
      </c>
      <c r="B4187" s="5" t="s">
        <v>7658</v>
      </c>
      <c r="C4187" s="6">
        <v>1.0</v>
      </c>
      <c r="D4187" s="7" t="s">
        <v>7659</v>
      </c>
      <c r="E4187" s="8" t="str">
        <f>IFERROR(__xludf.DUMMYFUNCTION("googletranslate(D4187,""id"",""en"")"),"Any exclamation of other countries, our concert is still a noisy of the PPKM level")</f>
        <v>Any exclamation of other countries, our concert is still a noisy of the PPKM level</v>
      </c>
    </row>
    <row r="4188" ht="15.75" customHeight="1">
      <c r="A4188" s="2">
        <v>4189.0</v>
      </c>
      <c r="B4188" s="5" t="s">
        <v>7660</v>
      </c>
      <c r="C4188" s="6">
        <v>1.0</v>
      </c>
      <c r="D4188" s="9" t="s">
        <v>7661</v>
      </c>
      <c r="E4188" s="8" t="str">
        <f>IFERROR(__xludf.DUMMYFUNCTION("googletranslate(D4188,""id"",""en"")"),"SODARA from Ayahh on Crazy All Average Flates Under Age Like Age Woyyyy That Is A Marriage? His marriage was right now. Occurrent bold bgt. The two of his financier hasn't stabilized Woyy YQNG work odd jobs and the cost of his marriage is borne by the guy"&amp;" orgtua. Wkwkw crazy")</f>
        <v>SODARA from Ayahh on Crazy All Average Flates Under Age Like Age Woyyyy That Is A Marriage? His marriage was right now. Occurrent bold bgt. The two of his financier hasn't stabilized Woyy YQNG work odd jobs and the cost of his marriage is borne by the guy orgtua. Wkwkw crazy</v>
      </c>
    </row>
    <row r="4189" ht="15.75" customHeight="1">
      <c r="A4189" s="2">
        <v>4190.0</v>
      </c>
      <c r="B4189" s="5" t="s">
        <v>7662</v>
      </c>
      <c r="C4189" s="6">
        <v>1.0</v>
      </c>
      <c r="D4189" s="9" t="s">
        <v>7663</v>
      </c>
      <c r="E4189" s="8" t="str">
        <f>IFERROR(__xludf.DUMMYFUNCTION("googletranslate(D4189,""id"",""en"")"),"Ppkm quickly finished plis I want to go to jogjaaaaaaaaaaaaaaaaaaaaaaaaaaaaaaaaaaaaaaaaaaaaaaaaaaaaaaaaaaaaaaaaaaaaaaaaaaaaaaaaaaaa")</f>
        <v>Ppkm quickly finished plis I want to go to jogjaaaaaaaaaaaaaaaaaaaaaaaaaaaaaaaaaaaaaaaaaaaaaaaaaaaaaaaaaaaaaaaaaaaaaaaaaaaaaaaaaaaa</v>
      </c>
    </row>
    <row r="4190" ht="15.75" customHeight="1">
      <c r="A4190" s="2">
        <v>4191.0</v>
      </c>
      <c r="B4190" s="5" t="s">
        <v>7664</v>
      </c>
      <c r="C4190" s="6">
        <v>1.0</v>
      </c>
      <c r="D4190" s="9" t="s">
        <v>7665</v>
      </c>
      <c r="E4190" s="8" t="str">
        <f>IFERROR(__xludf.DUMMYFUNCTION("googletranslate(D4190,""id"",""en"")"),"What is needed immediately for the Bansos for the unemployed businessman who affected the wasoolved PSBB / PPKM. What comes out is an additional allowance for the Indonesian National Police Civil Servants (which has a routine payable salary) needed for fu"&amp;"nds for Alkes &amp; amp; Health support is even the laptop procurement funds.")</f>
        <v>What is needed immediately for the Bansos for the unemployed businessman who affected the wasoolved PSBB / PPKM. What comes out is an additional allowance for the Indonesian National Police Civil Servants (which has a routine payable salary) needed for funds for Alkes &amp; amp; Health support is even the laptop procurement funds.</v>
      </c>
    </row>
    <row r="4191" ht="15.75" customHeight="1">
      <c r="A4191" s="2">
        <v>4192.0</v>
      </c>
      <c r="B4191" s="5" t="s">
        <v>7666</v>
      </c>
      <c r="C4191" s="6">
        <v>2.0</v>
      </c>
      <c r="D4191" s="7" t="s">
        <v>7667</v>
      </c>
      <c r="E4191" s="8" t="str">
        <f>IFERROR(__xludf.DUMMYFUNCTION("googletranslate(D4191,""id"",""en"")"),"Ppkm = morning we eat breakfast")</f>
        <v>Ppkm = morning we eat breakfast</v>
      </c>
    </row>
    <row r="4192" ht="15.75" customHeight="1">
      <c r="A4192" s="2">
        <v>4193.0</v>
      </c>
      <c r="B4192" s="5" t="s">
        <v>7668</v>
      </c>
      <c r="C4192" s="6">
        <v>2.0</v>
      </c>
      <c r="D4192" s="7" t="s">
        <v>7668</v>
      </c>
      <c r="E4192" s="8" t="str">
        <f>IFERROR(__xludf.DUMMYFUNCTION("googletranslate(D4192,""id"",""en"")"),"Ppkm when is it solo ???")</f>
        <v>Ppkm when is it solo ???</v>
      </c>
    </row>
    <row r="4193" ht="15.75" customHeight="1">
      <c r="A4193" s="2">
        <v>4194.0</v>
      </c>
      <c r="B4193" s="5" t="s">
        <v>7669</v>
      </c>
      <c r="C4193" s="6">
        <v>1.0</v>
      </c>
      <c r="D4193" s="7" t="s">
        <v>7670</v>
      </c>
      <c r="E4193" s="8" t="str">
        <f>IFERROR(__xludf.DUMMYFUNCTION("googletranslate(D4193,""id"",""en"")"),"Ppkm on discon yes, besides the shop promo with the brand of the sentence period also in Discon")</f>
        <v>Ppkm on discon yes, besides the shop promo with the brand of the sentence period also in Discon</v>
      </c>
    </row>
    <row r="4194" ht="15.75" customHeight="1">
      <c r="A4194" s="2">
        <v>4195.0</v>
      </c>
      <c r="B4194" s="5" t="s">
        <v>7671</v>
      </c>
      <c r="C4194" s="6">
        <v>2.0</v>
      </c>
      <c r="D4194" s="7" t="s">
        <v>7672</v>
      </c>
      <c r="E4194" s="8" t="str">
        <f>IFERROR(__xludf.DUMMYFUNCTION("googletranslate(D4194,""id"",""en"")"),"The expert said TTG PPKM ....")</f>
        <v>The expert said TTG PPKM ....</v>
      </c>
    </row>
    <row r="4195" ht="15.75" customHeight="1">
      <c r="A4195" s="2">
        <v>4196.0</v>
      </c>
      <c r="B4195" s="5" t="s">
        <v>7673</v>
      </c>
      <c r="C4195" s="6">
        <v>1.0</v>
      </c>
      <c r="D4195" s="7" t="s">
        <v>7674</v>
      </c>
      <c r="E4195" s="8" t="str">
        <f>IFERROR(__xludf.DUMMYFUNCTION("googletranslate(D4195,""id"",""en"")"),"Your people cry Mr. Prabowo. Bonsos in Corruption, ... the PPKM extended only changed the name, ... the economy smakin slumped, .... People's debt is getting bigger ... a lot of crime that occurs. Where is the empathy of you.")</f>
        <v>Your people cry Mr. Prabowo. Bonsos in Corruption, ... the PPKM extended only changed the name, ... the economy smakin slumped, .... People's debt is getting bigger ... a lot of crime that occurs. Where is the empathy of you.</v>
      </c>
    </row>
    <row r="4196" ht="15.75" customHeight="1">
      <c r="A4196" s="2">
        <v>4197.0</v>
      </c>
      <c r="B4196" s="5" t="s">
        <v>7675</v>
      </c>
      <c r="C4196" s="6">
        <v>1.0</v>
      </c>
      <c r="D4196" s="9" t="s">
        <v>7676</v>
      </c>
      <c r="E4196" s="8" t="str">
        <f>IFERROR(__xludf.DUMMYFUNCTION("googletranslate(D4196,""id"",""en"")"),"After all, it's still a little easing, it starts with the small one, it's really really, the market used to be the new Plaza later, the new warteg for the new restaurant will be the Juga. If you directly relax everything, it doesn't use it, emergency PPKM"&amp;".")</f>
        <v>After all, it's still a little easing, it starts with the small one, it's really really, the market used to be the new Plaza later, the new warteg for the new restaurant will be the Juga. If you directly relax everything, it doesn't use it, emergency PPKM.</v>
      </c>
    </row>
    <row r="4197" ht="15.75" customHeight="1">
      <c r="A4197" s="2">
        <v>4198.0</v>
      </c>
      <c r="B4197" s="5" t="s">
        <v>7677</v>
      </c>
      <c r="C4197" s="6">
        <v>1.0</v>
      </c>
      <c r="D4197" s="9" t="s">
        <v>7678</v>
      </c>
      <c r="E4197" s="8" t="str">
        <f>IFERROR(__xludf.DUMMYFUNCTION("googletranslate(D4197,""id"",""en"")"),"Insaloh in the village we are obedient to safe but the ones who are KLUH, the residents of the vegetable farmers, because the ppkm of the raw materials are expensive from the medicine for seeds and PK fertilizers in the Gub, but it is cheap, it is cheap, "&amp;"it is cheap, it is difficult to maintain the capital because it is not bought")</f>
        <v>Insaloh in the village we are obedient to safe but the ones who are KLUH, the residents of the vegetable farmers, because the ppkm of the raw materials are expensive from the medicine for seeds and PK fertilizers in the Gub, but it is cheap, it is cheap, it is cheap, it is difficult to maintain the capital because it is not bought</v>
      </c>
    </row>
    <row r="4198" ht="15.75" customHeight="1">
      <c r="A4198" s="2">
        <v>4199.0</v>
      </c>
      <c r="B4198" s="5" t="s">
        <v>7679</v>
      </c>
      <c r="C4198" s="6">
        <v>2.0</v>
      </c>
      <c r="D4198" s="9" t="s">
        <v>7680</v>
      </c>
      <c r="E4198" s="8" t="str">
        <f>IFERROR(__xludf.DUMMYFUNCTION("googletranslate(D4198,""id"",""en"")"),"My hair has become a Botax Gaes because the PPKM is not waiting for Aqiqahan. Shaving Hair Gak to Kebayoran Residence Salon, Bintaro")</f>
        <v>My hair has become a Botax Gaes because the PPKM is not waiting for Aqiqahan. Shaving Hair Gak to Kebayoran Residence Salon, Bintaro</v>
      </c>
    </row>
    <row r="4199" ht="15.75" customHeight="1">
      <c r="A4199" s="2">
        <v>4200.0</v>
      </c>
      <c r="B4199" s="5" t="s">
        <v>7681</v>
      </c>
      <c r="C4199" s="6">
        <v>2.0</v>
      </c>
      <c r="D4199" s="7" t="s">
        <v>7682</v>
      </c>
      <c r="E4199" s="8" t="str">
        <f>IFERROR(__xludf.DUMMYFUNCTION("googletranslate(D4199,""id"",""en"")"),"Breakfast Ala PPKM.")</f>
        <v>Breakfast Ala PPKM.</v>
      </c>
    </row>
    <row r="4200" ht="15.75" customHeight="1">
      <c r="A4200" s="2">
        <v>4201.0</v>
      </c>
      <c r="B4200" s="5" t="s">
        <v>7683</v>
      </c>
      <c r="C4200" s="6">
        <v>2.0</v>
      </c>
      <c r="D4200" s="7" t="s">
        <v>7683</v>
      </c>
      <c r="E4200" s="8" t="str">
        <f>IFERROR(__xludf.DUMMYFUNCTION("googletranslate(D4200,""id"",""en"")"),"MOOTS I'm positive C0V1D huhahahahahah shocked sie but how else yauda, ​​now cumq can be isoman, drink vitamins, doctor consul, and still obedient prokes. I was right because One of My Fam Members hit, because during the PPKM I really just at home Wkwkw")</f>
        <v>MOOTS I'm positive C0V1D huhahahahahah shocked sie but how else yauda, ​​now cumq can be isoman, drink vitamins, doctor consul, and still obedient prokes. I was right because One of My Fam Members hit, because during the PPKM I really just at home Wkwkw</v>
      </c>
    </row>
    <row r="4201" ht="15.75" customHeight="1">
      <c r="A4201" s="2">
        <v>4202.0</v>
      </c>
      <c r="B4201" s="5" t="s">
        <v>7684</v>
      </c>
      <c r="C4201" s="6">
        <v>1.0</v>
      </c>
      <c r="D4201" s="7" t="s">
        <v>7685</v>
      </c>
      <c r="E4201" s="8" t="str">
        <f>IFERROR(__xludf.DUMMYFUNCTION("googletranslate(D4201,""id"",""en"")"),"There are already PSBB, PPKM, Emergency PPKM Level, PPKM Spicy Level crushed, it proved effective and efficient in terms of budget ..")</f>
        <v>There are already PSBB, PPKM, Emergency PPKM Level, PPKM Spicy Level crushed, it proved effective and efficient in terms of budget ..</v>
      </c>
    </row>
    <row r="4202" ht="15.75" customHeight="1">
      <c r="A4202" s="2">
        <v>4203.0</v>
      </c>
      <c r="B4202" s="5" t="s">
        <v>7686</v>
      </c>
      <c r="C4202" s="6">
        <v>1.0</v>
      </c>
      <c r="D4202" s="7" t="s">
        <v>7687</v>
      </c>
      <c r="E4202" s="8" t="str">
        <f>IFERROR(__xludf.DUMMYFUNCTION("googletranslate(D4202,""id"",""en"")"),"Extension of the PPKM, makes the people slowly slow down.")</f>
        <v>Extension of the PPKM, makes the people slowly slow down.</v>
      </c>
    </row>
    <row r="4203" ht="15.75" customHeight="1">
      <c r="A4203" s="2">
        <v>4204.0</v>
      </c>
      <c r="B4203" s="5" t="s">
        <v>7688</v>
      </c>
      <c r="C4203" s="6">
        <v>1.0</v>
      </c>
      <c r="D4203" s="7" t="s">
        <v>7689</v>
      </c>
      <c r="E4203" s="8" t="str">
        <f>IFERROR(__xludf.DUMMYFUNCTION("googletranslate(D4203,""id"",""en"")"),"How come Amin Si? What is extended? PPKM? Don't donk")</f>
        <v>How come Amin Si? What is extended? PPKM? Don't donk</v>
      </c>
    </row>
    <row r="4204" ht="15.75" customHeight="1">
      <c r="A4204" s="2">
        <v>4205.0</v>
      </c>
      <c r="B4204" s="5" t="s">
        <v>7690</v>
      </c>
      <c r="C4204" s="6">
        <v>2.0</v>
      </c>
      <c r="D4204" s="9" t="s">
        <v>7691</v>
      </c>
      <c r="E4204" s="8" t="str">
        <f>IFERROR(__xludf.DUMMYFUNCTION("googletranslate(D4204,""id"",""en"")"),"Comedy Today: Look at the words ""Search for home of the Family Inspection *** on social media"" Gilz, again PPKM was out of province. Hahaha")</f>
        <v>Comedy Today: Look at the words "Search for home of the Family Inspection *** on social media" Gilz, again PPKM was out of province. Hahaha</v>
      </c>
    </row>
    <row r="4205" ht="15.75" customHeight="1">
      <c r="A4205" s="2">
        <v>4206.0</v>
      </c>
      <c r="B4205" s="5" t="s">
        <v>7692</v>
      </c>
      <c r="C4205" s="6">
        <v>2.0</v>
      </c>
      <c r="D4205" s="7" t="s">
        <v>7693</v>
      </c>
      <c r="E4205" s="8" t="str">
        <f>IFERROR(__xludf.DUMMYFUNCTION("googletranslate(D4205,""id"",""en"")"),"Means my friend ppkm from year")</f>
        <v>Means my friend ppkm from year</v>
      </c>
    </row>
    <row r="4206" ht="15.75" customHeight="1">
      <c r="A4206" s="2">
        <v>4207.0</v>
      </c>
      <c r="B4206" s="5" t="s">
        <v>7694</v>
      </c>
      <c r="C4206" s="6">
        <v>2.0</v>
      </c>
      <c r="D4206" s="9" t="s">
        <v>7695</v>
      </c>
      <c r="E4206" s="8" t="str">
        <f>IFERROR(__xludf.DUMMYFUNCTION("googletranslate(D4206,""id"",""en"")"),"I don't know if it's, because the ppkm is also if it's skrg")</f>
        <v>I don't know if it's, because the ppkm is also if it's skrg</v>
      </c>
    </row>
    <row r="4207" ht="15.75" customHeight="1">
      <c r="A4207" s="2">
        <v>4208.0</v>
      </c>
      <c r="B4207" s="5" t="s">
        <v>7696</v>
      </c>
      <c r="C4207" s="6">
        <v>1.0</v>
      </c>
      <c r="D4207" s="7" t="s">
        <v>7697</v>
      </c>
      <c r="E4207" s="8" t="str">
        <f>IFERROR(__xludf.DUMMYFUNCTION("googletranslate(D4207,""id"",""en"")"),"PPKM Syrian City Government: ""Ah, the right time to displace wild kiosks.""")</f>
        <v>PPKM Syrian City Government: "Ah, the right time to displace wild kiosks."</v>
      </c>
    </row>
    <row r="4208" ht="15.75" customHeight="1">
      <c r="A4208" s="2">
        <v>4209.0</v>
      </c>
      <c r="B4208" s="5" t="s">
        <v>7698</v>
      </c>
      <c r="C4208" s="6">
        <v>1.0</v>
      </c>
      <c r="D4208" s="9" t="s">
        <v>7699</v>
      </c>
      <c r="E4208" s="8" t="str">
        <f>IFERROR(__xludf.DUMMYFUNCTION("googletranslate(D4208,""id"",""en"")"),"The PLIS is August FORTLY PPKM Jawa Bali. Or at least give leeway for air transportation. Sad if it failed reception, failed honeymoon")</f>
        <v>The PLIS is August FORTLY PPKM Jawa Bali. Or at least give leeway for air transportation. Sad if it failed reception, failed honeymoon</v>
      </c>
    </row>
    <row r="4209" ht="15.75" customHeight="1">
      <c r="A4209" s="2">
        <v>4210.0</v>
      </c>
      <c r="B4209" s="5" t="s">
        <v>7700</v>
      </c>
      <c r="C4209" s="6">
        <v>2.0</v>
      </c>
      <c r="D4209" s="10" t="s">
        <v>7701</v>
      </c>
      <c r="E4209" s="8" t="str">
        <f>IFERROR(__xludf.DUMMYFUNCTION("googletranslate(D4209,""id"",""en"")"),"PPKM bar")</f>
        <v>PPKM bar</v>
      </c>
    </row>
    <row r="4210" ht="15.75" customHeight="1">
      <c r="A4210" s="2">
        <v>4211.0</v>
      </c>
      <c r="B4210" s="5" t="s">
        <v>7702</v>
      </c>
      <c r="C4210" s="6">
        <v>2.0</v>
      </c>
      <c r="D4210" s="9" t="s">
        <v>7703</v>
      </c>
      <c r="E4210" s="8" t="str">
        <f>IFERROR(__xludf.DUMMYFUNCTION("googletranslate(D4210,""id"",""en"")"),"Because PPKM, I didn't meet Shinta for a long time, until I said I missed ... I miss Shin? until scroll chat lamakalo chat I want to say it,")</f>
        <v>Because PPKM, I didn't meet Shinta for a long time, until I said I missed ... I miss Shin? until scroll chat lamakalo chat I want to say it,</v>
      </c>
    </row>
    <row r="4211" ht="15.75" customHeight="1">
      <c r="A4211" s="2">
        <v>4212.0</v>
      </c>
      <c r="B4211" s="5" t="s">
        <v>7704</v>
      </c>
      <c r="C4211" s="6">
        <v>3.0</v>
      </c>
      <c r="D4211" s="7" t="s">
        <v>7705</v>
      </c>
      <c r="E4211" s="8" t="str">
        <f>IFERROR(__xludf.DUMMYFUNCTION("googletranslate(D4211,""id"",""en"")"),"PPKM Level Vaccination of Jakarta Health Care")</f>
        <v>PPKM Level Vaccination of Jakarta Health Care</v>
      </c>
    </row>
    <row r="4212" ht="15.75" customHeight="1">
      <c r="A4212" s="2">
        <v>4213.0</v>
      </c>
      <c r="B4212" s="5" t="s">
        <v>7706</v>
      </c>
      <c r="C4212" s="6">
        <v>2.0</v>
      </c>
      <c r="D4212" s="7" t="s">
        <v>7707</v>
      </c>
      <c r="E4212" s="8" t="str">
        <f>IFERROR(__xludf.DUMMYFUNCTION("googletranslate(D4212,""id"",""en"")"),"The expert said PPKM ...")</f>
        <v>The expert said PPKM ...</v>
      </c>
    </row>
    <row r="4213" ht="15.75" customHeight="1">
      <c r="A4213" s="2">
        <v>4214.0</v>
      </c>
      <c r="B4213" s="5" t="s">
        <v>7708</v>
      </c>
      <c r="C4213" s="6">
        <v>1.0</v>
      </c>
      <c r="D4213" s="7" t="s">
        <v>7709</v>
      </c>
      <c r="E4213" s="8" t="str">
        <f>IFERROR(__xludf.DUMMYFUNCTION("googletranslate(D4213,""id"",""en"")"),"Just can't use the ppkm")</f>
        <v>Just can't use the ppkm</v>
      </c>
    </row>
    <row r="4214" ht="15.75" customHeight="1">
      <c r="A4214" s="2">
        <v>4215.0</v>
      </c>
      <c r="B4214" s="5" t="s">
        <v>7710</v>
      </c>
      <c r="C4214" s="6">
        <v>2.0</v>
      </c>
      <c r="D4214" s="9" t="s">
        <v>7711</v>
      </c>
      <c r="E4214" s="8" t="str">
        <f>IFERROR(__xludf.DUMMYFUNCTION("googletranslate(D4214,""id"",""en"")"),"If Mr. SBY becomes president, what will be done in the situation in the current Pendemic and last year? Is the same or different initiative with the government now? Is Lockdown SPT Other Countries, Is the PSBB / PPKM SPT our country or left free SPT is no"&amp;"t covid?")</f>
        <v>If Mr. SBY becomes president, what will be done in the situation in the current Pendemic and last year? Is the same or different initiative with the government now? Is Lockdown SPT Other Countries, Is the PSBB / PPKM SPT our country or left free SPT is not covid?</v>
      </c>
    </row>
    <row r="4215" ht="15.75" customHeight="1">
      <c r="A4215" s="2">
        <v>4216.0</v>
      </c>
      <c r="B4215" s="5" t="s">
        <v>7712</v>
      </c>
      <c r="C4215" s="6">
        <v>1.0</v>
      </c>
      <c r="D4215" s="9" t="s">
        <v>7713</v>
      </c>
      <c r="E4215" s="8" t="str">
        <f>IFERROR(__xludf.DUMMYFUNCTION("googletranslate(D4215,""id"",""en"")"),"That is, the closing PPKM cycle will continue to repeat. Yes, the cycle of the coar community goes bankrupt and repeatedly. What is the solution, the Prokes are M. Protect Congormu from the possibility of others because they talk about the boss.")</f>
        <v>That is, the closing PPKM cycle will continue to repeat. Yes, the cycle of the coar community goes bankrupt and repeatedly. What is the solution, the Prokes are M. Protect Congormu from the possibility of others because they talk about the boss.</v>
      </c>
    </row>
    <row r="4216" ht="15.75" customHeight="1">
      <c r="A4216" s="2">
        <v>4217.0</v>
      </c>
      <c r="B4216" s="5" t="s">
        <v>7714</v>
      </c>
      <c r="C4216" s="6">
        <v>1.0</v>
      </c>
      <c r="D4216" s="7" t="s">
        <v>7715</v>
      </c>
      <c r="E4216" s="8" t="str">
        <f>IFERROR(__xludf.DUMMYFUNCTION("googletranslate(D4216,""id"",""en"")"),"Curhat dooong. PPKM Anjiirr.")</f>
        <v>Curhat dooong. PPKM Anjiirr.</v>
      </c>
    </row>
    <row r="4217" ht="15.75" customHeight="1">
      <c r="A4217" s="2">
        <v>4218.0</v>
      </c>
      <c r="B4217" s="5" t="s">
        <v>7716</v>
      </c>
      <c r="C4217" s="6">
        <v>2.0</v>
      </c>
      <c r="D4217" s="9" t="s">
        <v>7716</v>
      </c>
      <c r="E4217" s="8" t="str">
        <f>IFERROR(__xludf.DUMMYFUNCTION("googletranslate(D4217,""id"",""en"")"),"PPKM is fast")</f>
        <v>PPKM is fast</v>
      </c>
    </row>
    <row r="4218" ht="15.75" customHeight="1">
      <c r="A4218" s="2">
        <v>4219.0</v>
      </c>
      <c r="B4218" s="5" t="s">
        <v>7717</v>
      </c>
      <c r="C4218" s="6">
        <v>2.0</v>
      </c>
      <c r="D4218" s="9" t="s">
        <v>7718</v>
      </c>
      <c r="E4218" s="8" t="str">
        <f>IFERROR(__xludf.DUMMYFUNCTION("googletranslate(D4218,""id"",""en"")"),"sleep first, who knows wake up ppkm finished")</f>
        <v>sleep first, who knows wake up ppkm finished</v>
      </c>
    </row>
    <row r="4219" ht="15.75" customHeight="1">
      <c r="A4219" s="2">
        <v>4220.0</v>
      </c>
      <c r="B4219" s="5" t="s">
        <v>7719</v>
      </c>
      <c r="C4219" s="6">
        <v>1.0</v>
      </c>
      <c r="D4219" s="7" t="s">
        <v>7720</v>
      </c>
      <c r="E4219" s="8" t="str">
        <f>IFERROR(__xludf.DUMMYFUNCTION("googletranslate(D4219,""id"",""en"")"),"Sumpama who wins, about prabowo password is faced with this pandemic, swift, deft, focusing on what is the same with the one?")</f>
        <v>Sumpama who wins, about prabowo password is faced with this pandemic, swift, deft, focusing on what is the same with the one?</v>
      </c>
    </row>
    <row r="4220" ht="15.75" customHeight="1">
      <c r="A4220" s="2">
        <v>4221.0</v>
      </c>
      <c r="B4220" s="5" t="s">
        <v>7721</v>
      </c>
      <c r="C4220" s="6">
        <v>1.0</v>
      </c>
      <c r="D4220" s="9" t="s">
        <v>7722</v>
      </c>
      <c r="E4220" s="8" t="str">
        <f>IFERROR(__xludf.DUMMYFUNCTION("googletranslate(D4220,""id"",""en"")"),"Yes, there are no PPKM !! What is the government, you tell orng2 ppkm ... !! Jg jg lu ded ... !!")</f>
        <v>Yes, there are no PPKM !! What is the government, you tell orng2 ppkm ... !! Jg jg lu ded ... !!</v>
      </c>
    </row>
    <row r="4221" ht="15.75" customHeight="1">
      <c r="A4221" s="2">
        <v>4222.0</v>
      </c>
      <c r="B4221" s="5" t="s">
        <v>7723</v>
      </c>
      <c r="C4221" s="6">
        <v>2.0</v>
      </c>
      <c r="D4221" s="7" t="s">
        <v>7724</v>
      </c>
      <c r="E4221" s="8" t="str">
        <f>IFERROR(__xludf.DUMMYFUNCTION("googletranslate(D4221,""id"",""en"")"),"Is it ostrali pm don't know the term ppkm psbb?")</f>
        <v>Is it ostrali pm don't know the term ppkm psbb?</v>
      </c>
    </row>
    <row r="4222" ht="15.75" customHeight="1">
      <c r="A4222" s="2">
        <v>4223.0</v>
      </c>
      <c r="B4222" s="5" t="s">
        <v>7725</v>
      </c>
      <c r="C4222" s="6">
        <v>2.0</v>
      </c>
      <c r="D4222" s="7" t="s">
        <v>7725</v>
      </c>
      <c r="E4222" s="8" t="str">
        <f>IFERROR(__xludf.DUMMYFUNCTION("googletranslate(D4222,""id"",""en"")"),"PPKM only blocks your steps not risk you.")</f>
        <v>PPKM only blocks your steps not risk you.</v>
      </c>
    </row>
    <row r="4223" ht="15.75" customHeight="1">
      <c r="A4223" s="2">
        <v>4224.0</v>
      </c>
      <c r="B4223" s="5" t="s">
        <v>7726</v>
      </c>
      <c r="C4223" s="6">
        <v>3.0</v>
      </c>
      <c r="D4223" s="7" t="s">
        <v>7726</v>
      </c>
      <c r="E4223" s="8" t="str">
        <f>IFERROR(__xludf.DUMMYFUNCTION("googletranslate(D4223,""id"",""en"")"),"When the PPKM is like this work so it's really good, just coming to miss the stall and continue to go home.")</f>
        <v>When the PPKM is like this work so it's really good, just coming to miss the stall and continue to go home.</v>
      </c>
    </row>
    <row r="4224" ht="15.75" customHeight="1">
      <c r="A4224" s="2">
        <v>4225.0</v>
      </c>
      <c r="B4224" s="5" t="s">
        <v>7727</v>
      </c>
      <c r="C4224" s="6">
        <v>2.0</v>
      </c>
      <c r="D4224" s="7" t="s">
        <v>7728</v>
      </c>
      <c r="E4224" s="8" t="str">
        <f>IFERROR(__xludf.DUMMYFUNCTION("googletranslate(D4224,""id"",""en"")"),"finished ppkm to jakarta bro")</f>
        <v>finished ppkm to jakarta bro</v>
      </c>
    </row>
    <row r="4225" ht="15.75" customHeight="1">
      <c r="A4225" s="2">
        <v>4226.0</v>
      </c>
      <c r="B4225" s="5" t="s">
        <v>7729</v>
      </c>
      <c r="C4225" s="6">
        <v>2.0</v>
      </c>
      <c r="D4225" s="7" t="s">
        <v>7730</v>
      </c>
      <c r="E4225" s="8" t="str">
        <f>IFERROR(__xludf.DUMMYFUNCTION("googletranslate(D4225,""id"",""en"")"),"Blasphemed because of applying Jokowi PPKM, which was praised because PPKM managed to reduce the Covid-19 case .....")</f>
        <v>Blasphemed because of applying Jokowi PPKM, which was praised because PPKM managed to reduce the Covid-19 case .....</v>
      </c>
    </row>
    <row r="4226" ht="15.75" customHeight="1">
      <c r="A4226" s="2">
        <v>4227.0</v>
      </c>
      <c r="B4226" s="5" t="s">
        <v>7731</v>
      </c>
      <c r="C4226" s="6">
        <v>2.0</v>
      </c>
      <c r="D4226" s="7" t="s">
        <v>7732</v>
      </c>
      <c r="E4226" s="8" t="str">
        <f>IFERROR(__xludf.DUMMYFUNCTION("googletranslate(D4226,""id"",""en"")"),"This Emergency PPKM will be extended or not? If extended, when?")</f>
        <v>This Emergency PPKM will be extended or not? If extended, when?</v>
      </c>
    </row>
    <row r="4227" ht="15.75" customHeight="1">
      <c r="A4227" s="2">
        <v>4228.0</v>
      </c>
      <c r="B4227" s="5" t="s">
        <v>7733</v>
      </c>
      <c r="C4227" s="6">
        <v>1.0</v>
      </c>
      <c r="D4227" s="9" t="s">
        <v>7734</v>
      </c>
      <c r="E4227" s="8" t="str">
        <f>IFERROR(__xludf.DUMMYFUNCTION("googletranslate(D4227,""id"",""en"")"),"I can't join it, but if I come to the complicated ... PPKM OH PPKM. still grateful")</f>
        <v>I can't join it, but if I come to the complicated ... PPKM OH PPKM. still grateful</v>
      </c>
    </row>
    <row r="4228" ht="15.75" customHeight="1">
      <c r="A4228" s="2">
        <v>4229.0</v>
      </c>
      <c r="B4228" s="5" t="s">
        <v>7735</v>
      </c>
      <c r="C4228" s="6">
        <v>2.0</v>
      </c>
      <c r="D4228" s="7" t="s">
        <v>7736</v>
      </c>
      <c r="E4228" s="8" t="str">
        <f>IFERROR(__xludf.DUMMYFUNCTION("googletranslate(D4228,""id"",""en"")"),"even though it's not ppkm but it doesn't know too")</f>
        <v>even though it's not ppkm but it doesn't know too</v>
      </c>
    </row>
    <row r="4229" ht="15.75" customHeight="1">
      <c r="A4229" s="2">
        <v>4230.0</v>
      </c>
      <c r="B4229" s="5" t="s">
        <v>7737</v>
      </c>
      <c r="C4229" s="6">
        <v>1.0</v>
      </c>
      <c r="D4229" s="7" t="s">
        <v>7737</v>
      </c>
      <c r="E4229" s="8" t="str">
        <f>IFERROR(__xludf.DUMMYFUNCTION("googletranslate(D4229,""id"",""en"")"),"ppkm affects it can't be sii, how come the old package is nyamampenyaaaaaaaaaaaaaaaaaaaaaaaaaaaaaaaaaaaaaaaaaaaaaaa")</f>
        <v>ppkm affects it can't be sii, how come the old package is nyamampenyaaaaaaaaaaaaaaaaaaaaaaaaaaaaaaaaaaaaaaaaaaaaaaa</v>
      </c>
    </row>
    <row r="4230" ht="15.75" customHeight="1">
      <c r="A4230" s="2">
        <v>4231.0</v>
      </c>
      <c r="B4230" s="5" t="s">
        <v>7738</v>
      </c>
      <c r="C4230" s="6">
        <v>2.0</v>
      </c>
      <c r="D4230" s="7" t="s">
        <v>7739</v>
      </c>
      <c r="E4230" s="8" t="str">
        <f>IFERROR(__xludf.DUMMYFUNCTION("googletranslate(D4230,""id"",""en"")"),"Msh ppkm yeah in your area?")</f>
        <v>Msh ppkm yeah in your area?</v>
      </c>
    </row>
    <row r="4231" ht="15.75" customHeight="1">
      <c r="A4231" s="2">
        <v>4232.0</v>
      </c>
      <c r="B4231" s="5" t="s">
        <v>7740</v>
      </c>
      <c r="C4231" s="6">
        <v>3.0</v>
      </c>
      <c r="D4231" s="7" t="s">
        <v>7741</v>
      </c>
      <c r="E4231" s="8" t="str">
        <f>IFERROR(__xludf.DUMMYFUNCTION("googletranslate(D4231,""id"",""en"")"),"PPKM level policy is to limit people's mobility to prevent transmission of Covid-19. This condition must be watched out, don't let the case explosion happen again.")</f>
        <v>PPKM level policy is to limit people's mobility to prevent transmission of Covid-19. This condition must be watched out, don't let the case explosion happen again.</v>
      </c>
    </row>
    <row r="4232" ht="15.75" customHeight="1">
      <c r="A4232" s="2">
        <v>4233.0</v>
      </c>
      <c r="B4232" s="5" t="s">
        <v>7742</v>
      </c>
      <c r="C4232" s="6">
        <v>3.0</v>
      </c>
      <c r="D4232" s="9" t="s">
        <v>7743</v>
      </c>
      <c r="E4232" s="8" t="str">
        <f>IFERROR(__xludf.DUMMYFUNCTION("googletranslate(D4232,""id"",""en"")"),"One of the objectives of extending PPKM level, from July to August. That is to reduce the death rate of the patient covid-19.Jaga you, your family, keep obeying the rules that are running, for all our goodness.")</f>
        <v>One of the objectives of extending PPKM level, from July to August. That is to reduce the death rate of the patient covid-19.Jaga you, your family, keep obeying the rules that are running, for all our goodness.</v>
      </c>
    </row>
    <row r="4233" ht="15.75" customHeight="1">
      <c r="A4233" s="2">
        <v>4234.0</v>
      </c>
      <c r="B4233" s="5" t="s">
        <v>7744</v>
      </c>
      <c r="C4233" s="6">
        <v>3.0</v>
      </c>
      <c r="D4233" s="7" t="s">
        <v>7745</v>
      </c>
      <c r="E4233" s="8" t="str">
        <f>IFERROR(__xludf.DUMMYFUNCTION("googletranslate(D4233,""id"",""en"")"),"Of course the application of the PPKM level is done by the government is full of mature calculations and considering the health aspects ... economy ... in the social dynamics of the community ... unite the determination to fight the clopper and maintain t"&amp;"he NKRI ...")</f>
        <v>Of course the application of the PPKM level is done by the government is full of mature calculations and considering the health aspects ... economy ... in the social dynamics of the community ... unite the determination to fight the clopper and maintain the NKRI ...</v>
      </c>
    </row>
    <row r="4234" ht="15.75" customHeight="1">
      <c r="A4234" s="2">
        <v>4235.0</v>
      </c>
      <c r="B4234" s="5" t="s">
        <v>7746</v>
      </c>
      <c r="C4234" s="6">
        <v>3.0</v>
      </c>
      <c r="D4234" s="9" t="s">
        <v>7747</v>
      </c>
      <c r="E4234" s="8" t="str">
        <f>IFERROR(__xludf.DUMMYFUNCTION("googletranslate(D4234,""id"",""en"")"),"Euphoria of easing in a number of sectors began to appear, even though the PPKM level policy was to limit people's mobility to prevent transmission of Covid-19. This condition must be watched out, do not let the case explosion happen again,: //")</f>
        <v>Euphoria of easing in a number of sectors began to appear, even though the PPKM level policy was to limit people's mobility to prevent transmission of Covid-19. This condition must be watched out, do not let the case explosion happen again,: //</v>
      </c>
    </row>
    <row r="4235" ht="15.75" customHeight="1">
      <c r="A4235" s="2">
        <v>4236.0</v>
      </c>
      <c r="B4235" s="5" t="s">
        <v>7748</v>
      </c>
      <c r="C4235" s="6">
        <v>2.0</v>
      </c>
      <c r="D4235" s="9" t="s">
        <v>7749</v>
      </c>
      <c r="E4235" s="8" t="str">
        <f>IFERROR(__xludf.DUMMYFUNCTION("googletranslate(D4235,""id"",""en"")"),"Actually this outbreak has been a way out. But since there is still a PPKM so it can't be Yi")</f>
        <v>Actually this outbreak has been a way out. But since there is still a PPKM so it can't be Yi</v>
      </c>
    </row>
    <row r="4236" ht="15.75" customHeight="1">
      <c r="A4236" s="2">
        <v>4237.0</v>
      </c>
      <c r="B4236" s="5" t="s">
        <v>7750</v>
      </c>
      <c r="C4236" s="6">
        <v>3.0</v>
      </c>
      <c r="D4236" s="9" t="s">
        <v>7751</v>
      </c>
      <c r="E4236" s="8" t="str">
        <f>IFERROR(__xludf.DUMMYFUNCTION("googletranslate(D4236,""id"",""en"")"),"The government extends PPKM must have been calculated both and poor, we as the people only have to obey the policies that have passed, to eliminate Covit easy, need cooperation between the people and the government")</f>
        <v>The government extends PPKM must have been calculated both and poor, we as the people only have to obey the policies that have passed, to eliminate Covit easy, need cooperation between the people and the government</v>
      </c>
    </row>
    <row r="4237" ht="15.75" customHeight="1">
      <c r="A4237" s="2">
        <v>4238.0</v>
      </c>
      <c r="B4237" s="5" t="s">
        <v>7752</v>
      </c>
      <c r="C4237" s="6">
        <v>2.0</v>
      </c>
      <c r="D4237" s="7" t="s">
        <v>7752</v>
      </c>
      <c r="E4237" s="8" t="str">
        <f>IFERROR(__xludf.DUMMYFUNCTION("googletranslate(D4237,""id"",""en"")"),"Morning morning got angry (ppkm)")</f>
        <v>Morning morning got angry (ppkm)</v>
      </c>
    </row>
    <row r="4238" ht="15.75" customHeight="1">
      <c r="A4238" s="2">
        <v>4240.0</v>
      </c>
      <c r="B4238" s="5" t="s">
        <v>7753</v>
      </c>
      <c r="C4238" s="6">
        <v>1.0</v>
      </c>
      <c r="D4238" s="7" t="s">
        <v>7754</v>
      </c>
      <c r="E4238" s="8" t="str">
        <f>IFERROR(__xludf.DUMMYFUNCTION("googletranslate(D4238,""id"",""en"")"),"Because of the damned PPKM")</f>
        <v>Because of the damned PPKM</v>
      </c>
    </row>
    <row r="4239" ht="15.75" customHeight="1">
      <c r="A4239" s="2">
        <v>4241.0</v>
      </c>
      <c r="B4239" s="5" t="s">
        <v>7755</v>
      </c>
      <c r="C4239" s="6">
        <v>1.0</v>
      </c>
      <c r="D4239" s="7" t="s">
        <v>7756</v>
      </c>
      <c r="E4239" s="8" t="str">
        <f>IFERROR(__xludf.DUMMYFUNCTION("googletranslate(D4239,""id"",""en"")"),"I think because of PPKM")</f>
        <v>I think because of PPKM</v>
      </c>
    </row>
    <row r="4240" ht="15.75" customHeight="1">
      <c r="A4240" s="2">
        <v>4242.0</v>
      </c>
      <c r="B4240" s="5" t="s">
        <v>7757</v>
      </c>
      <c r="C4240" s="6">
        <v>2.0</v>
      </c>
      <c r="D4240" s="7" t="s">
        <v>7758</v>
      </c>
      <c r="E4240" s="8" t="str">
        <f>IFERROR(__xludf.DUMMYFUNCTION("googletranslate(D4240,""id"",""en"")"),"this is rarely a photo of this btw a photo before the ppkm")</f>
        <v>this is rarely a photo of this btw a photo before the ppkm</v>
      </c>
    </row>
    <row r="4241" ht="15.75" customHeight="1">
      <c r="A4241" s="2">
        <v>4243.0</v>
      </c>
      <c r="B4241" s="5" t="s">
        <v>7759</v>
      </c>
      <c r="C4241" s="6">
        <v>1.0</v>
      </c>
      <c r="D4241" s="7" t="s">
        <v>7760</v>
      </c>
      <c r="E4241" s="8" t="str">
        <f>IFERROR(__xludf.DUMMYFUNCTION("googletranslate(D4241,""id"",""en"")"),"Udh tastes kek boncabepedes + makes his segregation not because of the corona, it is precisely because of the PPKM to be miserable: v")</f>
        <v>Udh tastes kek boncabepedes + makes his segregation not because of the corona, it is precisely because of the PPKM to be miserable: v</v>
      </c>
    </row>
    <row r="4242" ht="15.75" customHeight="1">
      <c r="A4242" s="2">
        <v>4244.0</v>
      </c>
      <c r="B4242" s="5" t="s">
        <v>7761</v>
      </c>
      <c r="C4242" s="6">
        <v>2.0</v>
      </c>
      <c r="D4242" s="7" t="s">
        <v>7762</v>
      </c>
      <c r="E4242" s="8" t="str">
        <f>IFERROR(__xludf.DUMMYFUNCTION("googletranslate(D4242,""id"",""en"")"),"Good morning from the PPKM level area")</f>
        <v>Good morning from the PPKM level area</v>
      </c>
    </row>
    <row r="4243" ht="15.75" customHeight="1">
      <c r="A4243" s="2">
        <v>4245.0</v>
      </c>
      <c r="B4243" s="5" t="s">
        <v>7763</v>
      </c>
      <c r="C4243" s="6">
        <v>1.0</v>
      </c>
      <c r="D4243" s="9" t="s">
        <v>7764</v>
      </c>
      <c r="E4243" s="8" t="str">
        <f>IFERROR(__xludf.DUMMYFUNCTION("googletranslate(D4243,""id"",""en"")"),"Rules about vaccines as a tour terms really become a veiled oppression for those who are trapped in people. Can't vaccine with domicile reasons. Ticket, PCR is scorched.")</f>
        <v>Rules about vaccines as a tour terms really become a veiled oppression for those who are trapped in people. Can't vaccine with domicile reasons. Ticket, PCR is scorched.</v>
      </c>
    </row>
    <row r="4244" ht="15.75" customHeight="1">
      <c r="A4244" s="2">
        <v>4246.0</v>
      </c>
      <c r="B4244" s="5" t="s">
        <v>7765</v>
      </c>
      <c r="C4244" s="6">
        <v>3.0</v>
      </c>
      <c r="D4244" s="7" t="s">
        <v>7766</v>
      </c>
      <c r="E4244" s="8" t="str">
        <f>IFERROR(__xludf.DUMMYFUNCTION("googletranslate(D4244,""id"",""en"")"),"Time continues I do not want selfish imposing to build a ponage by raising funds, but how can it help our brothers and sisters who have difficulty the impact of the PPKM after the letter to beauty the Ponpes are completed I submit a proposal to a housing "&amp;"developer")</f>
        <v>Time continues I do not want selfish imposing to build a ponage by raising funds, but how can it help our brothers and sisters who have difficulty the impact of the PPKM after the letter to beauty the Ponpes are completed I submit a proposal to a housing developer</v>
      </c>
    </row>
    <row r="4245" ht="15.75" customHeight="1">
      <c r="A4245" s="2">
        <v>4247.0</v>
      </c>
      <c r="B4245" s="5" t="s">
        <v>7767</v>
      </c>
      <c r="C4245" s="6">
        <v>1.0</v>
      </c>
      <c r="D4245" s="9" t="s">
        <v>7767</v>
      </c>
      <c r="E4245" s="8" t="str">
        <f>IFERROR(__xludf.DUMMYFUNCTION("googletranslate(D4245,""id"",""en"")"),"Confused Bgt people's appeals for PPKM in Indo and Lockdown in developed countries. How come you think there is a disono cilok artisan? Yes, in Indo, the one is today, looking for money to eat today")</f>
        <v>Confused Bgt people's appeals for PPKM in Indo and Lockdown in developed countries. How come you think there is a disono cilok artisan? Yes, in Indo, the one is today, looking for money to eat today</v>
      </c>
    </row>
    <row r="4246" ht="15.75" customHeight="1">
      <c r="A4246" s="2">
        <v>4248.0</v>
      </c>
      <c r="B4246" s="5" t="s">
        <v>7768</v>
      </c>
      <c r="C4246" s="6">
        <v>3.0</v>
      </c>
      <c r="D4246" s="7" t="s">
        <v>7769</v>
      </c>
      <c r="E4246" s="8" t="str">
        <f>IFERROR(__xludf.DUMMYFUNCTION("googletranslate(D4246,""id"",""en"")"),"Untung PPKM is there")</f>
        <v>Untung PPKM is there</v>
      </c>
    </row>
    <row r="4247" ht="15.75" customHeight="1">
      <c r="A4247" s="2">
        <v>4249.0</v>
      </c>
      <c r="B4247" s="5" t="s">
        <v>7770</v>
      </c>
      <c r="C4247" s="6">
        <v>1.0</v>
      </c>
      <c r="D4247" s="7" t="s">
        <v>7771</v>
      </c>
      <c r="E4247" s="8" t="str">
        <f>IFERROR(__xludf.DUMMYFUNCTION("googletranslate(D4247,""id"",""en"")"),"The PPKM limit is July ... Maybe the PPKM means it will not be stopped yak ... kwkkk")</f>
        <v>The PPKM limit is July ... Maybe the PPKM means it will not be stopped yak ... kwkkk</v>
      </c>
    </row>
    <row r="4248" ht="15.75" customHeight="1">
      <c r="A4248" s="2">
        <v>4250.0</v>
      </c>
      <c r="B4248" s="5" t="s">
        <v>7772</v>
      </c>
      <c r="C4248" s="6">
        <v>1.0</v>
      </c>
      <c r="D4248" s="7" t="s">
        <v>7773</v>
      </c>
      <c r="E4248" s="8" t="str">
        <f>IFERROR(__xludf.DUMMYFUNCTION("googletranslate(D4248,""id"",""en"")"),"Woilaaaaa, how come it can yes PPKM UFH Kyak Pedes Level: V")</f>
        <v>Woilaaaaa, how come it can yes PPKM UFH Kyak Pedes Level: V</v>
      </c>
    </row>
    <row r="4249" ht="15.75" customHeight="1">
      <c r="A4249" s="2">
        <v>4251.0</v>
      </c>
      <c r="B4249" s="5" t="s">
        <v>7774</v>
      </c>
      <c r="C4249" s="6">
        <v>1.0</v>
      </c>
      <c r="D4249" s="9" t="s">
        <v>7775</v>
      </c>
      <c r="E4249" s="8" t="str">
        <f>IFERROR(__xludf.DUMMYFUNCTION("googletranslate(D4249,""id"",""en"")"),"This case must be investigated. WLO late. It's better than it's not at all. SDH late cut. Also trlight of the distribution. PPKM almost Selsai. Just channeled.")</f>
        <v>This case must be investigated. WLO late. It's better than it's not at all. SDH late cut. Also trlight of the distribution. PPKM almost Selsai. Just channeled.</v>
      </c>
    </row>
    <row r="4250" ht="15.75" customHeight="1">
      <c r="A4250" s="2">
        <v>4252.0</v>
      </c>
      <c r="B4250" s="5" t="s">
        <v>7776</v>
      </c>
      <c r="C4250" s="6">
        <v>1.0</v>
      </c>
      <c r="D4250" s="7" t="s">
        <v>7776</v>
      </c>
      <c r="E4250" s="8" t="str">
        <f>IFERROR(__xludf.DUMMYFUNCTION("googletranslate(D4250,""id"",""en"")"),"gymnastics gathering gathering right again PPKM GBLG.")</f>
        <v>gymnastics gathering gathering right again PPKM GBLG.</v>
      </c>
    </row>
    <row r="4251" ht="15.75" customHeight="1">
      <c r="A4251" s="2">
        <v>4253.0</v>
      </c>
      <c r="B4251" s="5" t="s">
        <v>7777</v>
      </c>
      <c r="C4251" s="6">
        <v>2.0</v>
      </c>
      <c r="D4251" s="7" t="s">
        <v>7778</v>
      </c>
      <c r="E4251" s="8" t="str">
        <f>IFERROR(__xludf.DUMMYFUNCTION("googletranslate(D4251,""id"",""en"")"),"Gacuma times the time, Kek PPKM to level")</f>
        <v>Gacuma times the time, Kek PPKM to level</v>
      </c>
    </row>
    <row r="4252" ht="15.75" customHeight="1">
      <c r="A4252" s="2">
        <v>4254.0</v>
      </c>
      <c r="B4252" s="5" t="s">
        <v>7779</v>
      </c>
      <c r="C4252" s="6">
        <v>1.0</v>
      </c>
      <c r="D4252" s="10" t="s">
        <v>7780</v>
      </c>
      <c r="E4252" s="8" t="str">
        <f>IFERROR(__xludf.DUMMYFUNCTION("googletranslate(D4252,""id"",""en"")"),"Ppkm mumet ....")</f>
        <v>Ppkm mumet ....</v>
      </c>
    </row>
    <row r="4253" ht="15.75" customHeight="1">
      <c r="A4253" s="2">
        <v>4255.0</v>
      </c>
      <c r="B4253" s="5" t="s">
        <v>7781</v>
      </c>
      <c r="C4253" s="6">
        <v>1.0</v>
      </c>
      <c r="D4253" s="7" t="s">
        <v>7782</v>
      </c>
      <c r="E4253" s="8" t="str">
        <f>IFERROR(__xludf.DUMMYFUNCTION("googletranslate(D4253,""id"",""en"")"),"Tai really waiting for finished PPKM it turns out that the trial should be offline to be online")</f>
        <v>Tai really waiting for finished PPKM it turns out that the trial should be offline to be online</v>
      </c>
    </row>
    <row r="4254" ht="15.75" customHeight="1">
      <c r="A4254" s="2">
        <v>4256.0</v>
      </c>
      <c r="B4254" s="5" t="s">
        <v>7783</v>
      </c>
      <c r="C4254" s="6">
        <v>2.0</v>
      </c>
      <c r="D4254" s="7" t="s">
        <v>7783</v>
      </c>
      <c r="E4254" s="8" t="str">
        <f>IFERROR(__xludf.DUMMYFUNCTION("googletranslate(D4254,""id"",""en"")"),"Slowly you walk away PPKM right")</f>
        <v>Slowly you walk away PPKM right</v>
      </c>
    </row>
    <row r="4255" ht="15.75" customHeight="1">
      <c r="A4255" s="2">
        <v>4257.0</v>
      </c>
      <c r="B4255" s="5" t="s">
        <v>7784</v>
      </c>
      <c r="C4255" s="6">
        <v>1.0</v>
      </c>
      <c r="D4255" s="7" t="s">
        <v>7785</v>
      </c>
      <c r="E4255" s="8" t="str">
        <f>IFERROR(__xludf.DUMMYFUNCTION("googletranslate(D4255,""id"",""en"")"),"It's already far away, keep the PPKM too")</f>
        <v>It's already far away, keep the PPKM too</v>
      </c>
    </row>
    <row r="4256" ht="15.75" customHeight="1">
      <c r="A4256" s="2">
        <v>4258.0</v>
      </c>
      <c r="B4256" s="5" t="s">
        <v>7786</v>
      </c>
      <c r="C4256" s="6">
        <v>2.0</v>
      </c>
      <c r="D4256" s="7" t="s">
        <v>7787</v>
      </c>
      <c r="E4256" s="8" t="str">
        <f>IFERROR(__xludf.DUMMYFUNCTION("googletranslate(D4256,""id"",""en"")"),"Why wait tomorrow? PPKM level is already over, but I don't know, change the name, especially")</f>
        <v>Why wait tomorrow? PPKM level is already over, but I don't know, change the name, especially</v>
      </c>
    </row>
    <row r="4257" ht="15.75" customHeight="1">
      <c r="A4257" s="2">
        <v>4259.0</v>
      </c>
      <c r="B4257" s="5" t="s">
        <v>7788</v>
      </c>
      <c r="C4257" s="6">
        <v>2.0</v>
      </c>
      <c r="D4257" s="7" t="s">
        <v>7789</v>
      </c>
      <c r="E4257" s="8" t="str">
        <f>IFERROR(__xludf.DUMMYFUNCTION("googletranslate(D4257,""id"",""en"")"),"Finished gas ppkm huh")</f>
        <v>Finished gas ppkm huh</v>
      </c>
    </row>
    <row r="4258" ht="15.75" customHeight="1">
      <c r="A4258" s="2">
        <v>4260.0</v>
      </c>
      <c r="B4258" s="5" t="s">
        <v>7790</v>
      </c>
      <c r="C4258" s="6">
        <v>1.0</v>
      </c>
      <c r="D4258" s="7" t="s">
        <v>7791</v>
      </c>
      <c r="E4258" s="8" t="str">
        <f>IFERROR(__xludf.DUMMYFUNCTION("googletranslate(D4258,""id"",""en"")"),"If the funds to maintain the buzzerp are diverted to funds to finance the people with trouble because the PPKM is also good.")</f>
        <v>If the funds to maintain the buzzerp are diverted to funds to finance the people with trouble because the PPKM is also good.</v>
      </c>
    </row>
    <row r="4259" ht="15.75" customHeight="1">
      <c r="A4259" s="2">
        <v>4261.0</v>
      </c>
      <c r="B4259" s="5" t="s">
        <v>7792</v>
      </c>
      <c r="C4259" s="6">
        <v>1.0</v>
      </c>
      <c r="D4259" s="7" t="s">
        <v>7793</v>
      </c>
      <c r="E4259" s="8" t="str">
        <f>IFERROR(__xludf.DUMMYFUNCTION("googletranslate(D4259,""id"",""en"")"),"There is only PPKM already absurd.")</f>
        <v>There is only PPKM already absurd.</v>
      </c>
    </row>
    <row r="4260" ht="15.75" customHeight="1">
      <c r="A4260" s="2">
        <v>4262.0</v>
      </c>
      <c r="B4260" s="5" t="s">
        <v>7794</v>
      </c>
      <c r="C4260" s="6">
        <v>3.0</v>
      </c>
      <c r="D4260" s="7" t="s">
        <v>7795</v>
      </c>
      <c r="E4260" s="8" t="str">
        <f>IFERROR(__xludf.DUMMYFUNCTION("googletranslate(D4260,""id"",""en"")"),"It wants to share with the community and have a positive impact in this PPKM condition.")</f>
        <v>It wants to share with the community and have a positive impact in this PPKM condition.</v>
      </c>
    </row>
    <row r="4261" ht="15.75" customHeight="1">
      <c r="A4261" s="2">
        <v>4263.0</v>
      </c>
      <c r="B4261" s="5" t="s">
        <v>7796</v>
      </c>
      <c r="C4261" s="6">
        <v>1.0</v>
      </c>
      <c r="D4261" s="7" t="s">
        <v>7797</v>
      </c>
      <c r="E4261" s="8" t="str">
        <f>IFERROR(__xludf.DUMMYFUNCTION("googletranslate(D4261,""id"",""en"")"),"The government in wage subsidies is Rp. Per month is given during the month, we can get it in one search, so there will be Rp. million in hand.")</f>
        <v>The government in wage subsidies is Rp. Per month is given during the month, we can get it in one search, so there will be Rp. million in hand.</v>
      </c>
    </row>
    <row r="4262" ht="15.75" customHeight="1">
      <c r="A4262" s="2">
        <v>4264.0</v>
      </c>
      <c r="B4262" s="5" t="s">
        <v>7798</v>
      </c>
      <c r="C4262" s="6">
        <v>1.0</v>
      </c>
      <c r="D4262" s="7" t="s">
        <v>7799</v>
      </c>
      <c r="E4262" s="8" t="str">
        <f>IFERROR(__xludf.DUMMYFUNCTION("googletranslate(D4262,""id"",""en"")"),"There will be around million workers / laborers who will receive subsidies of wages from the government. There are subsidized subsidy assistance of Rp. million for workers / workers during the PPKM take place. The kitchen is still banging.")</f>
        <v>There will be around million workers / laborers who will receive subsidies of wages from the government. There are subsidized subsidy assistance of Rp. million for workers / workers during the PPKM take place. The kitchen is still banging.</v>
      </c>
    </row>
    <row r="4263" ht="15.75" customHeight="1">
      <c r="A4263" s="2">
        <v>4265.0</v>
      </c>
      <c r="B4263" s="5" t="s">
        <v>7800</v>
      </c>
      <c r="C4263" s="6">
        <v>3.0</v>
      </c>
      <c r="D4263" s="7" t="s">
        <v>7801</v>
      </c>
      <c r="E4263" s="8" t="str">
        <f>IFERROR(__xludf.DUMMYFUNCTION("googletranslate(D4263,""id"",""en"")"),"The government provides wage subsidy assistance during the PPKM, it is expected to reduce the company's burden and is certainly very useful for workers / labor. Our financial condition can be guaranteed by the Ministry of Manpower and the Subsidy during a"&amp;" pandemic. So still actively works, it's still a spirit.")</f>
        <v>The government provides wage subsidy assistance during the PPKM, it is expected to reduce the company's burden and is certainly very useful for workers / labor. Our financial condition can be guaranteed by the Ministry of Manpower and the Subsidy during a pandemic. So still actively works, it's still a spirit.</v>
      </c>
    </row>
    <row r="4264" ht="15.75" customHeight="1">
      <c r="A4264" s="2">
        <v>4266.0</v>
      </c>
      <c r="B4264" s="5" t="s">
        <v>7802</v>
      </c>
      <c r="C4264" s="6">
        <v>2.0</v>
      </c>
      <c r="D4264" s="7" t="s">
        <v>7803</v>
      </c>
      <c r="E4264" s="8" t="str">
        <f>IFERROR(__xludf.DUMMYFUNCTION("googletranslate(D4264,""id"",""en"")"),"IYAA Effect of PPKM Melaar AA")</f>
        <v>IYAA Effect of PPKM Melaar AA</v>
      </c>
    </row>
    <row r="4265" ht="15.75" customHeight="1">
      <c r="A4265" s="2">
        <v>4267.0</v>
      </c>
      <c r="B4265" s="5" t="s">
        <v>7804</v>
      </c>
      <c r="C4265" s="6">
        <v>2.0</v>
      </c>
      <c r="D4265" s="7" t="s">
        <v>7805</v>
      </c>
      <c r="E4265" s="8" t="str">
        <f>IFERROR(__xludf.DUMMYFUNCTION("googletranslate(D4265,""id"",""en"")"),"Dih the styard of the ppkm")</f>
        <v>Dih the styard of the ppkm</v>
      </c>
    </row>
    <row r="4266" ht="15.75" customHeight="1">
      <c r="A4266" s="2">
        <v>4268.0</v>
      </c>
      <c r="B4266" s="5" t="s">
        <v>7806</v>
      </c>
      <c r="C4266" s="6">
        <v>1.0</v>
      </c>
      <c r="D4266" s="7" t="s">
        <v>7807</v>
      </c>
      <c r="E4266" s="8" t="str">
        <f>IFERROR(__xludf.DUMMYFUNCTION("googletranslate(D4266,""id"",""en"")"),"Cobain Pak here positive in the village, how ostracized it wkwk")</f>
        <v>Cobain Pak here positive in the village, how ostracized it wkwk</v>
      </c>
    </row>
    <row r="4267" ht="15.75" customHeight="1">
      <c r="A4267" s="2">
        <v>4269.0</v>
      </c>
      <c r="B4267" s="5" t="s">
        <v>7808</v>
      </c>
      <c r="C4267" s="6">
        <v>2.0</v>
      </c>
      <c r="D4267" s="7" t="s">
        <v>7809</v>
      </c>
      <c r="E4267" s="8" t="str">
        <f>IFERROR(__xludf.DUMMYFUNCTION("googletranslate(D4267,""id"",""en"")"),"PPKM in Mataram, Mantau must have an SRT vaccine and Test PCR ..")</f>
        <v>PPKM in Mataram, Mantau must have an SRT vaccine and Test PCR ..</v>
      </c>
    </row>
    <row r="4268" ht="15.75" customHeight="1">
      <c r="A4268" s="2">
        <v>4270.0</v>
      </c>
      <c r="B4268" s="5" t="s">
        <v>7810</v>
      </c>
      <c r="C4268" s="6">
        <v>2.0</v>
      </c>
      <c r="D4268" s="7" t="s">
        <v>7811</v>
      </c>
      <c r="E4268" s="8" t="str">
        <f>IFERROR(__xludf.DUMMYFUNCTION("googletranslate(D4268,""id"",""en"")"),"Wkwkwkwk lg ppkm guard the distance")</f>
        <v>Wkwkwkwk lg ppkm guard the distance</v>
      </c>
    </row>
    <row r="4269" ht="15.75" customHeight="1">
      <c r="A4269" s="2">
        <v>4271.0</v>
      </c>
      <c r="B4269" s="5" t="s">
        <v>7812</v>
      </c>
      <c r="C4269" s="6">
        <v>2.0</v>
      </c>
      <c r="D4269" s="7" t="s">
        <v>7813</v>
      </c>
      <c r="E4269" s="8" t="str">
        <f>IFERROR(__xludf.DUMMYFUNCTION("googletranslate(D4269,""id"",""en"")"),"Secretary of the Indonesian Footwear Association (Aprisindo) East Java, Ali Masud added. The PPKM does not interfere with factory operational activities")</f>
        <v>Secretary of the Indonesian Footwear Association (Aprisindo) East Java, Ali Masud added. The PPKM does not interfere with factory operational activities</v>
      </c>
    </row>
    <row r="4270" ht="15.75" customHeight="1">
      <c r="A4270" s="2">
        <v>4272.0</v>
      </c>
      <c r="B4270" s="5" t="s">
        <v>7814</v>
      </c>
      <c r="C4270" s="6">
        <v>2.0</v>
      </c>
      <c r="D4270" s="7" t="s">
        <v>7815</v>
      </c>
      <c r="E4270" s="8" t="str">
        <f>IFERROR(__xludf.DUMMYFUNCTION("googletranslate(D4270,""id"",""en"")"),"FSMG Snoom Yuk Maybe After PPKM hehehe")</f>
        <v>FSMG Snoom Yuk Maybe After PPKM hehehe</v>
      </c>
    </row>
    <row r="4271" ht="15.75" customHeight="1">
      <c r="A4271" s="2">
        <v>4273.0</v>
      </c>
      <c r="B4271" s="5" t="s">
        <v>7816</v>
      </c>
      <c r="C4271" s="6">
        <v>1.0</v>
      </c>
      <c r="D4271" s="9" t="s">
        <v>7817</v>
      </c>
      <c r="E4271" s="8" t="str">
        <f>IFERROR(__xludf.DUMMYFUNCTION("googletranslate(D4271,""id"",""en"")"),"I like using a weekly or daily quota if you are your quota heheh ... because the PPKM needs quota skyrocket and unexpectedly")</f>
        <v>I like using a weekly or daily quota if you are your quota heheh ... because the PPKM needs quota skyrocket and unexpectedly</v>
      </c>
    </row>
    <row r="4272" ht="15.75" customHeight="1">
      <c r="A4272" s="2">
        <v>4274.0</v>
      </c>
      <c r="B4272" s="5" t="s">
        <v>7818</v>
      </c>
      <c r="C4272" s="6">
        <v>1.0</v>
      </c>
      <c r="D4272" s="7" t="s">
        <v>7819</v>
      </c>
      <c r="E4272" s="8" t="str">
        <f>IFERROR(__xludf.DUMMYFUNCTION("googletranslate(D4272,""id"",""en"")"),"ROJUTRAL RESTS Make officials and cukong cukong ... for small people screaming and with PPKM like this ... the real one is like this country of Indonesia")</f>
        <v>ROJUTRAL RESTS Make officials and cukong cukong ... for small people screaming and with PPKM like this ... the real one is like this country of Indonesia</v>
      </c>
    </row>
    <row r="4273" ht="15.75" customHeight="1">
      <c r="A4273" s="2">
        <v>4275.0</v>
      </c>
      <c r="B4273" s="5" t="s">
        <v>7820</v>
      </c>
      <c r="C4273" s="6">
        <v>1.0</v>
      </c>
      <c r="D4273" s="7" t="s">
        <v>7821</v>
      </c>
      <c r="E4273" s="8" t="str">
        <f>IFERROR(__xludf.DUMMYFUNCTION("googletranslate(D4273,""id"",""en"")"),"(Ppkm) Mr. President When to Retreat (PSBB) Next President Mr. Baswedan")</f>
        <v>(Ppkm) Mr. President When to Retreat (PSBB) Next President Mr. Baswedan</v>
      </c>
    </row>
    <row r="4274" ht="15.75" customHeight="1">
      <c r="A4274" s="2">
        <v>4276.0</v>
      </c>
      <c r="B4274" s="5" t="s">
        <v>7822</v>
      </c>
      <c r="C4274" s="6">
        <v>3.0</v>
      </c>
      <c r="D4274" s="7" t="s">
        <v>7823</v>
      </c>
      <c r="E4274" s="8" t="str">
        <f>IFERROR(__xludf.DUMMYFUNCTION("googletranslate(D4274,""id"",""en"")"),"NTT is safe, Sis ... again run PPKM Level here. I hope we are all healthy, bro")</f>
        <v>NTT is safe, Sis ... again run PPKM Level here. I hope we are all healthy, bro</v>
      </c>
    </row>
    <row r="4275" ht="15.75" customHeight="1">
      <c r="A4275" s="2">
        <v>4277.0</v>
      </c>
      <c r="B4275" s="5" t="s">
        <v>7824</v>
      </c>
      <c r="C4275" s="6">
        <v>3.0</v>
      </c>
      <c r="D4275" s="7" t="s">
        <v>7825</v>
      </c>
      <c r="E4275" s="8" t="str">
        <f>IFERROR(__xludf.DUMMYFUNCTION("googletranslate(D4275,""id"",""en"")"),"Not only the president and the ministers")</f>
        <v>Not only the president and the ministers</v>
      </c>
    </row>
    <row r="4276" ht="15.75" customHeight="1">
      <c r="A4276" s="2">
        <v>4278.0</v>
      </c>
      <c r="B4276" s="5" t="s">
        <v>7826</v>
      </c>
      <c r="C4276" s="6">
        <v>2.0</v>
      </c>
      <c r="D4276" s="9" t="s">
        <v>7827</v>
      </c>
      <c r="E4276" s="8" t="str">
        <f>IFERROR(__xludf.DUMMYFUNCTION("googletranslate(D4276,""id"",""en"")"),"Ppkm dine in the time of time, if we come out the shop continues to enter again whether it can be an additional minute again?")</f>
        <v>Ppkm dine in the time of time, if we come out the shop continues to enter again whether it can be an additional minute again?</v>
      </c>
    </row>
    <row r="4277" ht="15.75" customHeight="1">
      <c r="A4277" s="2">
        <v>4279.0</v>
      </c>
      <c r="B4277" s="5" t="s">
        <v>7828</v>
      </c>
      <c r="C4277" s="6">
        <v>1.0</v>
      </c>
      <c r="D4277" s="7" t="s">
        <v>7829</v>
      </c>
      <c r="E4277" s="8" t="str">
        <f>IFERROR(__xludf.DUMMYFUNCTION("googletranslate(D4277,""id"",""en"")"),"Almost BLN PPKM takes place, the people are increasingly worried about the apparatus in many violence and amp; Intimidation of BST / BLT which is promised its value is very small and latepdhal has been included in the BLN to a pandemic in this country ..."&amp;" 5 months again to Milad to 2 years")</f>
        <v>Almost BLN PPKM takes place, the people are increasingly worried about the apparatus in many violence and amp; Intimidation of BST / BLT which is promised its value is very small and latepdhal has been included in the BLN to a pandemic in this country ... 5 months again to Milad to 2 years</v>
      </c>
    </row>
    <row r="4278" ht="15.75" customHeight="1">
      <c r="A4278" s="2">
        <v>4280.0</v>
      </c>
      <c r="B4278" s="5" t="s">
        <v>7830</v>
      </c>
      <c r="C4278" s="6">
        <v>1.0</v>
      </c>
      <c r="D4278" s="7" t="s">
        <v>7831</v>
      </c>
      <c r="E4278" s="8" t="str">
        <f>IFERROR(__xludf.DUMMYFUNCTION("googletranslate(D4278,""id"",""en"")"),"Emergency PPKM is not the protocol to face health emergency, but to face emergency power ..")</f>
        <v>Emergency PPKM is not the protocol to face health emergency, but to face emergency power ..</v>
      </c>
    </row>
    <row r="4279" ht="15.75" customHeight="1">
      <c r="A4279" s="2">
        <v>4281.0</v>
      </c>
      <c r="B4279" s="5" t="s">
        <v>7832</v>
      </c>
      <c r="C4279" s="6">
        <v>3.0</v>
      </c>
      <c r="D4279" s="9" t="s">
        <v>7833</v>
      </c>
      <c r="E4279" s="8" t="str">
        <f>IFERROR(__xludf.DUMMYFUNCTION("googletranslate(D4279,""id"",""en"")"),"As long as the PPKM feels bored at home? You can do the following things that can be done at home !!")</f>
        <v>As long as the PPKM feels bored at home? You can do the following things that can be done at home !!</v>
      </c>
    </row>
    <row r="4280" ht="15.75" customHeight="1">
      <c r="A4280" s="2">
        <v>4282.0</v>
      </c>
      <c r="B4280" s="5" t="s">
        <v>7834</v>
      </c>
      <c r="C4280" s="6">
        <v>2.0</v>
      </c>
      <c r="D4280" s="9" t="s">
        <v>7835</v>
      </c>
      <c r="E4280" s="8" t="str">
        <f>IFERROR(__xludf.DUMMYFUNCTION("googletranslate(D4280,""id"",""en"")"),"Moga PPKM finished Yatuhan I was really like this ring from the start appeared")</f>
        <v>Moga PPKM finished Yatuhan I was really like this ring from the start appeared</v>
      </c>
    </row>
    <row r="4281" ht="15.75" customHeight="1">
      <c r="A4281" s="2">
        <v>4283.0</v>
      </c>
      <c r="B4281" s="5" t="s">
        <v>7836</v>
      </c>
      <c r="C4281" s="6">
        <v>1.0</v>
      </c>
      <c r="D4281" s="7" t="s">
        <v>7837</v>
      </c>
      <c r="E4281" s="8" t="str">
        <f>IFERROR(__xludf.DUMMYFUNCTION("googletranslate(D4281,""id"",""en"")"),"How come the open ppkm gini, hurried to be covered with the Satpol PP")</f>
        <v>How come the open ppkm gini, hurried to be covered with the Satpol PP</v>
      </c>
    </row>
    <row r="4282" ht="15.75" customHeight="1">
      <c r="A4282" s="2">
        <v>4284.0</v>
      </c>
      <c r="B4282" s="5" t="s">
        <v>7838</v>
      </c>
      <c r="C4282" s="6">
        <v>1.0</v>
      </c>
      <c r="D4282" s="9" t="s">
        <v>7839</v>
      </c>
      <c r="E4282" s="8" t="str">
        <f>IFERROR(__xludf.DUMMYFUNCTION("googletranslate(D4282,""id"",""en"")"),"In mind that the SBTL thing is precisely to clarify, it is easier for people to conduct substance from the term abstract PPKM level. Indeed, there are people who are not looking for things, if you don't matter and make a fantasy / hoax / lie to satisfy th"&amp;"eir hatred to Jokowi.")</f>
        <v>In mind that the SBTL thing is precisely to clarify, it is easier for people to conduct substance from the term abstract PPKM level. Indeed, there are people who are not looking for things, if you don't matter and make a fantasy / hoax / lie to satisfy their hatred to Jokowi.</v>
      </c>
    </row>
    <row r="4283" ht="15.75" customHeight="1">
      <c r="A4283" s="2">
        <v>4285.0</v>
      </c>
      <c r="B4283" s="5" t="s">
        <v>7840</v>
      </c>
      <c r="C4283" s="6">
        <v>2.0</v>
      </c>
      <c r="D4283" s="7" t="s">
        <v>7840</v>
      </c>
      <c r="E4283" s="8" t="str">
        <f>IFERROR(__xludf.DUMMYFUNCTION("googletranslate(D4283,""id"",""en"")"),"Implations of limiting Community Activities (PPKM) by employers are considered to not hamper business activities, especially for export performance")</f>
        <v>Implations of limiting Community Activities (PPKM) by employers are considered to not hamper business activities, especially for export performance</v>
      </c>
    </row>
    <row r="4284" ht="15.75" customHeight="1">
      <c r="A4284" s="2">
        <v>4286.0</v>
      </c>
      <c r="B4284" s="5" t="s">
        <v>7841</v>
      </c>
      <c r="C4284" s="6">
        <v>2.0</v>
      </c>
      <c r="D4284" s="9" t="s">
        <v>7842</v>
      </c>
      <c r="E4284" s="8" t="str">
        <f>IFERROR(__xludf.DUMMYFUNCTION("googletranslate(D4284,""id"",""en"")"),"Min, there are requirements to rise KRL from Jakarta destination Bogor in PPKM for job needed?")</f>
        <v>Min, there are requirements to rise KRL from Jakarta destination Bogor in PPKM for job needed?</v>
      </c>
    </row>
    <row r="4285" ht="15.75" customHeight="1">
      <c r="A4285" s="2">
        <v>4287.0</v>
      </c>
      <c r="B4285" s="5" t="s">
        <v>7843</v>
      </c>
      <c r="C4285" s="6">
        <v>2.0</v>
      </c>
      <c r="D4285" s="10" t="s">
        <v>7844</v>
      </c>
      <c r="E4285" s="8" t="str">
        <f>IFERROR(__xludf.DUMMYFUNCTION("googletranslate(D4285,""id"",""en"")"),"sm aj right ppkm")</f>
        <v>sm aj right ppkm</v>
      </c>
    </row>
    <row r="4286" ht="15.75" customHeight="1">
      <c r="A4286" s="2">
        <v>4288.0</v>
      </c>
      <c r="B4286" s="5" t="s">
        <v>7845</v>
      </c>
      <c r="C4286" s="6">
        <v>1.0</v>
      </c>
      <c r="D4286" s="7" t="s">
        <v>7846</v>
      </c>
      <c r="E4286" s="8" t="str">
        <f>IFERROR(__xludf.DUMMYFUNCTION("googletranslate(D4286,""id"",""en"")"),"Yeah, it's definitely, how to handle it, just change the name, from PSBB, PPKM, PPKM Level etc. But there is no new CR breakthrough that it can inshibit the spread of covid, replace the president of the country ...")</f>
        <v>Yeah, it's definitely, how to handle it, just change the name, from PSBB, PPKM, PPKM Level etc. But there is no new CR breakthrough that it can inshibit the spread of covid, replace the president of the country ...</v>
      </c>
    </row>
    <row r="4287" ht="15.75" customHeight="1">
      <c r="A4287" s="2">
        <v>4289.0</v>
      </c>
      <c r="B4287" s="5" t="s">
        <v>7847</v>
      </c>
      <c r="C4287" s="6">
        <v>2.0</v>
      </c>
      <c r="D4287" s="7" t="s">
        <v>7847</v>
      </c>
      <c r="E4287" s="8" t="str">
        <f>IFERROR(__xludf.DUMMYFUNCTION("googletranslate(D4287,""id"",""en"")"),"Emergency PPKM Policy Does Not Disturb the Export Performance of East Java")</f>
        <v>Emergency PPKM Policy Does Not Disturb the Export Performance of East Java</v>
      </c>
    </row>
    <row r="4288" ht="15.75" customHeight="1">
      <c r="A4288" s="2">
        <v>4290.0</v>
      </c>
      <c r="B4288" s="5" t="s">
        <v>7848</v>
      </c>
      <c r="C4288" s="6">
        <v>2.0</v>
      </c>
      <c r="D4288" s="9" t="s">
        <v>7849</v>
      </c>
      <c r="E4288" s="8" t="str">
        <f>IFERROR(__xludf.DUMMYFUNCTION("googletranslate(D4288,""id"",""en"")"),"Mhon Info Min &amp; amp; Follower, Dufferers / Closure Enter Malang City from the North (Singosari), in Karanglo ... Look for this time for this PPKM? or random? SUWUN ...")</f>
        <v>Mhon Info Min &amp; amp; Follower, Dufferers / Closure Enter Malang City from the North (Singosari), in Karanglo ... Look for this time for this PPKM? or random? SUWUN ...</v>
      </c>
    </row>
    <row r="4289" ht="15.75" customHeight="1">
      <c r="A4289" s="2">
        <v>4291.0</v>
      </c>
      <c r="B4289" s="5" t="s">
        <v>7850</v>
      </c>
      <c r="C4289" s="6">
        <v>2.0</v>
      </c>
      <c r="D4289" s="7" t="s">
        <v>7851</v>
      </c>
      <c r="E4289" s="8" t="str">
        <f>IFERROR(__xludf.DUMMYFUNCTION("googletranslate(D4289,""id"",""en"")"),"How to Rage Hoax in the PPKM Level")</f>
        <v>How to Rage Hoax in the PPKM Level</v>
      </c>
    </row>
    <row r="4290" ht="15.75" customHeight="1">
      <c r="A4290" s="2">
        <v>4292.0</v>
      </c>
      <c r="B4290" s="5" t="s">
        <v>7852</v>
      </c>
      <c r="C4290" s="6">
        <v>1.0</v>
      </c>
      <c r="D4290" s="7" t="s">
        <v>7853</v>
      </c>
      <c r="E4290" s="8" t="str">
        <f>IFERROR(__xludf.DUMMYFUNCTION("googletranslate(D4290,""id"",""en"")"),"Yes ppkm can only miser the small people")</f>
        <v>Yes ppkm can only miser the small people</v>
      </c>
    </row>
    <row r="4291" ht="15.75" customHeight="1">
      <c r="A4291" s="2">
        <v>4293.0</v>
      </c>
      <c r="B4291" s="5" t="s">
        <v>7854</v>
      </c>
      <c r="C4291" s="6">
        <v>2.0</v>
      </c>
      <c r="D4291" s="7" t="s">
        <v>7855</v>
      </c>
      <c r="E4291" s="8" t="str">
        <f>IFERROR(__xludf.DUMMYFUNCTION("googletranslate(D4291,""id"",""en"")"),"QUESTIONS ESTA Weight Value% TTG General knowledge. . Length of PPKM2. Hi apakabar you? . The name of the Governor of Aceh t. . The same weight is taken (continue the proverb above). Snakes breed with the way? Explain &amp; amp; Complete the question above.")</f>
        <v>QUESTIONS ESTA Weight Value% TTG General knowledge. . Length of PPKM2. Hi apakabar you? . The name of the Governor of Aceh t. . The same weight is taken (continue the proverb above). Snakes breed with the way? Explain &amp; amp; Complete the question above.</v>
      </c>
    </row>
    <row r="4292" ht="15.75" customHeight="1">
      <c r="A4292" s="2">
        <v>4294.0</v>
      </c>
      <c r="B4292" s="5" t="s">
        <v>7856</v>
      </c>
      <c r="C4292" s="6">
        <v>2.0</v>
      </c>
      <c r="D4292" s="7" t="s">
        <v>7857</v>
      </c>
      <c r="E4292" s="8" t="str">
        <f>IFERROR(__xludf.DUMMYFUNCTION("googletranslate(D4292,""id"",""en"")"),"Wisdom from money that still comes to many consequences of PPKM")</f>
        <v>Wisdom from money that still comes to many consequences of PPKM</v>
      </c>
    </row>
    <row r="4293" ht="15.75" customHeight="1">
      <c r="A4293" s="2">
        <v>4295.0</v>
      </c>
      <c r="B4293" s="5" t="s">
        <v>7858</v>
      </c>
      <c r="C4293" s="6">
        <v>1.0</v>
      </c>
      <c r="D4293" s="7" t="s">
        <v>7858</v>
      </c>
      <c r="E4293" s="8" t="str">
        <f>IFERROR(__xludf.DUMMYFUNCTION("googletranslate(D4293,""id"",""en"")"),"PPKM is a little strange, hold sports")</f>
        <v>PPKM is a little strange, hold sports</v>
      </c>
    </row>
    <row r="4294" ht="15.75" customHeight="1">
      <c r="A4294" s="2">
        <v>4296.0</v>
      </c>
      <c r="B4294" s="5" t="s">
        <v>7859</v>
      </c>
      <c r="C4294" s="6">
        <v>2.0</v>
      </c>
      <c r="D4294" s="7" t="s">
        <v>7859</v>
      </c>
      <c r="E4294" s="8" t="str">
        <f>IFERROR(__xludf.DUMMYFUNCTION("googletranslate(D4294,""id"",""en"")"),"PPKM keknya does not affect for home children. : '")</f>
        <v>PPKM keknya does not affect for home children. : '</v>
      </c>
    </row>
    <row r="4295" ht="15.75" customHeight="1">
      <c r="A4295" s="2">
        <v>4297.0</v>
      </c>
      <c r="B4295" s="5" t="s">
        <v>7860</v>
      </c>
      <c r="C4295" s="6">
        <v>2.0</v>
      </c>
      <c r="D4295" s="7" t="s">
        <v>7861</v>
      </c>
      <c r="E4295" s="8" t="str">
        <f>IFERROR(__xludf.DUMMYFUNCTION("googletranslate(D4295,""id"",""en"")"),"I when observing the application of PPKM")</f>
        <v>I when observing the application of PPKM</v>
      </c>
    </row>
    <row r="4296" ht="15.75" customHeight="1">
      <c r="A4296" s="2">
        <v>4298.0</v>
      </c>
      <c r="B4296" s="5" t="s">
        <v>7862</v>
      </c>
      <c r="C4296" s="6">
        <v>1.0</v>
      </c>
      <c r="D4296" s="7" t="s">
        <v>7862</v>
      </c>
      <c r="E4296" s="8" t="str">
        <f>IFERROR(__xludf.DUMMYFUNCTION("googletranslate(D4296,""id"",""en"")"),"When can PPKM, the schedule in June yesterday, so it continues to delay")</f>
        <v>When can PPKM, the schedule in June yesterday, so it continues to delay</v>
      </c>
    </row>
    <row r="4297" ht="15.75" customHeight="1">
      <c r="A4297" s="2">
        <v>4299.0</v>
      </c>
      <c r="B4297" s="5" t="s">
        <v>7863</v>
      </c>
      <c r="C4297" s="6">
        <v>3.0</v>
      </c>
      <c r="D4297" s="7" t="s">
        <v>7864</v>
      </c>
      <c r="E4297" s="8" t="str">
        <f>IFERROR(__xludf.DUMMYFUNCTION("googletranslate(D4297,""id"",""en"")"),"Dasco: Let's support the PPKM extension, this is the sake of the safety of the people! One Nusabangsa Indonesia")</f>
        <v>Dasco: Let's support the PPKM extension, this is the sake of the safety of the people! One Nusabangsa Indonesia</v>
      </c>
    </row>
    <row r="4298" ht="15.75" customHeight="1">
      <c r="A4298" s="2">
        <v>4300.0</v>
      </c>
      <c r="B4298" s="5" t="s">
        <v>7865</v>
      </c>
      <c r="C4298" s="6">
        <v>1.0</v>
      </c>
      <c r="D4298" s="9" t="s">
        <v>7866</v>
      </c>
      <c r="E4298" s="8" t="str">
        <f>IFERROR(__xludf.DUMMYFUNCTION("googletranslate(D4298,""id"",""en"")"),"Damaged by the mentality of secular rulers in PPKM by: Rizki Eka Manurung (Muslim activist)")</f>
        <v>Damaged by the mentality of secular rulers in PPKM by: Rizki Eka Manurung (Muslim activist)</v>
      </c>
    </row>
    <row r="4299" ht="15.75" customHeight="1">
      <c r="A4299" s="2">
        <v>4301.0</v>
      </c>
      <c r="B4299" s="5" t="s">
        <v>7867</v>
      </c>
      <c r="C4299" s="6">
        <v>2.0</v>
      </c>
      <c r="D4299" s="9" t="s">
        <v>7868</v>
      </c>
      <c r="E4299" s="8" t="str">
        <f>IFERROR(__xludf.DUMMYFUNCTION("googletranslate(D4299,""id"",""en"")"),"have been here together before PPKM, the place is good but my heart is ugly, he cheats")</f>
        <v>have been here together before PPKM, the place is good but my heart is ugly, he cheats</v>
      </c>
    </row>
    <row r="4300" ht="15.75" customHeight="1">
      <c r="A4300" s="2">
        <v>4302.0</v>
      </c>
      <c r="B4300" s="5" t="s">
        <v>7869</v>
      </c>
      <c r="C4300" s="6">
        <v>2.0</v>
      </c>
      <c r="D4300" s="7" t="s">
        <v>7870</v>
      </c>
      <c r="E4300" s="8" t="str">
        <f>IFERROR(__xludf.DUMMYFUNCTION("googletranslate(D4300,""id"",""en"")"),"Right ppkm, so in just just minutes")</f>
        <v>Right ppkm, so in just just minutes</v>
      </c>
    </row>
    <row r="4301" ht="15.75" customHeight="1">
      <c r="A4301" s="2">
        <v>4303.0</v>
      </c>
      <c r="B4301" s="5" t="s">
        <v>7871</v>
      </c>
      <c r="C4301" s="6">
        <v>1.0</v>
      </c>
      <c r="D4301" s="9" t="s">
        <v>7872</v>
      </c>
      <c r="E4301" s="8" t="str">
        <f>IFERROR(__xludf.DUMMYFUNCTION("googletranslate(D4301,""id"",""en"")"),"PPKM is extended but not with a work contract. Output is still constant but not with income.")</f>
        <v>PPKM is extended but not with a work contract. Output is still constant but not with income.</v>
      </c>
    </row>
    <row r="4302" ht="15.75" customHeight="1">
      <c r="A4302" s="2">
        <v>4304.0</v>
      </c>
      <c r="B4302" s="5" t="s">
        <v>7873</v>
      </c>
      <c r="C4302" s="6">
        <v>2.0</v>
      </c>
      <c r="D4302" s="9" t="s">
        <v>7874</v>
      </c>
      <c r="E4302" s="8" t="str">
        <f>IFERROR(__xludf.DUMMYFUNCTION("googletranslate(D4302,""id"",""en"")"),"He said the PPKM rules eat at a maximum of minutes, huh? The minute meal isn't difficult. If you eat a plate of two. You, two plates are still alone.")</f>
        <v>He said the PPKM rules eat at a maximum of minutes, huh? The minute meal isn't difficult. If you eat a plate of two. You, two plates are still alone.</v>
      </c>
    </row>
    <row r="4303" ht="15.75" customHeight="1">
      <c r="A4303" s="2">
        <v>4305.0</v>
      </c>
      <c r="B4303" s="5" t="s">
        <v>7875</v>
      </c>
      <c r="C4303" s="6">
        <v>3.0</v>
      </c>
      <c r="D4303" s="7" t="s">
        <v>7875</v>
      </c>
      <c r="E4303" s="8" t="str">
        <f>IFERROR(__xludf.DUMMYFUNCTION("googletranslate(D4303,""id"",""en"")"),"Alhamdulillah, since the PPKM there was no ambulance back and forth.")</f>
        <v>Alhamdulillah, since the PPKM there was no ambulance back and forth.</v>
      </c>
    </row>
    <row r="4304" ht="15.75" customHeight="1">
      <c r="A4304" s="2">
        <v>4306.0</v>
      </c>
      <c r="B4304" s="5" t="s">
        <v>7876</v>
      </c>
      <c r="C4304" s="6">
        <v>3.0</v>
      </c>
      <c r="D4304" s="9" t="s">
        <v>7877</v>
      </c>
      <c r="E4304" s="8" t="str">
        <f>IFERROR(__xludf.DUMMYFUNCTION("googletranslate(D4304,""id"",""en"")"),"Support the application of PPKM Level to protect people's health and prevent the Covid-19 surge")</f>
        <v>Support the application of PPKM Level to protect people's health and prevent the Covid-19 surge</v>
      </c>
    </row>
    <row r="4305" ht="15.75" customHeight="1">
      <c r="A4305" s="2">
        <v>4307.0</v>
      </c>
      <c r="B4305" s="5" t="s">
        <v>7878</v>
      </c>
      <c r="C4305" s="6">
        <v>1.0</v>
      </c>
      <c r="D4305" s="7" t="s">
        <v>7879</v>
      </c>
      <c r="E4305" s="8" t="str">
        <f>IFERROR(__xludf.DUMMYFUNCTION("googletranslate(D4305,""id"",""en"")"),"Name: Dr. H. Variant Delta (+) S.e, M.Pdumur: several days: (Big Family) Covid TTL :? (Unknown) WN :? (Unknown) Biography: ""I am the youngest child, I was born to make a mess of a country by creating PSBB, PPKM, etc.""")</f>
        <v>Name: Dr. H. Variant Delta (+) S.e, M.Pdumur: several days: (Big Family) Covid TTL :? (Unknown) WN :? (Unknown) Biography: "I am the youngest child, I was born to make a mess of a country by creating PSBB, PPKM, etc."</v>
      </c>
    </row>
    <row r="4306" ht="15.75" customHeight="1">
      <c r="A4306" s="2">
        <v>4308.0</v>
      </c>
      <c r="B4306" s="5" t="s">
        <v>7880</v>
      </c>
      <c r="C4306" s="6">
        <v>1.0</v>
      </c>
      <c r="D4306" s="9" t="s">
        <v>7880</v>
      </c>
      <c r="E4306" s="8" t="str">
        <f>IFERROR(__xludf.DUMMYFUNCTION("googletranslate(D4306,""id"",""en"")"),"I don't dare to ask this clinic when it can start kalopun already received direct internships ...... because yesterday when I said PPKM first, it turned out that the PPKM was extended or until when, rename any more.")</f>
        <v>I don't dare to ask this clinic when it can start kalopun already received direct internships ...... because yesterday when I said PPKM first, it turned out that the PPKM was extended or until when, rename any more.</v>
      </c>
    </row>
    <row r="4307" ht="15.75" customHeight="1">
      <c r="A4307" s="2">
        <v>4309.0</v>
      </c>
      <c r="B4307" s="5" t="s">
        <v>7881</v>
      </c>
      <c r="C4307" s="6">
        <v>2.0</v>
      </c>
      <c r="D4307" s="9" t="s">
        <v>7882</v>
      </c>
      <c r="E4307" s="8" t="str">
        <f>IFERROR(__xludf.DUMMYFUNCTION("googletranslate(D4307,""id"",""en"")"),"Just realized the pocket-al-Quran I lost ... Kemane yes, the little Quran gemes, I brought every time, when I wasn't the time for you to buy a new one")</f>
        <v>Just realized the pocket-al-Quran I lost ... Kemane yes, the little Quran gemes, I brought every time, when I wasn't the time for you to buy a new one</v>
      </c>
    </row>
    <row r="4308" ht="15.75" customHeight="1">
      <c r="A4308" s="2">
        <v>4310.0</v>
      </c>
      <c r="B4308" s="5" t="s">
        <v>7883</v>
      </c>
      <c r="C4308" s="6">
        <v>2.0</v>
      </c>
      <c r="D4308" s="7" t="s">
        <v>7884</v>
      </c>
      <c r="E4308" s="8" t="str">
        <f>IFERROR(__xludf.DUMMYFUNCTION("googletranslate(D4308,""id"",""en"")"),"PPKM Morning Morning Kangen MyBestie")</f>
        <v>PPKM Morning Morning Kangen MyBestie</v>
      </c>
    </row>
    <row r="4309" ht="15.75" customHeight="1">
      <c r="A4309" s="2">
        <v>4311.0</v>
      </c>
      <c r="B4309" s="5" t="s">
        <v>7885</v>
      </c>
      <c r="C4309" s="6">
        <v>1.0</v>
      </c>
      <c r="D4309" s="9" t="s">
        <v>7885</v>
      </c>
      <c r="E4309" s="8" t="str">
        <f>IFERROR(__xludf.DUMMYFUNCTION("googletranslate(D4309,""id"",""en"")"),"I'm bored bgd ppkm")</f>
        <v>I'm bored bgd ppkm</v>
      </c>
    </row>
    <row r="4310" ht="15.75" customHeight="1">
      <c r="A4310" s="2">
        <v>4312.0</v>
      </c>
      <c r="B4310" s="5" t="s">
        <v>7886</v>
      </c>
      <c r="C4310" s="6">
        <v>1.0</v>
      </c>
      <c r="D4310" s="7" t="s">
        <v>7887</v>
      </c>
      <c r="E4310" s="8" t="str">
        <f>IFERROR(__xludf.DUMMYFUNCTION("googletranslate(D4310,""id"",""en"")"),"Ppkm, business &amp; amp; Lime money, instead invented")</f>
        <v>Ppkm, business &amp; amp; Lime money, instead invented</v>
      </c>
    </row>
    <row r="4311" ht="15.75" customHeight="1">
      <c r="A4311" s="2">
        <v>4313.0</v>
      </c>
      <c r="B4311" s="5" t="s">
        <v>7888</v>
      </c>
      <c r="C4311" s="6">
        <v>2.0</v>
      </c>
      <c r="D4311" s="9" t="s">
        <v>7889</v>
      </c>
      <c r="E4311" s="8" t="str">
        <f>IFERROR(__xludf.DUMMYFUNCTION("googletranslate(D4311,""id"",""en"")"),"Hayu, if playing kerumh is also done PPKM?")</f>
        <v>Hayu, if playing kerumh is also done PPKM?</v>
      </c>
    </row>
    <row r="4312" ht="15.75" customHeight="1">
      <c r="A4312" s="2">
        <v>4314.0</v>
      </c>
      <c r="B4312" s="5" t="s">
        <v>7890</v>
      </c>
      <c r="C4312" s="6">
        <v>1.0</v>
      </c>
      <c r="D4312" s="7" t="s">
        <v>7891</v>
      </c>
      <c r="E4312" s="8" t="str">
        <f>IFERROR(__xludf.DUMMYFUNCTION("googletranslate(D4312,""id"",""en"")"),"Ppkm is not suitable for the majority of msh below")</f>
        <v>Ppkm is not suitable for the majority of msh below</v>
      </c>
    </row>
    <row r="4313" ht="15.75" customHeight="1">
      <c r="A4313" s="2">
        <v>4315.0</v>
      </c>
      <c r="B4313" s="5" t="s">
        <v>7892</v>
      </c>
      <c r="C4313" s="6">
        <v>2.0</v>
      </c>
      <c r="D4313" s="7" t="s">
        <v>7893</v>
      </c>
      <c r="E4313" s="8" t="str">
        <f>IFERROR(__xludf.DUMMYFUNCTION("googletranslate(D4313,""id"",""en"")"),"Ppkm gini open it or not?")</f>
        <v>Ppkm gini open it or not?</v>
      </c>
    </row>
    <row r="4314" ht="15.75" customHeight="1">
      <c r="A4314" s="2">
        <v>4316.0</v>
      </c>
      <c r="B4314" s="5" t="s">
        <v>7894</v>
      </c>
      <c r="C4314" s="6">
        <v>1.0</v>
      </c>
      <c r="D4314" s="9" t="s">
        <v>7894</v>
      </c>
      <c r="E4314" s="8" t="str">
        <f>IFERROR(__xludf.DUMMYFUNCTION("googletranslate(D4314,""id"",""en"")"),"In the morning, with the continuing PPKM and the numbers of victims of the pandemic who were still driving, also all the behavior of silliness and cuteness born not from the comedians.")</f>
        <v>In the morning, with the continuing PPKM and the numbers of victims of the pandemic who were still driving, also all the behavior of silliness and cuteness born not from the comedians.</v>
      </c>
    </row>
    <row r="4315" ht="15.75" customHeight="1">
      <c r="A4315" s="2">
        <v>4317.0</v>
      </c>
      <c r="B4315" s="5" t="s">
        <v>7895</v>
      </c>
      <c r="C4315" s="6">
        <v>2.0</v>
      </c>
      <c r="D4315" s="9" t="s">
        <v>7896</v>
      </c>
      <c r="E4315" s="8" t="str">
        <f>IFERROR(__xludf.DUMMYFUNCTION("googletranslate(D4315,""id"",""en"")"),"Impact of PSBB, Lockdown, PPKM What are you? And share how to face / survive you so far")</f>
        <v>Impact of PSBB, Lockdown, PPKM What are you? And share how to face / survive you so far</v>
      </c>
    </row>
    <row r="4316" ht="15.75" customHeight="1">
      <c r="A4316" s="2">
        <v>4318.0</v>
      </c>
      <c r="B4316" s="5" t="s">
        <v>7897</v>
      </c>
      <c r="C4316" s="6">
        <v>3.0</v>
      </c>
      <c r="D4316" s="7" t="s">
        <v>7898</v>
      </c>
      <c r="E4316" s="8" t="str">
        <f>IFERROR(__xludf.DUMMYFUNCTION("googletranslate(D4316,""id"",""en"")"),"So workers / laborers in the industrial sector of consumer goods, trade &amp; amp; Services, transportation, various industries, property and real estate, which salary Rp3.5 million below will get a subsidy for Rp. God willing, the kitchen is still bubbling!")</f>
        <v>So workers / laborers in the industrial sector of consumer goods, trade &amp; amp; Services, transportation, various industries, property and real estate, which salary Rp3.5 million below will get a subsidy for Rp. God willing, the kitchen is still bubbling!</v>
      </c>
    </row>
    <row r="4317" ht="15.75" customHeight="1">
      <c r="A4317" s="2">
        <v>4319.0</v>
      </c>
      <c r="B4317" s="5" t="s">
        <v>7899</v>
      </c>
      <c r="C4317" s="6">
        <v>3.0</v>
      </c>
      <c r="D4317" s="9" t="s">
        <v>7900</v>
      </c>
      <c r="E4317" s="8" t="str">
        <f>IFERROR(__xludf.DUMMYFUNCTION("googletranslate(D4317,""id"",""en"")"),"Last Thursday in July, smiling sweetly in the morning. There's good news, good morning Indonesia. For people who are in the PPKM level area and, the government through will provide wage / salary subsidy assistance")</f>
        <v>Last Thursday in July, smiling sweetly in the morning. There's good news, good morning Indonesia. For people who are in the PPKM level area and, the government through will provide wage / salary subsidy assistance</v>
      </c>
    </row>
    <row r="4318" ht="15.75" customHeight="1">
      <c r="A4318" s="2">
        <v>4320.0</v>
      </c>
      <c r="B4318" s="5" t="s">
        <v>7901</v>
      </c>
      <c r="C4318" s="6">
        <v>2.0</v>
      </c>
      <c r="D4318" s="7" t="s">
        <v>7902</v>
      </c>
      <c r="E4318" s="8" t="str">
        <f>IFERROR(__xludf.DUMMYFUNCTION("googletranslate(D4318,""id"",""en"")"),"it's the one who is a birthday party fitting ppkm")</f>
        <v>it's the one who is a birthday party fitting ppkm</v>
      </c>
    </row>
    <row r="4319" ht="15.75" customHeight="1">
      <c r="A4319" s="2">
        <v>4321.0</v>
      </c>
      <c r="B4319" s="5" t="s">
        <v>7903</v>
      </c>
      <c r="C4319" s="6">
        <v>1.0</v>
      </c>
      <c r="D4319" s="7" t="s">
        <v>7904</v>
      </c>
      <c r="E4319" s="8" t="str">
        <f>IFERROR(__xludf.DUMMYFUNCTION("googletranslate(D4319,""id"",""en"")"),"Wkwkwkwkwkwkwk Stresss Gara ""PPKM")</f>
        <v>Wkwkwkwkwkwkwk Stresss Gara "PPKM</v>
      </c>
    </row>
    <row r="4320" ht="15.75" customHeight="1">
      <c r="A4320" s="2">
        <v>4322.0</v>
      </c>
      <c r="B4320" s="5" t="s">
        <v>7905</v>
      </c>
      <c r="C4320" s="6">
        <v>3.0</v>
      </c>
      <c r="D4320" s="9" t="s">
        <v>7906</v>
      </c>
      <c r="E4320" s="8" t="str">
        <f>IFERROR(__xludf.DUMMYFUNCTION("googletranslate(D4320,""id"",""en"")"),"Cook in PPKM in your area. PPKM is applied so to save you and your family. Don't ever ignore the prokes")</f>
        <v>Cook in PPKM in your area. PPKM is applied so to save you and your family. Don't ever ignore the prokes</v>
      </c>
    </row>
    <row r="4321" ht="15.75" customHeight="1">
      <c r="A4321" s="2">
        <v>4323.0</v>
      </c>
      <c r="B4321" s="5" t="s">
        <v>7907</v>
      </c>
      <c r="C4321" s="6">
        <v>2.0</v>
      </c>
      <c r="D4321" s="7" t="s">
        <v>7908</v>
      </c>
      <c r="E4321" s="8" t="str">
        <f>IFERROR(__xludf.DUMMYFUNCTION("googletranslate(D4321,""id"",""en"")"),"But right ppkm, can't get clustered")</f>
        <v>But right ppkm, can't get clustered</v>
      </c>
    </row>
    <row r="4322" ht="15.75" customHeight="1">
      <c r="A4322" s="2">
        <v>4324.0</v>
      </c>
      <c r="B4322" s="5" t="s">
        <v>7909</v>
      </c>
      <c r="C4322" s="6">
        <v>3.0</v>
      </c>
      <c r="D4322" s="7" t="s">
        <v>7910</v>
      </c>
      <c r="E4322" s="8" t="str">
        <f>IFERROR(__xludf.DUMMYFUNCTION("googletranslate(D4322,""id"",""en"")"),"PPKM is proven to reduce significant covid numbers. Let's keep obeying the PPKM that has been renewed until August, hopefully Indonesia we recover quickly as before.")</f>
        <v>PPKM is proven to reduce significant covid numbers. Let's keep obeying the PPKM that has been renewed until August, hopefully Indonesia we recover quickly as before.</v>
      </c>
    </row>
    <row r="4323" ht="15.75" customHeight="1">
      <c r="A4323" s="2">
        <v>4325.0</v>
      </c>
      <c r="B4323" s="5" t="s">
        <v>7911</v>
      </c>
      <c r="C4323" s="6">
        <v>3.0</v>
      </c>
      <c r="D4323" s="9" t="s">
        <v>7912</v>
      </c>
      <c r="E4323" s="8" t="str">
        <f>IFERROR(__xludf.DUMMYFUNCTION("googletranslate(D4323,""id"",""en"")"),"TuIPS with us trs the government's business in handling Covid19. Don't forget to obey the proces n in vaccination if you get a chance. Needed cooperation between the community's discipline so that PPKM this level is successful successfully pressing the sp"&amp;"read of Covid19")</f>
        <v>TuIPS with us trs the government's business in handling Covid19. Don't forget to obey the proces n in vaccination if you get a chance. Needed cooperation between the community's discipline so that PPKM this level is successful successfully pressing the spread of Covid19</v>
      </c>
    </row>
    <row r="4324" ht="15.75" customHeight="1">
      <c r="A4324" s="2">
        <v>4326.0</v>
      </c>
      <c r="B4324" s="5" t="s">
        <v>7913</v>
      </c>
      <c r="C4324" s="6">
        <v>3.0</v>
      </c>
      <c r="D4324" s="9" t="s">
        <v>7914</v>
      </c>
      <c r="E4324" s="8" t="str">
        <f>IFERROR(__xludf.DUMMYFUNCTION("googletranslate(D4324,""id"",""en"")"),"So citizens who obey the rules. Stop to incite or spread the HOAX about Covid19 pandemic. Times united help Indonesian against Covid19. Come obedient PPKM rules, proced discipline and vaccinated. Save Indonesia means you are too!")</f>
        <v>So citizens who obey the rules. Stop to incite or spread the HOAX about Covid19 pandemic. Times united help Indonesian against Covid19. Come obedient PPKM rules, proced discipline and vaccinated. Save Indonesia means you are too!</v>
      </c>
    </row>
    <row r="4325" ht="15.75" customHeight="1">
      <c r="A4325" s="2">
        <v>4327.0</v>
      </c>
      <c r="B4325" s="5" t="s">
        <v>7915</v>
      </c>
      <c r="C4325" s="6">
        <v>3.0</v>
      </c>
      <c r="D4325" s="7" t="s">
        <v>7916</v>
      </c>
      <c r="E4325" s="8" t="str">
        <f>IFERROR(__xludf.DUMMYFUNCTION("googletranslate(D4325,""id"",""en"")"),"Support PPKM LV4, even though this decision weight must be taken, to suppress the spread of Covit, even though we should be done, for the sake of people's health")</f>
        <v>Support PPKM LV4, even though this decision weight must be taken, to suppress the spread of Covit, even though we should be done, for the sake of people's health</v>
      </c>
    </row>
    <row r="4326" ht="15.75" customHeight="1">
      <c r="A4326" s="2">
        <v>4328.0</v>
      </c>
      <c r="B4326" s="5" t="s">
        <v>7917</v>
      </c>
      <c r="C4326" s="6">
        <v>2.0</v>
      </c>
      <c r="D4326" s="9" t="s">
        <v>7918</v>
      </c>
      <c r="E4326" s="8" t="str">
        <f>IFERROR(__xludf.DUMMYFUNCTION("googletranslate(D4326,""id"",""en"")"),"The PPKM outside Java is made more loosely by the Regional Government of the Red Zone.")</f>
        <v>The PPKM outside Java is made more loosely by the Regional Government of the Red Zone.</v>
      </c>
    </row>
    <row r="4327" ht="15.75" customHeight="1">
      <c r="A4327" s="2">
        <v>4329.0</v>
      </c>
      <c r="B4327" s="5" t="s">
        <v>7919</v>
      </c>
      <c r="C4327" s="6">
        <v>3.0</v>
      </c>
      <c r="D4327" s="7" t="s">
        <v>7920</v>
      </c>
      <c r="E4327" s="8" t="str">
        <f>IFERROR(__xludf.DUMMYFUNCTION("googletranslate(D4327,""id"",""en"")"),"Let's support the government program that extends the PPKM level for shared safety and must use prokes.")</f>
        <v>Let's support the government program that extends the PPKM level for shared safety and must use prokes.</v>
      </c>
    </row>
    <row r="4328" ht="15.75" customHeight="1">
      <c r="A4328" s="2">
        <v>4330.0</v>
      </c>
      <c r="B4328" s="5" t="s">
        <v>7921</v>
      </c>
      <c r="C4328" s="6">
        <v>3.0</v>
      </c>
      <c r="D4328" s="7" t="s">
        <v>7922</v>
      </c>
      <c r="E4328" s="8" t="str">
        <f>IFERROR(__xludf.DUMMYFUNCTION("googletranslate(D4328,""id"",""en"")"),"The continuation of PPKM becomes the level of course to reduce the mortality rate due to the Kopid-19 outbreak ... we want this outbreak to be casually ... no more victims ""next ... let's win your friend ... sure and optimistic ...")</f>
        <v>The continuation of PPKM becomes the level of course to reduce the mortality rate due to the Kopid-19 outbreak ... we want this outbreak to be casually ... no more victims "next ... let's win your friend ... sure and optimistic ...</v>
      </c>
    </row>
    <row r="4329" ht="15.75" customHeight="1">
      <c r="A4329" s="2">
        <v>4331.0</v>
      </c>
      <c r="B4329" s="5" t="s">
        <v>7923</v>
      </c>
      <c r="C4329" s="6">
        <v>3.0</v>
      </c>
      <c r="D4329" s="7" t="s">
        <v>7924</v>
      </c>
      <c r="E4329" s="8" t="str">
        <f>IFERROR(__xludf.DUMMYFUNCTION("googletranslate(D4329,""id"",""en"")"),"Assalamualaikum WR Wbmet Morning Residents TL Met Activities Fixed Delipilin Prokes, Datay PPKM, with Red and White Spirit")</f>
        <v>Assalamualaikum WR Wbmet Morning Residents TL Met Activities Fixed Delipilin Prokes, Datay PPKM, with Red and White Spirit</v>
      </c>
    </row>
    <row r="4330" ht="15.75" customHeight="1">
      <c r="A4330" s="2">
        <v>4332.0</v>
      </c>
      <c r="B4330" s="5" t="s">
        <v>7925</v>
      </c>
      <c r="C4330" s="6">
        <v>3.0</v>
      </c>
      <c r="D4330" s="9" t="s">
        <v>7926</v>
      </c>
      <c r="E4330" s="8" t="str">
        <f>IFERROR(__xludf.DUMMYFUNCTION("googletranslate(D4330,""id"",""en"")"),"The application of PPKM level is certainly through many considerations. Success right !!")</f>
        <v>The application of PPKM level is certainly through many considerations. Success right !!</v>
      </c>
    </row>
    <row r="4331" ht="15.75" customHeight="1">
      <c r="A4331" s="2">
        <v>4333.0</v>
      </c>
      <c r="B4331" s="5" t="s">
        <v>7927</v>
      </c>
      <c r="C4331" s="6">
        <v>3.0</v>
      </c>
      <c r="D4331" s="7" t="s">
        <v>7928</v>
      </c>
      <c r="E4331" s="8" t="str">
        <f>IFERROR(__xludf.DUMMYFUNCTION("googletranslate(D4331,""id"",""en"")"),"Extension of PPKM Level to Reduce Covid Case")</f>
        <v>Extension of PPKM Level to Reduce Covid Case</v>
      </c>
    </row>
    <row r="4332" ht="15.75" customHeight="1">
      <c r="A4332" s="2">
        <v>4334.0</v>
      </c>
      <c r="B4332" s="5" t="s">
        <v>7929</v>
      </c>
      <c r="C4332" s="6">
        <v>3.0</v>
      </c>
      <c r="D4332" s="7" t="s">
        <v>7930</v>
      </c>
      <c r="E4332" s="8" t="str">
        <f>IFERROR(__xludf.DUMMYFUNCTION("googletranslate(D4332,""id"",""en"")"),"continue the government extends PPKM level")</f>
        <v>continue the government extends PPKM level</v>
      </c>
    </row>
    <row r="4333" ht="15.75" customHeight="1">
      <c r="A4333" s="2">
        <v>4335.0</v>
      </c>
      <c r="B4333" s="5" t="s">
        <v>7931</v>
      </c>
      <c r="C4333" s="6">
        <v>2.0</v>
      </c>
      <c r="D4333" s="7" t="s">
        <v>7932</v>
      </c>
      <c r="E4333" s="8" t="str">
        <f>IFERROR(__xludf.DUMMYFUNCTION("googletranslate(D4333,""id"",""en"")"),"ohh that's the ppkm")</f>
        <v>ohh that's the ppkm</v>
      </c>
    </row>
    <row r="4334" ht="15.75" customHeight="1">
      <c r="A4334" s="2">
        <v>4336.0</v>
      </c>
      <c r="B4334" s="5" t="s">
        <v>7933</v>
      </c>
      <c r="C4334" s="6">
        <v>2.0</v>
      </c>
      <c r="D4334" s="7" t="s">
        <v>7933</v>
      </c>
      <c r="E4334" s="8" t="str">
        <f>IFERROR(__xludf.DUMMYFUNCTION("googletranslate(D4334,""id"",""en"")"),"Maybe, if there is someone asking Hassan Al Bashri at this time like this, ""Imam, we have a PPKM problem etc. which didn't finish"" his answer is ""istighfar""")</f>
        <v>Maybe, if there is someone asking Hassan Al Bashri at this time like this, "Imam, we have a PPKM problem etc. which didn't finish" his answer is "istighfar"</v>
      </c>
    </row>
    <row r="4335" ht="15.75" customHeight="1">
      <c r="A4335" s="2">
        <v>4337.0</v>
      </c>
      <c r="B4335" s="5" t="s">
        <v>7934</v>
      </c>
      <c r="C4335" s="6">
        <v>1.0</v>
      </c>
      <c r="D4335" s="9" t="s">
        <v>7935</v>
      </c>
      <c r="E4335" s="8" t="str">
        <f>IFERROR(__xludf.DUMMYFUNCTION("googletranslate(D4335,""id"",""en"")"),"Always make a new cluster on the troublemaker")</f>
        <v>Always make a new cluster on the troublemaker</v>
      </c>
    </row>
    <row r="4336" ht="15.75" customHeight="1">
      <c r="A4336" s="2">
        <v>4338.0</v>
      </c>
      <c r="B4336" s="5" t="s">
        <v>7936</v>
      </c>
      <c r="C4336" s="6">
        <v>1.0</v>
      </c>
      <c r="D4336" s="9" t="s">
        <v>7937</v>
      </c>
      <c r="E4336" s="8" t="str">
        <f>IFERROR(__xludf.DUMMYFUNCTION("googletranslate(D4336,""id"",""en"")"),"pgn me tonjokin gatau lg ppkm what")</f>
        <v>pgn me tonjokin gatau lg ppkm what</v>
      </c>
    </row>
    <row r="4337" ht="15.75" customHeight="1">
      <c r="A4337" s="2">
        <v>4339.0</v>
      </c>
      <c r="B4337" s="5" t="s">
        <v>7938</v>
      </c>
      <c r="C4337" s="6">
        <v>2.0</v>
      </c>
      <c r="D4337" s="7" t="s">
        <v>7939</v>
      </c>
      <c r="E4337" s="8" t="str">
        <f>IFERROR(__xludf.DUMMYFUNCTION("googletranslate(D4337,""id"",""en"")"),"Min, ppkm to when?")</f>
        <v>Min, ppkm to when?</v>
      </c>
    </row>
    <row r="4338" ht="15.75" customHeight="1">
      <c r="A4338" s="2">
        <v>4340.0</v>
      </c>
      <c r="B4338" s="5" t="s">
        <v>7940</v>
      </c>
      <c r="C4338" s="6">
        <v>1.0</v>
      </c>
      <c r="D4338" s="9" t="s">
        <v>7941</v>
      </c>
      <c r="E4338" s="8" t="str">
        <f>IFERROR(__xludf.DUMMYFUNCTION("googletranslate(D4338,""id"",""en"")"),"What doesn't you understand, how come the demonstration is done today ?? But it's not after the time of Selsai, I was announced by Jokowi, July, if it was extended to Juli'21? Spontaneously kyk mang2 ojol.padhal bsk sdh last day extends ppkm. Want to make"&amp;" a new cluster?! The brain of this demo is decisive.")</f>
        <v>What doesn't you understand, how come the demonstration is done today ?? But it's not after the time of Selsai, I was announced by Jokowi, July, if it was extended to Juli'21? Spontaneously kyk mang2 ojol.padhal bsk sdh last day extends ppkm. Want to make a new cluster?! The brain of this demo is decisive.</v>
      </c>
    </row>
    <row r="4339" ht="15.75" customHeight="1">
      <c r="A4339" s="2">
        <v>4341.0</v>
      </c>
      <c r="B4339" s="5" t="s">
        <v>7942</v>
      </c>
      <c r="C4339" s="6">
        <v>1.0</v>
      </c>
      <c r="D4339" s="9" t="s">
        <v>7943</v>
      </c>
      <c r="E4339" s="8" t="str">
        <f>IFERROR(__xludf.DUMMYFUNCTION("googletranslate(D4339,""id"",""en"")"),"PPKM has failed in total because in all countries can only be allergic to lockdown whose real reason is that there is no money because it is finished for infrastructure that is full of imaging to be remembered as a work leader but never thinks the results"&amp;" are ambush")</f>
        <v>PPKM has failed in total because in all countries can only be allergic to lockdown whose real reason is that there is no money because it is finished for infrastructure that is full of imaging to be remembered as a work leader but never thinks the results are ambush</v>
      </c>
    </row>
    <row r="4340" ht="15.75" customHeight="1">
      <c r="A4340" s="2">
        <v>4342.0</v>
      </c>
      <c r="B4340" s="5" t="s">
        <v>7944</v>
      </c>
      <c r="C4340" s="6">
        <v>1.0</v>
      </c>
      <c r="D4340" s="7" t="s">
        <v>7945</v>
      </c>
      <c r="E4340" s="8" t="str">
        <f>IFERROR(__xludf.DUMMYFUNCTION("googletranslate(D4340,""id"",""en"")"),"you wfh there are those who are working on, still in the gajih ... is me ?? shop closed during PPKM")</f>
        <v>you wfh there are those who are working on, still in the gajih ... is me ?? shop closed during PPKM</v>
      </c>
    </row>
    <row r="4341" ht="15.75" customHeight="1">
      <c r="A4341" s="2">
        <v>4343.0</v>
      </c>
      <c r="B4341" s="5" t="s">
        <v>7946</v>
      </c>
      <c r="C4341" s="6">
        <v>1.0</v>
      </c>
      <c r="D4341" s="7" t="s">
        <v>7947</v>
      </c>
      <c r="E4341" s="8" t="str">
        <f>IFERROR(__xludf.DUMMYFUNCTION("googletranslate(D4341,""id"",""en"")"),"maybe the quota is after you want to buy it can't be karna kabna ppkm")</f>
        <v>maybe the quota is after you want to buy it can't be karna kabna ppkm</v>
      </c>
    </row>
    <row r="4342" ht="15.75" customHeight="1">
      <c r="A4342" s="2">
        <v>4344.0</v>
      </c>
      <c r="B4342" s="5" t="s">
        <v>7948</v>
      </c>
      <c r="C4342" s="6">
        <v>1.0</v>
      </c>
      <c r="D4342" s="9" t="s">
        <v>7949</v>
      </c>
      <c r="E4342" s="8" t="str">
        <f>IFERROR(__xludf.DUMMYFUNCTION("googletranslate(D4342,""id"",""en"")"),"This is Indonesia, the initial case is the victim of the PMUKULAN MSLH PPKM NHA SLU SI SI ABOOK MNOW LAHAHA HAEN ENUALSHY HAHAHAHA BUT AND CHILDREN WALL REPLACE")</f>
        <v>This is Indonesia, the initial case is the victim of the PMUKULAN MSLH PPKM NHA SLU SI SI ABOOK MNOW LAHAHA HAEN ENUALSHY HAHAHAHA BUT AND CHILDREN WALL REPLACE</v>
      </c>
    </row>
    <row r="4343" ht="15.75" customHeight="1">
      <c r="A4343" s="2">
        <v>4345.0</v>
      </c>
      <c r="B4343" s="5" t="s">
        <v>7950</v>
      </c>
      <c r="C4343" s="6">
        <v>1.0</v>
      </c>
      <c r="D4343" s="7" t="s">
        <v>7951</v>
      </c>
      <c r="E4343" s="8" t="str">
        <f>IFERROR(__xludf.DUMMYFUNCTION("googletranslate(D4343,""id"",""en"")"),"No need to think about Tropi Son. Important Extends the Contract Dapet Money, yeah again the condition of the PPKM is hard to find work. Gud Dil")</f>
        <v>No need to think about Tropi Son. Important Extends the Contract Dapet Money, yeah again the condition of the PPKM is hard to find work. Gud Dil</v>
      </c>
    </row>
    <row r="4344" ht="15.75" customHeight="1">
      <c r="A4344" s="2">
        <v>4346.0</v>
      </c>
      <c r="B4344" s="5" t="s">
        <v>7952</v>
      </c>
      <c r="C4344" s="6">
        <v>1.0</v>
      </c>
      <c r="D4344" s="7" t="s">
        <v>7953</v>
      </c>
      <c r="E4344" s="8" t="str">
        <f>IFERROR(__xludf.DUMMYFUNCTION("googletranslate(D4344,""id"",""en"")"),"It is not able to make people prosperous, usually for PPKM rules but the people are not dikasi eat .... Mending")</f>
        <v>It is not able to make people prosperous, usually for PPKM rules but the people are not dikasi eat .... Mending</v>
      </c>
    </row>
    <row r="4345" ht="15.75" customHeight="1">
      <c r="A4345" s="2">
        <v>4347.0</v>
      </c>
      <c r="B4345" s="5" t="s">
        <v>7954</v>
      </c>
      <c r="C4345" s="6">
        <v>1.0</v>
      </c>
      <c r="D4345" s="9" t="s">
        <v>7955</v>
      </c>
      <c r="E4345" s="8" t="str">
        <f>IFERROR(__xludf.DUMMYFUNCTION("googletranslate(D4345,""id"",""en"")"),"kwkwkkw..lockdown bekasi aja..mampus the folk bekasi who is just as thin, do you know the meaning of lockdown or not?")</f>
        <v>kwkwkkw..lockdown bekasi aja..mampus the folk bekasi who is just as thin, do you know the meaning of lockdown or not?</v>
      </c>
    </row>
    <row r="4346" ht="15.75" customHeight="1">
      <c r="A4346" s="2">
        <v>4348.0</v>
      </c>
      <c r="B4346" s="5" t="s">
        <v>7956</v>
      </c>
      <c r="C4346" s="6">
        <v>3.0</v>
      </c>
      <c r="D4346" s="9" t="s">
        <v>7957</v>
      </c>
      <c r="E4346" s="8" t="str">
        <f>IFERROR(__xludf.DUMMYFUNCTION("googletranslate(D4346,""id"",""en"")"),"Wow, it has benefited free time during the PPKM to work, yuk ... take part in the Writing Competition for the Short Story of the Health BPJS Ajah Guysss")</f>
        <v>Wow, it has benefited free time during the PPKM to work, yuk ... take part in the Writing Competition for the Short Story of the Health BPJS Ajah Guysss</v>
      </c>
    </row>
    <row r="4347" ht="15.75" customHeight="1">
      <c r="A4347" s="2">
        <v>4349.0</v>
      </c>
      <c r="B4347" s="5" t="s">
        <v>7958</v>
      </c>
      <c r="C4347" s="6">
        <v>1.0</v>
      </c>
      <c r="D4347" s="7" t="s">
        <v>7959</v>
      </c>
      <c r="E4347" s="8" t="str">
        <f>IFERROR(__xludf.DUMMYFUNCTION("googletranslate(D4347,""id"",""en"")"),"Well, this is a problem in our country, Covid's handling seems not based on humanity. Many expert experts who regret this. Like PPKM which is really disappointing etc.")</f>
        <v>Well, this is a problem in our country, Covid's handling seems not based on humanity. Many expert experts who regret this. Like PPKM which is really disappointing etc.</v>
      </c>
    </row>
    <row r="4348" ht="15.75" customHeight="1">
      <c r="A4348" s="2">
        <v>4350.0</v>
      </c>
      <c r="B4348" s="5" t="s">
        <v>7960</v>
      </c>
      <c r="C4348" s="6">
        <v>1.0</v>
      </c>
      <c r="D4348" s="9" t="s">
        <v>7961</v>
      </c>
      <c r="E4348" s="8" t="str">
        <f>IFERROR(__xludf.DUMMYFUNCTION("googletranslate(D4348,""id"",""en"")"),"Two-leg statement. | Prof, the demo must have gathered while screaming &amp; amp; Pemaking, should not issue a statement like this because it is the same as giving fresh air to the demonstrators. I understand the right of the constitutional rights, but what t"&amp;"he PPKM mean is applied.")</f>
        <v>Two-leg statement. | Prof, the demo must have gathered while screaming &amp; amp; Pemaking, should not issue a statement like this because it is the same as giving fresh air to the demonstrators. I understand the right of the constitutional rights, but what the PPKM mean is applied.</v>
      </c>
    </row>
    <row r="4349" ht="15.75" customHeight="1">
      <c r="A4349" s="2">
        <v>4351.0</v>
      </c>
      <c r="B4349" s="5" t="s">
        <v>7962</v>
      </c>
      <c r="C4349" s="6">
        <v>1.0</v>
      </c>
      <c r="D4349" s="9" t="s">
        <v>7963</v>
      </c>
      <c r="E4349" s="8" t="str">
        <f>IFERROR(__xludf.DUMMYFUNCTION("googletranslate(D4349,""id"",""en"")"),"Just lockdown, all of the ppkm psbb there is a change in the virus, it adds to the Try to try the LOKCDOWN D Try Dong LokcDown")</f>
        <v>Just lockdown, all of the ppkm psbb there is a change in the virus, it adds to the Try to try the LOKCDOWN D Try Dong LokcDown</v>
      </c>
    </row>
    <row r="4350" ht="15.75" customHeight="1">
      <c r="A4350" s="2">
        <v>4352.0</v>
      </c>
      <c r="B4350" s="5" t="s">
        <v>7964</v>
      </c>
      <c r="C4350" s="6">
        <v>1.0</v>
      </c>
      <c r="D4350" s="9" t="s">
        <v>7965</v>
      </c>
      <c r="E4350" s="8" t="str">
        <f>IFERROR(__xludf.DUMMYFUNCTION("googletranslate(D4350,""id"",""en"")"),"Want to ask ... what kindness is you who can be an extended ppkm ???? Please those who support PPKM include Kiyai, answer my question")</f>
        <v>Want to ask ... what kindness is you who can be an extended ppkm ???? Please those who support PPKM include Kiyai, answer my question</v>
      </c>
    </row>
    <row r="4351" ht="15.75" customHeight="1">
      <c r="A4351" s="2">
        <v>4353.0</v>
      </c>
      <c r="B4351" s="5" t="s">
        <v>7966</v>
      </c>
      <c r="C4351" s="6">
        <v>1.0</v>
      </c>
      <c r="D4351" s="7" t="s">
        <v>7967</v>
      </c>
      <c r="E4351" s="8" t="str">
        <f>IFERROR(__xludf.DUMMYFUNCTION("googletranslate(D4351,""id"",""en"")"),"Gmn can be happy, play can't, the mo is eaten hard due to PPKM")</f>
        <v>Gmn can be happy, play can't, the mo is eaten hard due to PPKM</v>
      </c>
    </row>
    <row r="4352" ht="15.75" customHeight="1">
      <c r="A4352" s="2">
        <v>4354.0</v>
      </c>
      <c r="B4352" s="5" t="s">
        <v>7968</v>
      </c>
      <c r="C4352" s="6">
        <v>2.0</v>
      </c>
      <c r="D4352" s="7" t="s">
        <v>7969</v>
      </c>
      <c r="E4352" s="8" t="str">
        <f>IFERROR(__xludf.DUMMYFUNCTION("googletranslate(D4352,""id"",""en"")"),"Amen, hopefully the PPKM will begin tomorrow")</f>
        <v>Amen, hopefully the PPKM will begin tomorrow</v>
      </c>
    </row>
    <row r="4353" ht="15.75" customHeight="1">
      <c r="A4353" s="2">
        <v>4355.0</v>
      </c>
      <c r="B4353" s="5" t="s">
        <v>7970</v>
      </c>
      <c r="C4353" s="6">
        <v>2.0</v>
      </c>
      <c r="D4353" s="7" t="s">
        <v>7971</v>
      </c>
      <c r="E4353" s="8" t="str">
        <f>IFERROR(__xludf.DUMMYFUNCTION("googletranslate(D4353,""id"",""en"")"),"Ppkm: slowly you enter slowly")</f>
        <v>Ppkm: slowly you enter slowly</v>
      </c>
    </row>
    <row r="4354" ht="15.75" customHeight="1">
      <c r="A4354" s="2">
        <v>4356.0</v>
      </c>
      <c r="B4354" s="5" t="s">
        <v>7972</v>
      </c>
      <c r="C4354" s="6">
        <v>2.0</v>
      </c>
      <c r="D4354" s="9" t="s">
        <v>7973</v>
      </c>
      <c r="E4354" s="8" t="str">
        <f>IFERROR(__xludf.DUMMYFUNCTION("googletranslate(D4354,""id"",""en"")"),"We in Sumatra Ga HRS case in Java, the RS2 HRS for emergency hospitals, the room is full, oxygen is hard to come by, pain difficult to seek treatment. Vaccines and prokes, spy cases of covid19 decreases, PPKM is quickly relaxed and we move as usual")</f>
        <v>We in Sumatra Ga HRS case in Java, the RS2 HRS for emergency hospitals, the room is full, oxygen is hard to come by, pain difficult to seek treatment. Vaccines and prokes, spy cases of covid19 decreases, PPKM is quickly relaxed and we move as usual</v>
      </c>
    </row>
    <row r="4355" ht="15.75" customHeight="1">
      <c r="A4355" s="2">
        <v>4357.0</v>
      </c>
      <c r="B4355" s="5" t="s">
        <v>7974</v>
      </c>
      <c r="C4355" s="6">
        <v>1.0</v>
      </c>
      <c r="D4355" s="7" t="s">
        <v>7974</v>
      </c>
      <c r="E4355" s="8" t="str">
        <f>IFERROR(__xludf.DUMMYFUNCTION("googletranslate(D4355,""id"",""en"")"),"Want chicken porridge tp ppkm dog.")</f>
        <v>Want chicken porridge tp ppkm dog.</v>
      </c>
    </row>
    <row r="4356" ht="15.75" customHeight="1">
      <c r="A4356" s="2">
        <v>4358.0</v>
      </c>
      <c r="B4356" s="5" t="s">
        <v>7975</v>
      </c>
      <c r="C4356" s="6">
        <v>1.0</v>
      </c>
      <c r="D4356" s="9" t="s">
        <v>7976</v>
      </c>
      <c r="E4356" s="8" t="str">
        <f>IFERROR(__xludf.DUMMYFUNCTION("googletranslate(D4356,""id"",""en"")"),"The Championship Law for Bener Health told everyone not to leave the house including livestock and pets and living needs borne by the state. Lha uses the reason for the PPKM level. Using the event, insist and raw this horn !!")</f>
        <v>The Championship Law for Bener Health told everyone not to leave the house including livestock and pets and living needs borne by the state. Lha uses the reason for the PPKM level. Using the event, insist and raw this horn !!</v>
      </c>
    </row>
    <row r="4357" ht="15.75" customHeight="1">
      <c r="A4357" s="2">
        <v>4359.0</v>
      </c>
      <c r="B4357" s="5" t="s">
        <v>7977</v>
      </c>
      <c r="C4357" s="6">
        <v>2.0</v>
      </c>
      <c r="D4357" s="10" t="s">
        <v>7978</v>
      </c>
      <c r="E4357" s="8" t="str">
        <f>IFERROR(__xludf.DUMMYFUNCTION("googletranslate(D4357,""id"",""en"")"),"PPKM Say.")</f>
        <v>PPKM Say.</v>
      </c>
    </row>
    <row r="4358" ht="15.75" customHeight="1">
      <c r="A4358" s="2">
        <v>4360.0</v>
      </c>
      <c r="B4358" s="5" t="s">
        <v>7979</v>
      </c>
      <c r="C4358" s="6">
        <v>2.0</v>
      </c>
      <c r="D4358" s="7" t="s">
        <v>7979</v>
      </c>
      <c r="E4358" s="8" t="str">
        <f>IFERROR(__xludf.DUMMYFUNCTION("googletranslate(D4358,""id"",""en"")"),"-Rek PPKM is extended not the Kiro2 account?")</f>
        <v>-Rek PPKM is extended not the Kiro2 account?</v>
      </c>
    </row>
    <row r="4359" ht="15.75" customHeight="1">
      <c r="A4359" s="2">
        <v>4361.0</v>
      </c>
      <c r="B4359" s="5" t="s">
        <v>7980</v>
      </c>
      <c r="C4359" s="6">
        <v>1.0</v>
      </c>
      <c r="D4359" s="7" t="s">
        <v>7981</v>
      </c>
      <c r="E4359" s="8" t="str">
        <f>IFERROR(__xludf.DUMMYFUNCTION("googletranslate(D4359,""id"",""en"")"),"Wakakaka hard impact PPKM")</f>
        <v>Wakakaka hard impact PPKM</v>
      </c>
    </row>
    <row r="4360" ht="15.75" customHeight="1">
      <c r="A4360" s="2">
        <v>4362.0</v>
      </c>
      <c r="B4360" s="5" t="s">
        <v>7982</v>
      </c>
      <c r="C4360" s="6">
        <v>2.0</v>
      </c>
      <c r="D4360" s="7" t="s">
        <v>7983</v>
      </c>
      <c r="E4360" s="8" t="str">
        <f>IFERROR(__xludf.DUMMYFUNCTION("googletranslate(D4360,""id"",""en"")"),"Ppkm ihh ai maneh")</f>
        <v>Ppkm ihh ai maneh</v>
      </c>
    </row>
    <row r="4361" ht="15.75" customHeight="1">
      <c r="A4361" s="2">
        <v>4363.0</v>
      </c>
      <c r="B4361" s="5" t="s">
        <v>7984</v>
      </c>
      <c r="C4361" s="6">
        <v>2.0</v>
      </c>
      <c r="D4361" s="7" t="s">
        <v>7985</v>
      </c>
      <c r="E4361" s="8" t="str">
        <f>IFERROR(__xludf.DUMMYFUNCTION("googletranslate(D4361,""id"",""en"")"),"Onigashima entered the Level PPKM zone, so it was holiday")</f>
        <v>Onigashima entered the Level PPKM zone, so it was holiday</v>
      </c>
    </row>
    <row r="4362" ht="15.75" customHeight="1">
      <c r="A4362" s="2">
        <v>4364.0</v>
      </c>
      <c r="B4362" s="5" t="s">
        <v>7986</v>
      </c>
      <c r="C4362" s="6">
        <v>2.0</v>
      </c>
      <c r="D4362" s="7" t="s">
        <v>7986</v>
      </c>
      <c r="E4362" s="8" t="str">
        <f>IFERROR(__xludf.DUMMYFUNCTION("googletranslate(D4362,""id"",""en"")"),"But still still PPKM")</f>
        <v>But still still PPKM</v>
      </c>
    </row>
    <row r="4363" ht="15.75" customHeight="1">
      <c r="A4363" s="2">
        <v>4365.0</v>
      </c>
      <c r="B4363" s="5" t="s">
        <v>7987</v>
      </c>
      <c r="C4363" s="6">
        <v>1.0</v>
      </c>
      <c r="D4363" s="9" t="s">
        <v>7988</v>
      </c>
      <c r="E4363" s="8" t="str">
        <f>IFERROR(__xludf.DUMMYFUNCTION("googletranslate(D4363,""id"",""en"")"),". The fear of his crush likes Tmnmu2. The fear of your friend is offended, you will invite him to leave the crush3. PPKM Anjir.")</f>
        <v>. The fear of his crush likes Tmnmu2. The fear of your friend is offended, you will invite him to leave the crush3. PPKM Anjir.</v>
      </c>
    </row>
    <row r="4364" ht="15.75" customHeight="1">
      <c r="A4364" s="2">
        <v>4366.0</v>
      </c>
      <c r="B4364" s="5" t="s">
        <v>7989</v>
      </c>
      <c r="C4364" s="6">
        <v>2.0</v>
      </c>
      <c r="D4364" s="12" t="s">
        <v>7990</v>
      </c>
      <c r="E4364" s="8" t="str">
        <f>IFERROR(__xludf.DUMMYFUNCTION("googletranslate(D4364,""id"",""en"")"),"means Lu PPKM.")</f>
        <v>means Lu PPKM.</v>
      </c>
    </row>
    <row r="4365" ht="15.75" customHeight="1">
      <c r="A4365" s="2">
        <v>4367.0</v>
      </c>
      <c r="B4365" s="5" t="s">
        <v>7991</v>
      </c>
      <c r="C4365" s="6">
        <v>1.0</v>
      </c>
      <c r="D4365" s="9" t="s">
        <v>7992</v>
      </c>
      <c r="E4365" s="8" t="str">
        <f>IFERROR(__xludf.DUMMYFUNCTION("googletranslate(D4365,""id"",""en"")"),"Bgm outbreak? This is clearly detrimental to the people, the solution is to make PPKM ??? What do you do?")</f>
        <v>Bgm outbreak? This is clearly detrimental to the people, the solution is to make PPKM ??? What do you do?</v>
      </c>
    </row>
    <row r="4366" ht="15.75" customHeight="1">
      <c r="A4366" s="2">
        <v>4368.0</v>
      </c>
      <c r="B4366" s="5" t="s">
        <v>7993</v>
      </c>
      <c r="C4366" s="6">
        <v>2.0</v>
      </c>
      <c r="D4366" s="7" t="s">
        <v>7994</v>
      </c>
      <c r="E4366" s="8" t="str">
        <f>IFERROR(__xludf.DUMMYFUNCTION("googletranslate(D4366,""id"",""en"")"),"ppkm nder, at home aj")</f>
        <v>ppkm nder, at home aj</v>
      </c>
    </row>
    <row r="4367" ht="15.75" customHeight="1">
      <c r="A4367" s="2">
        <v>4369.0</v>
      </c>
      <c r="B4367" s="5" t="s">
        <v>7995</v>
      </c>
      <c r="C4367" s="6">
        <v>2.0</v>
      </c>
      <c r="D4367" s="7" t="s">
        <v>7996</v>
      </c>
      <c r="E4367" s="8" t="str">
        <f>IFERROR(__xludf.DUMMYFUNCTION("googletranslate(D4367,""id"",""en"")"),"What is your activity during the PPKM? WorkersJuggerjerjabdah just like that just keep going to finish.")</f>
        <v>What is your activity during the PPKM? WorkersJuggerjerjabdah just like that just keep going to finish.</v>
      </c>
    </row>
    <row r="4368" ht="15.75" customHeight="1">
      <c r="A4368" s="2">
        <v>4370.0</v>
      </c>
      <c r="B4368" s="5" t="s">
        <v>7997</v>
      </c>
      <c r="C4368" s="6">
        <v>2.0</v>
      </c>
      <c r="D4368" s="9" t="s">
        <v>7997</v>
      </c>
      <c r="E4368" s="8" t="str">
        <f>IFERROR(__xludf.DUMMYFUNCTION("googletranslate(D4368,""id"",""en"")"),"Ppkm = want to hug you mbak")</f>
        <v>Ppkm = want to hug you mbak</v>
      </c>
    </row>
    <row r="4369" ht="15.75" customHeight="1">
      <c r="A4369" s="2">
        <v>4371.0</v>
      </c>
      <c r="B4369" s="5" t="s">
        <v>7998</v>
      </c>
      <c r="C4369" s="6">
        <v>2.0</v>
      </c>
      <c r="D4369" s="7" t="s">
        <v>7999</v>
      </c>
      <c r="E4369" s="8" t="str">
        <f>IFERROR(__xludf.DUMMYFUNCTION("googletranslate(D4369,""id"",""en"")"),"It's hard, anyways PPKM hey wants you")</f>
        <v>It's hard, anyways PPKM hey wants you</v>
      </c>
    </row>
    <row r="4370" ht="15.75" customHeight="1">
      <c r="A4370" s="2">
        <v>4372.0</v>
      </c>
      <c r="B4370" s="5" t="s">
        <v>8000</v>
      </c>
      <c r="C4370" s="6">
        <v>1.0</v>
      </c>
      <c r="D4370" s="7" t="s">
        <v>8001</v>
      </c>
      <c r="E4370" s="8" t="str">
        <f>IFERROR(__xludf.DUMMYFUNCTION("googletranslate(D4370,""id"",""en"")"),"A few steps more advanced than ppkm donk")</f>
        <v>A few steps more advanced than ppkm donk</v>
      </c>
    </row>
    <row r="4371" ht="15.75" customHeight="1">
      <c r="A4371" s="2">
        <v>4373.0</v>
      </c>
      <c r="B4371" s="5" t="s">
        <v>8002</v>
      </c>
      <c r="C4371" s="6">
        <v>2.0</v>
      </c>
      <c r="D4371" s="7" t="s">
        <v>8003</v>
      </c>
      <c r="E4371" s="8" t="str">
        <f>IFERROR(__xludf.DUMMYFUNCTION("googletranslate(D4371,""id"",""en"")"),"Effects of PPKM Retasa?")</f>
        <v>Effects of PPKM Retasa?</v>
      </c>
    </row>
    <row r="4372" ht="15.75" customHeight="1">
      <c r="A4372" s="2">
        <v>4374.0</v>
      </c>
      <c r="B4372" s="5" t="s">
        <v>8004</v>
      </c>
      <c r="C4372" s="6">
        <v>2.0</v>
      </c>
      <c r="D4372" s="7" t="s">
        <v>8005</v>
      </c>
      <c r="E4372" s="8" t="str">
        <f>IFERROR(__xludf.DUMMYFUNCTION("googletranslate(D4372,""id"",""en"")"),"Household AQ Emergency PPKM Time:")</f>
        <v>Household AQ Emergency PPKM Time:</v>
      </c>
    </row>
    <row r="4373" ht="15.75" customHeight="1">
      <c r="A4373" s="2">
        <v>4375.0</v>
      </c>
      <c r="B4373" s="5" t="s">
        <v>8006</v>
      </c>
      <c r="C4373" s="6">
        <v>2.0</v>
      </c>
      <c r="D4373" s="7" t="s">
        <v>8006</v>
      </c>
      <c r="E4373" s="8" t="str">
        <f>IFERROR(__xludf.DUMMYFUNCTION("googletranslate(D4373,""id"",""en"")"),"Ppkm = slowly you disappear")</f>
        <v>Ppkm = slowly you disappear</v>
      </c>
    </row>
    <row r="4374" ht="15.75" customHeight="1">
      <c r="A4374" s="2">
        <v>4376.0</v>
      </c>
      <c r="B4374" s="5" t="s">
        <v>8007</v>
      </c>
      <c r="C4374" s="6">
        <v>2.0</v>
      </c>
      <c r="D4374" s="7" t="s">
        <v>8008</v>
      </c>
      <c r="E4374" s="8" t="str">
        <f>IFERROR(__xludf.DUMMYFUNCTION("googletranslate(D4374,""id"",""en"")"),"Later, when the spent of the governing room is not the arm of PPKM.")</f>
        <v>Later, when the spent of the governing room is not the arm of PPKM.</v>
      </c>
    </row>
    <row r="4375" ht="15.75" customHeight="1">
      <c r="A4375" s="2">
        <v>4377.0</v>
      </c>
      <c r="B4375" s="5" t="s">
        <v>8009</v>
      </c>
      <c r="C4375" s="6">
        <v>1.0</v>
      </c>
      <c r="D4375" s="9" t="s">
        <v>8010</v>
      </c>
      <c r="E4375" s="8" t="str">
        <f>IFERROR(__xludf.DUMMYFUNCTION("googletranslate(D4375,""id"",""en"")"),"The reason for PPKM, WFH and the model of this company")</f>
        <v>The reason for PPKM, WFH and the model of this company</v>
      </c>
    </row>
    <row r="4376" ht="15.75" customHeight="1">
      <c r="A4376" s="2">
        <v>4378.0</v>
      </c>
      <c r="B4376" s="5" t="s">
        <v>8011</v>
      </c>
      <c r="C4376" s="6">
        <v>1.0</v>
      </c>
      <c r="D4376" s="9" t="s">
        <v>8012</v>
      </c>
      <c r="E4376" s="8" t="str">
        <f>IFERROR(__xludf.DUMMYFUNCTION("googletranslate(D4376,""id"",""en"")"),"Koar2 Lokdan Lokdon now asks to stop PPKM. The vaccine doesn't want it, it's not obedient to the proces, whereafter, it's not forbidden not want. What do you want ??? Jokowi stepped down then in the need for a difficult pandemic who can replace who ??? lh"&amp;"a wong the head of the area just looking for slamet ...!")</f>
        <v>Koar2 Lokdan Lokdon now asks to stop PPKM. The vaccine doesn't want it, it's not obedient to the proces, whereafter, it's not forbidden not want. What do you want ??? Jokowi stepped down then in the need for a difficult pandemic who can replace who ??? lha wong the head of the area just looking for slamet ...!</v>
      </c>
    </row>
    <row r="4377" ht="15.75" customHeight="1">
      <c r="A4377" s="2">
        <v>4379.0</v>
      </c>
      <c r="B4377" s="5" t="s">
        <v>8013</v>
      </c>
      <c r="C4377" s="6">
        <v>1.0</v>
      </c>
      <c r="D4377" s="9" t="s">
        <v>8014</v>
      </c>
      <c r="E4377" s="8" t="str">
        <f>IFERROR(__xludf.DUMMYFUNCTION("googletranslate(D4377,""id"",""en"")"),"After considering the Covid19 virus the same as an ordinary flu virus. Now do lockdown. The road from Indonesia, it doesn't need to lockdown, just apply a spicy PPKM level.")</f>
        <v>After considering the Covid19 virus the same as an ordinary flu virus. Now do lockdown. The road from Indonesia, it doesn't need to lockdown, just apply a spicy PPKM level.</v>
      </c>
    </row>
    <row r="4378" ht="15.75" customHeight="1">
      <c r="A4378" s="2">
        <v>4380.0</v>
      </c>
      <c r="B4378" s="5" t="s">
        <v>8015</v>
      </c>
      <c r="C4378" s="6">
        <v>2.0</v>
      </c>
      <c r="D4378" s="7" t="s">
        <v>8016</v>
      </c>
      <c r="E4378" s="8" t="str">
        <f>IFERROR(__xludf.DUMMYFUNCTION("googletranslate(D4378,""id"",""en"")"),"Usually at the PMI of Aceh Road hours every day NDER, their system is shift shift, but because again PPKM is not a rich in the working hours of ordinary people close the hours if it's not wrong")</f>
        <v>Usually at the PMI of Aceh Road hours every day NDER, their system is shift shift, but because again PPKM is not a rich in the working hours of ordinary people close the hours if it's not wrong</v>
      </c>
    </row>
    <row r="4379" ht="15.75" customHeight="1">
      <c r="A4379" s="2">
        <v>4381.0</v>
      </c>
      <c r="B4379" s="5" t="s">
        <v>8017</v>
      </c>
      <c r="C4379" s="6">
        <v>1.0</v>
      </c>
      <c r="D4379" s="7" t="s">
        <v>8018</v>
      </c>
      <c r="E4379" s="8" t="str">
        <f>IFERROR(__xludf.DUMMYFUNCTION("googletranslate(D4379,""id"",""en"")"),"PPK borders the movement of student strength")</f>
        <v>PPK borders the movement of student strength</v>
      </c>
    </row>
    <row r="4380" ht="15.75" customHeight="1">
      <c r="A4380" s="2">
        <v>4382.0</v>
      </c>
      <c r="B4380" s="5" t="s">
        <v>8019</v>
      </c>
      <c r="C4380" s="6">
        <v>1.0</v>
      </c>
      <c r="D4380" s="7" t="s">
        <v>8020</v>
      </c>
      <c r="E4380" s="8" t="str">
        <f>IFERROR(__xludf.DUMMYFUNCTION("googletranslate(D4380,""id"",""en"")"),"NS. Your opinion is a rich right rich PPKM demonstrators who are impressed """)</f>
        <v>NS. Your opinion is a rich right rich PPKM demonstrators who are impressed "</v>
      </c>
    </row>
    <row r="4381" ht="15.75" customHeight="1">
      <c r="A4381" s="2">
        <v>4383.0</v>
      </c>
      <c r="B4381" s="5" t="s">
        <v>8021</v>
      </c>
      <c r="C4381" s="6">
        <v>2.0</v>
      </c>
      <c r="D4381" s="7" t="s">
        <v>8022</v>
      </c>
      <c r="E4381" s="8" t="str">
        <f>IFERROR(__xludf.DUMMYFUNCTION("googletranslate(D4381,""id"",""en"")"),"Kwkwkw, remember ... ppkm")</f>
        <v>Kwkwkw, remember ... ppkm</v>
      </c>
    </row>
    <row r="4382" ht="15.75" customHeight="1">
      <c r="A4382" s="2">
        <v>4384.0</v>
      </c>
      <c r="B4382" s="5" t="s">
        <v>8023</v>
      </c>
      <c r="C4382" s="6">
        <v>1.0</v>
      </c>
      <c r="D4382" s="7" t="s">
        <v>8023</v>
      </c>
      <c r="E4382" s="8" t="str">
        <f>IFERROR(__xludf.DUMMYFUNCTION("googletranslate(D4382,""id"",""en"")"),"PSBB, PPKM and whatever terms only obscure from the Karatina Act with all the consequences and responsibilities of the government. Very reasonable if the people are stubborn, the apparatus is not strict, the legal basis is not there.")</f>
        <v>PSBB, PPKM and whatever terms only obscure from the Karatina Act with all the consequences and responsibilities of the government. Very reasonable if the people are stubborn, the apparatus is not strict, the legal basis is not there.</v>
      </c>
    </row>
    <row r="4383" ht="15.75" customHeight="1">
      <c r="A4383" s="2">
        <v>4385.0</v>
      </c>
      <c r="B4383" s="5" t="s">
        <v>8024</v>
      </c>
      <c r="C4383" s="6">
        <v>3.0</v>
      </c>
      <c r="D4383" s="7" t="s">
        <v>8025</v>
      </c>
      <c r="E4383" s="8" t="str">
        <f>IFERROR(__xludf.DUMMYFUNCTION("googletranslate(D4383,""id"",""en"")"),"Assalamualaikum kkalah morning yaasdh hr Saturday lg..ppkm n healthy greetings huh")</f>
        <v>Assalamualaikum kkalah morning yaasdh hr Saturday lg..ppkm n healthy greetings huh</v>
      </c>
    </row>
    <row r="4384" ht="15.75" customHeight="1">
      <c r="A4384" s="2">
        <v>4386.0</v>
      </c>
      <c r="B4384" s="5" t="s">
        <v>8026</v>
      </c>
      <c r="C4384" s="6">
        <v>2.0</v>
      </c>
      <c r="D4384" s="7" t="s">
        <v>8027</v>
      </c>
      <c r="E4384" s="8" t="str">
        <f>IFERROR(__xludf.DUMMYFUNCTION("googletranslate(D4384,""id"",""en"")"),"Again ppkm nder ,, so alone """)</f>
        <v>Again ppkm nder ,, so alone "</v>
      </c>
    </row>
    <row r="4385" ht="15.75" customHeight="1">
      <c r="A4385" s="2">
        <v>4387.0</v>
      </c>
      <c r="B4385" s="5" t="s">
        <v>8028</v>
      </c>
      <c r="C4385" s="6">
        <v>1.0</v>
      </c>
      <c r="D4385" s="9" t="s">
        <v>8029</v>
      </c>
      <c r="E4385" s="8" t="str">
        <f>IFERROR(__xludf.DUMMYFUNCTION("googletranslate(D4385,""id"",""en"")"),"One of the traders who sell at the BDG Electronik City (BEC) mall, son () said, Doi Sngt loses with the PPKM enactment which took place in July to twenty-July")</f>
        <v>One of the traders who sell at the BDG Electronik City (BEC) mall, son () said, Doi Sngt loses with the PPKM enactment which took place in July to twenty-July</v>
      </c>
    </row>
    <row r="4386" ht="15.75" customHeight="1">
      <c r="A4386" s="2">
        <v>4388.0</v>
      </c>
      <c r="B4386" s="5" t="s">
        <v>8030</v>
      </c>
      <c r="C4386" s="6">
        <v>2.0</v>
      </c>
      <c r="D4386" s="7" t="s">
        <v>8031</v>
      </c>
      <c r="E4386" s="8" t="str">
        <f>IFERROR(__xludf.DUMMYFUNCTION("googletranslate(D4386,""id"",""en"")"),"Slave! Singkawang NDK PPKM Agik? CR: PM")</f>
        <v>Slave! Singkawang NDK PPKM Agik? CR: PM</v>
      </c>
    </row>
    <row r="4387" ht="15.75" customHeight="1">
      <c r="A4387" s="2">
        <v>4389.0</v>
      </c>
      <c r="B4387" s="5" t="s">
        <v>8032</v>
      </c>
      <c r="C4387" s="6">
        <v>2.0</v>
      </c>
      <c r="D4387" s="10" t="s">
        <v>6349</v>
      </c>
      <c r="E4387" s="8" t="str">
        <f>IFERROR(__xludf.DUMMYFUNCTION("googletranslate(D4387,""id"",""en"")"),"Kan PPKM.")</f>
        <v>Kan PPKM.</v>
      </c>
    </row>
    <row r="4388" ht="15.75" customHeight="1">
      <c r="A4388" s="2">
        <v>4390.0</v>
      </c>
      <c r="B4388" s="5" t="s">
        <v>8033</v>
      </c>
      <c r="C4388" s="6">
        <v>1.0</v>
      </c>
      <c r="D4388" s="7" t="s">
        <v>8034</v>
      </c>
      <c r="E4388" s="8" t="str">
        <f>IFERROR(__xludf.DUMMYFUNCTION("googletranslate(D4388,""id"",""en"")"),"PPKM Righten Movement of Student Power")</f>
        <v>PPKM Righten Movement of Student Power</v>
      </c>
    </row>
    <row r="4389" ht="15.75" customHeight="1">
      <c r="A4389" s="2">
        <v>4391.0</v>
      </c>
      <c r="B4389" s="5" t="s">
        <v>8035</v>
      </c>
      <c r="C4389" s="6">
        <v>2.0</v>
      </c>
      <c r="D4389" s="7" t="s">
        <v>8036</v>
      </c>
      <c r="E4389" s="8" t="str">
        <f>IFERROR(__xludf.DUMMYFUNCTION("googletranslate(D4389,""id"",""en"")"),"PPKM sir, it should be integrated focus on doing this: eradicating covid: regional quarantine Covid: Vaccination, tracing, tasting, M. curative: service, equipment, medicine and availability of hospitals. Rehabilitative: get used to healthy life with prok"&amp;"es.")</f>
        <v>PPKM sir, it should be integrated focus on doing this: eradicating covid: regional quarantine Covid: Vaccination, tracing, tasting, M. curative: service, equipment, medicine and availability of hospitals. Rehabilitative: get used to healthy life with prokes.</v>
      </c>
    </row>
    <row r="4390" ht="15.75" customHeight="1">
      <c r="A4390" s="2">
        <v>4392.0</v>
      </c>
      <c r="B4390" s="5" t="s">
        <v>8037</v>
      </c>
      <c r="C4390" s="6">
        <v>1.0</v>
      </c>
      <c r="D4390" s="7" t="s">
        <v>8038</v>
      </c>
      <c r="E4390" s="8" t="str">
        <f>IFERROR(__xludf.DUMMYFUNCTION("googletranslate(D4390,""id"",""en"")"),"PPKM rejection in this BDG is bro, because it is not detrimental to the economy.")</f>
        <v>PPKM rejection in this BDG is bro, because it is not detrimental to the economy.</v>
      </c>
    </row>
    <row r="4391" ht="15.75" customHeight="1">
      <c r="A4391" s="2">
        <v>4393.0</v>
      </c>
      <c r="B4391" s="5" t="s">
        <v>8039</v>
      </c>
      <c r="C4391" s="6">
        <v>2.0</v>
      </c>
      <c r="D4391" s="7" t="s">
        <v>8040</v>
      </c>
      <c r="E4391" s="8" t="str">
        <f>IFERROR(__xludf.DUMMYFUNCTION("googletranslate(D4391,""id"",""en"")"),"Watch SI, again PPKM too right")</f>
        <v>Watch SI, again PPKM too right</v>
      </c>
    </row>
    <row r="4392" ht="15.75" customHeight="1">
      <c r="A4392" s="2">
        <v>4394.0</v>
      </c>
      <c r="B4392" s="5" t="s">
        <v>8041</v>
      </c>
      <c r="C4392" s="6">
        <v>1.0</v>
      </c>
      <c r="D4392" s="9" t="s">
        <v>8042</v>
      </c>
      <c r="E4392" s="8" t="str">
        <f>IFERROR(__xludf.DUMMYFUNCTION("googletranslate(D4392,""id"",""en"")"),"BUMN was injected with funds during the Java-Bali emergency emergency pandemipkm officially extended. In the middle of a crisis like this, the Bansos funds were considered slow distribution. Meanwhile, many state budgets were allocated for incentives, esp"&amp;"ecially in the red plate")</f>
        <v>BUMN was injected with funds during the Java-Bali emergency emergency pandemipkm officially extended. In the middle of a crisis like this, the Bansos funds were considered slow distribution. Meanwhile, many state budgets were allocated for incentives, especially in the red plate</v>
      </c>
    </row>
    <row r="4393" ht="15.75" customHeight="1">
      <c r="A4393" s="2">
        <v>4395.0</v>
      </c>
      <c r="B4393" s="5" t="s">
        <v>8043</v>
      </c>
      <c r="C4393" s="6">
        <v>1.0</v>
      </c>
      <c r="D4393" s="9" t="s">
        <v>8044</v>
      </c>
      <c r="E4393" s="8" t="str">
        <f>IFERROR(__xludf.DUMMYFUNCTION("googletranslate(D4393,""id"",""en"")"),"Udh is tired of looking for work especially when the state of PPKM is quiet, it is still open to the locker, it is the turn locker to find a locker, continue to make a proposal eh it turns out the preferred that the same fashion can like Skincaregini real"&amp;"ly huh")</f>
        <v>Udh is tired of looking for work especially when the state of PPKM is quiet, it is still open to the locker, it is the turn locker to find a locker, continue to make a proposal eh it turns out the preferred that the same fashion can like Skincaregini really huh</v>
      </c>
    </row>
    <row r="4394" ht="15.75" customHeight="1">
      <c r="A4394" s="2">
        <v>4396.0</v>
      </c>
      <c r="B4394" s="5" t="s">
        <v>8045</v>
      </c>
      <c r="C4394" s="6">
        <v>1.0</v>
      </c>
      <c r="D4394" s="9" t="s">
        <v>8046</v>
      </c>
      <c r="E4394" s="8" t="str">
        <f>IFERROR(__xludf.DUMMYFUNCTION("googletranslate(D4394,""id"",""en"")"),"Previously, hundreds of people consisted of traders, online motorcycle taxi drivers (Omol), until students took to the road voicing the rejection of the extension of the enactment of the limitation of community activities (PPKM) to July in Bandung")</f>
        <v>Previously, hundreds of people consisted of traders, online motorcycle taxi drivers (Omol), until students took to the road voicing the rejection of the extension of the enactment of the limitation of community activities (PPKM) to July in Bandung</v>
      </c>
    </row>
    <row r="4395" ht="15.75" customHeight="1">
      <c r="A4395" s="2">
        <v>4397.0</v>
      </c>
      <c r="B4395" s="5" t="s">
        <v>8047</v>
      </c>
      <c r="C4395" s="6">
        <v>1.0</v>
      </c>
      <c r="D4395" s="9" t="s">
        <v>8047</v>
      </c>
      <c r="E4395" s="8" t="str">
        <f>IFERROR(__xludf.DUMMYFUNCTION("googletranslate(D4395,""id"",""en"")"),"The extension of the enactment of the restrictions on the emergency community activities (PPKM) made some parties disappointed!")</f>
        <v>The extension of the enactment of the restrictions on the emergency community activities (PPKM) made some parties disappointed!</v>
      </c>
    </row>
    <row r="4396" ht="15.75" customHeight="1">
      <c r="A4396" s="2">
        <v>4398.0</v>
      </c>
      <c r="B4396" s="5" t="s">
        <v>8048</v>
      </c>
      <c r="C4396" s="6">
        <v>1.0</v>
      </c>
      <c r="D4396" s="9" t="s">
        <v>8049</v>
      </c>
      <c r="E4396" s="8" t="str">
        <f>IFERROR(__xludf.DUMMYFUNCTION("googletranslate(D4396,""id"",""en"")"),"if PSBB / PPKM is protested, open, stop vaccines, stop bansos etc. the pain after that just don't need to be in friend ... right they want it like that, free ... Sak Geleme Dewe")</f>
        <v>if PSBB / PPKM is protested, open, stop vaccines, stop bansos etc. the pain after that just don't need to be in friend ... right they want it like that, free ... Sak Geleme Dewe</v>
      </c>
    </row>
    <row r="4397" ht="15.75" customHeight="1">
      <c r="A4397" s="2">
        <v>4399.0</v>
      </c>
      <c r="B4397" s="5" t="s">
        <v>8050</v>
      </c>
      <c r="C4397" s="6">
        <v>3.0</v>
      </c>
      <c r="D4397" s="7" t="s">
        <v>8050</v>
      </c>
      <c r="E4397" s="8" t="str">
        <f>IFERROR(__xludf.DUMMYFUNCTION("googletranslate(D4397,""id"",""en"")"),"Guys ... keep your health, the prokes are dikencengin, PPKM is obeyed. This dawn some chat is not strong as it hurts, the rest is still okay. Yesterday it came out between drugs and intake to the Isoman because Painful was like it. But ... there are those"&amp;" who have improved and move. Already many friends are hit ...")</f>
        <v>Guys ... keep your health, the prokes are dikencengin, PPKM is obeyed. This dawn some chat is not strong as it hurts, the rest is still okay. Yesterday it came out between drugs and intake to the Isoman because Painful was like it. But ... there are those who have improved and move. Already many friends are hit ...</v>
      </c>
    </row>
    <row r="4398" ht="15.75" customHeight="1">
      <c r="A4398" s="2">
        <v>4400.0</v>
      </c>
      <c r="B4398" s="5" t="s">
        <v>8051</v>
      </c>
      <c r="C4398" s="6">
        <v>1.0</v>
      </c>
      <c r="D4398" s="9" t="s">
        <v>8052</v>
      </c>
      <c r="E4398" s="8" t="str">
        <f>IFERROR(__xludf.DUMMYFUNCTION("googletranslate(D4398,""id"",""en"")"),"There was someone who was noisy asking for Lockdown, now I want to want a PPKM demo. Wes ready for the responsibility of the afterlife? Mbok yes worldly luster don't make a lost focus. The focus is preparing to go home to him.")</f>
        <v>There was someone who was noisy asking for Lockdown, now I want to want a PPKM demo. Wes ready for the responsibility of the afterlife? Mbok yes worldly luster don't make a lost focus. The focus is preparing to go home to him.</v>
      </c>
    </row>
    <row r="4399" ht="15.75" customHeight="1">
      <c r="A4399" s="2">
        <v>4401.0</v>
      </c>
      <c r="B4399" s="5" t="s">
        <v>8053</v>
      </c>
      <c r="C4399" s="6">
        <v>2.0</v>
      </c>
      <c r="D4399" s="7" t="s">
        <v>8054</v>
      </c>
      <c r="E4399" s="8" t="str">
        <f>IFERROR(__xludf.DUMMYFUNCTION("googletranslate(D4399,""id"",""en"")"),"For love to people in the PPKM gini bang")</f>
        <v>For love to people in the PPKM gini bang</v>
      </c>
    </row>
    <row r="4400" ht="15.75" customHeight="1">
      <c r="A4400" s="2">
        <v>4402.0</v>
      </c>
      <c r="B4400" s="5" t="s">
        <v>8055</v>
      </c>
      <c r="C4400" s="6">
        <v>2.0</v>
      </c>
      <c r="D4400" s="10" t="s">
        <v>1635</v>
      </c>
      <c r="E4400" s="8" t="str">
        <f>IFERROR(__xludf.DUMMYFUNCTION("googletranslate(D4400,""id"",""en"")"),"Again PPKM.")</f>
        <v>Again PPKM.</v>
      </c>
    </row>
    <row r="4401" ht="15.75" customHeight="1">
      <c r="A4401" s="2">
        <v>4403.0</v>
      </c>
      <c r="B4401" s="5" t="s">
        <v>8056</v>
      </c>
      <c r="C4401" s="6">
        <v>1.0</v>
      </c>
      <c r="D4401" s="7" t="s">
        <v>8057</v>
      </c>
      <c r="E4401" s="8" t="str">
        <f>IFERROR(__xludf.DUMMYFUNCTION("googletranslate(D4401,""id"",""en"")"),"PPKM or whatever the name BYK is supported, said the ulama in accordance with the Sharia facing an outbreak. The state must be narrated by people's food unable to ...")</f>
        <v>PPKM or whatever the name BYK is supported, said the ulama in accordance with the Sharia facing an outbreak. The state must be narrated by people's food unable to ...</v>
      </c>
    </row>
    <row r="4402" ht="15.75" customHeight="1">
      <c r="A4402" s="2">
        <v>4404.0</v>
      </c>
      <c r="B4402" s="5" t="s">
        <v>8058</v>
      </c>
      <c r="C4402" s="6">
        <v>3.0</v>
      </c>
      <c r="D4402" s="9" t="s">
        <v>8059</v>
      </c>
      <c r="E4402" s="8" t="str">
        <f>IFERROR(__xludf.DUMMYFUNCTION("googletranslate(D4402,""id"",""en"")"),"PPKM was one of the government's efforts to control the Covid-19 outbreak. It should be supported by relegation. The brain if most nyabu and hanging results in toothless teeth and Halu's mind. If you have a shame to keep Su Asu's genitals.")</f>
        <v>PPKM was one of the government's efforts to control the Covid-19 outbreak. It should be supported by relegation. The brain if most nyabu and hanging results in toothless teeth and Halu's mind. If you have a shame to keep Su Asu's genitals.</v>
      </c>
    </row>
    <row r="4403" ht="15.75" customHeight="1">
      <c r="A4403" s="2">
        <v>4405.0</v>
      </c>
      <c r="B4403" s="5" t="s">
        <v>8060</v>
      </c>
      <c r="C4403" s="6">
        <v>1.0</v>
      </c>
      <c r="D4403" s="7" t="s">
        <v>8061</v>
      </c>
      <c r="E4403" s="8" t="str">
        <f>IFERROR(__xludf.DUMMYFUNCTION("googletranslate(D4403,""id"",""en"")"),"Along the way, hear the opinion about the PPKM, about Jokowi who is not bechered by the president 3, bgm of their mindset. This ppkm is there because you are a fool who doesn't obey the proces !!, I don't want to use a mask, don't want a vaccine, it's tur"&amp;"n to hurt a lot of people")</f>
        <v>Along the way, hear the opinion about the PPKM, about Jokowi who is not bechered by the president 3, bgm of their mindset. This ppkm is there because you are a fool who doesn't obey the proces !!, I don't want to use a mask, don't want a vaccine, it's turn to hurt a lot of people</v>
      </c>
    </row>
    <row r="4404" ht="15.75" customHeight="1">
      <c r="A4404" s="2">
        <v>4406.0</v>
      </c>
      <c r="B4404" s="5" t="s">
        <v>8062</v>
      </c>
      <c r="C4404" s="6">
        <v>1.0</v>
      </c>
      <c r="D4404" s="7" t="s">
        <v>8063</v>
      </c>
      <c r="E4404" s="8" t="str">
        <f>IFERROR(__xludf.DUMMYFUNCTION("googletranslate(D4404,""id"",""en"")"),"Partaimya producing corruptors &amp; amp; Mangkrak (PPKM), and support for his party condomis &amp; amp; Reaping (ppkm)")</f>
        <v>Partaimya producing corruptors &amp; amp; Mangkrak (PPKM), and support for his party condomis &amp; amp; Reaping (ppkm)</v>
      </c>
    </row>
    <row r="4405" ht="15.75" customHeight="1">
      <c r="A4405" s="2">
        <v>4407.0</v>
      </c>
      <c r="B4405" s="5" t="s">
        <v>8064</v>
      </c>
      <c r="C4405" s="6">
        <v>2.0</v>
      </c>
      <c r="D4405" s="7" t="s">
        <v>8065</v>
      </c>
      <c r="E4405" s="8" t="str">
        <f>IFERROR(__xludf.DUMMYFUNCTION("googletranslate(D4405,""id"",""en"")"),"Sorry I was Isoman and followed the Rules of PPKM (Blsan IndiHome Operator)")</f>
        <v>Sorry I was Isoman and followed the Rules of PPKM (Blsan IndiHome Operator)</v>
      </c>
    </row>
    <row r="4406" ht="15.75" customHeight="1">
      <c r="A4406" s="2">
        <v>4408.0</v>
      </c>
      <c r="B4406" s="5" t="s">
        <v>8066</v>
      </c>
      <c r="C4406" s="6">
        <v>2.0</v>
      </c>
      <c r="D4406" s="9" t="s">
        <v>8066</v>
      </c>
      <c r="E4406" s="8" t="str">
        <f>IFERROR(__xludf.DUMMYFUNCTION("googletranslate(D4406,""id"",""en"")"),"After PPKM hug to asthma")</f>
        <v>After PPKM hug to asthma</v>
      </c>
    </row>
    <row r="4407" ht="15.75" customHeight="1">
      <c r="A4407" s="2">
        <v>4409.0</v>
      </c>
      <c r="B4407" s="5" t="s">
        <v>8067</v>
      </c>
      <c r="C4407" s="6">
        <v>1.0</v>
      </c>
      <c r="D4407" s="7" t="s">
        <v>8068</v>
      </c>
      <c r="E4407" s="8" t="str">
        <f>IFERROR(__xludf.DUMMYFUNCTION("googletranslate(D4407,""id"",""en"")"),"PPKM makes you dizzy")</f>
        <v>PPKM makes you dizzy</v>
      </c>
    </row>
    <row r="4408" ht="15.75" customHeight="1">
      <c r="A4408" s="2">
        <v>4410.0</v>
      </c>
      <c r="B4408" s="5" t="s">
        <v>8069</v>
      </c>
      <c r="C4408" s="6">
        <v>1.0</v>
      </c>
      <c r="D4408" s="7" t="s">
        <v>8070</v>
      </c>
      <c r="E4408" s="8" t="str">
        <f>IFERROR(__xludf.DUMMYFUNCTION("googletranslate(D4408,""id"",""en"")"),"Precisely the one who is the ppkm model, tells the person to the house but I give it anything")</f>
        <v>Precisely the one who is the ppkm model, tells the person to the house but I give it anything</v>
      </c>
    </row>
    <row r="4409" ht="15.75" customHeight="1">
      <c r="A4409" s="2">
        <v>4411.0</v>
      </c>
      <c r="B4409" s="5" t="s">
        <v>8071</v>
      </c>
      <c r="C4409" s="6">
        <v>2.0</v>
      </c>
      <c r="D4409" s="7" t="s">
        <v>8072</v>
      </c>
      <c r="E4409" s="8" t="str">
        <f>IFERROR(__xludf.DUMMYFUNCTION("googletranslate(D4409,""id"",""en"")"),"Stop by Padang BG Jo later given by Rendang Ala PPKM")</f>
        <v>Stop by Padang BG Jo later given by Rendang Ala PPKM</v>
      </c>
    </row>
    <row r="4410" ht="15.75" customHeight="1">
      <c r="A4410" s="2">
        <v>4412.0</v>
      </c>
      <c r="B4410" s="5" t="s">
        <v>8073</v>
      </c>
      <c r="C4410" s="6">
        <v>2.0</v>
      </c>
      <c r="D4410" s="9" t="s">
        <v>8074</v>
      </c>
      <c r="E4410" s="8" t="str">
        <f>IFERROR(__xludf.DUMMYFUNCTION("googletranslate(D4410,""id"",""en"")"),"While GT first, msh ppkm soale ,, patient")</f>
        <v>While GT first, msh ppkm soale ,, patient</v>
      </c>
    </row>
    <row r="4411" ht="15.75" customHeight="1">
      <c r="A4411" s="2">
        <v>4413.0</v>
      </c>
      <c r="B4411" s="5" t="s">
        <v>8075</v>
      </c>
      <c r="C4411" s="6">
        <v>2.0</v>
      </c>
      <c r="D4411" s="10" t="s">
        <v>8076</v>
      </c>
      <c r="E4411" s="8" t="str">
        <f>IFERROR(__xludf.DUMMYFUNCTION("googletranslate(D4411,""id"",""en"")"),"Ppkm just lv")</f>
        <v>Ppkm just lv</v>
      </c>
    </row>
    <row r="4412" ht="15.75" customHeight="1">
      <c r="A4412" s="2">
        <v>4414.0</v>
      </c>
      <c r="B4412" s="5" t="s">
        <v>8077</v>
      </c>
      <c r="C4412" s="6">
        <v>1.0</v>
      </c>
      <c r="D4412" s="9" t="s">
        <v>8078</v>
      </c>
      <c r="E4412" s="8" t="str">
        <f>IFERROR(__xludf.DUMMYFUNCTION("googletranslate(D4412,""id"",""en"")"),"Yaampun aq just don't know if this is a weekend so the old PPKM")</f>
        <v>Yaampun aq just don't know if this is a weekend so the old PPKM</v>
      </c>
    </row>
    <row r="4413" ht="15.75" customHeight="1">
      <c r="A4413" s="2">
        <v>4415.0</v>
      </c>
      <c r="B4413" s="5" t="s">
        <v>8079</v>
      </c>
      <c r="C4413" s="6">
        <v>2.0</v>
      </c>
      <c r="D4413" s="9" t="s">
        <v>8079</v>
      </c>
      <c r="E4413" s="8" t="str">
        <f>IFERROR(__xludf.DUMMYFUNCTION("googletranslate(D4413,""id"",""en"")"),"PPKM: ""Slowly you forget me""")</f>
        <v>PPKM: "Slowly you forget me"</v>
      </c>
    </row>
    <row r="4414" ht="15.75" customHeight="1">
      <c r="A4414" s="2">
        <v>4416.0</v>
      </c>
      <c r="B4414" s="5" t="s">
        <v>8080</v>
      </c>
      <c r="C4414" s="6">
        <v>1.0</v>
      </c>
      <c r="D4414" s="7" t="s">
        <v>8081</v>
      </c>
      <c r="E4414" s="8" t="str">
        <f>IFERROR(__xludf.DUMMYFUNCTION("googletranslate(D4414,""id"",""en"")"),"I want to want to buy a cat but can't be able to because there is a ppkm")</f>
        <v>I want to want to buy a cat but can't be able to because there is a ppkm</v>
      </c>
    </row>
    <row r="4415" ht="15.75" customHeight="1">
      <c r="A4415" s="2">
        <v>4417.0</v>
      </c>
      <c r="B4415" s="5" t="s">
        <v>8082</v>
      </c>
      <c r="C4415" s="6">
        <v>2.0</v>
      </c>
      <c r="D4415" s="7" t="s">
        <v>8083</v>
      </c>
      <c r="E4415" s="8" t="str">
        <f>IFERROR(__xludf.DUMMYFUNCTION("googletranslate(D4415,""id"",""en"")"),"Ppkmpernah ""p"" then leave!")</f>
        <v>Ppkmpernah "p" then leave!</v>
      </c>
    </row>
    <row r="4416" ht="15.75" customHeight="1">
      <c r="A4416" s="2">
        <v>4418.0</v>
      </c>
      <c r="B4416" s="5" t="s">
        <v>8084</v>
      </c>
      <c r="C4416" s="6">
        <v>1.0</v>
      </c>
      <c r="D4416" s="9" t="s">
        <v>8085</v>
      </c>
      <c r="E4416" s="8" t="str">
        <f>IFERROR(__xludf.DUMMYFUNCTION("googletranslate(D4416,""id"",""en"")"),"Various PPKM and the other names made by the government are LD without getting out of money to support Masatatakat. He said there was no fund. While infrastructure projects continue to go. Because this project is enjoyed by Inner Circle regime. Lots of da"&amp;"ta.")</f>
        <v>Various PPKM and the other names made by the government are LD without getting out of money to support Masatatakat. He said there was no fund. While infrastructure projects continue to go. Because this project is enjoyed by Inner Circle regime. Lots of data.</v>
      </c>
    </row>
    <row r="4417" ht="15.75" customHeight="1">
      <c r="A4417" s="2">
        <v>4419.0</v>
      </c>
      <c r="B4417" s="5" t="s">
        <v>8086</v>
      </c>
      <c r="C4417" s="6">
        <v>1.0</v>
      </c>
      <c r="D4417" s="9" t="s">
        <v>8087</v>
      </c>
      <c r="E4417" s="8" t="str">
        <f>IFERROR(__xludf.DUMMYFUNCTION("googletranslate(D4417,""id"",""en"")"),"It is the turn of the Timee Part even PPKM, it will not be asked for the Muluu Dahal, it can be PT or not, but it can't be k because of college clashes")</f>
        <v>It is the turn of the Timee Part even PPKM, it will not be asked for the Muluu Dahal, it can be PT or not, but it can't be k because of college clashes</v>
      </c>
    </row>
    <row r="4418" ht="15.75" customHeight="1">
      <c r="A4418" s="2">
        <v>4420.0</v>
      </c>
      <c r="B4418" s="5" t="s">
        <v>8088</v>
      </c>
      <c r="C4418" s="6">
        <v>2.0</v>
      </c>
      <c r="D4418" s="7" t="s">
        <v>8088</v>
      </c>
      <c r="E4418" s="8" t="str">
        <f>IFERROR(__xludf.DUMMYFUNCTION("googletranslate(D4418,""id"",""en"")"),"Prefer PPKM without ""PP""")</f>
        <v>Prefer PPKM without "PP"</v>
      </c>
    </row>
    <row r="4419" ht="15.75" customHeight="1">
      <c r="A4419" s="2">
        <v>4421.0</v>
      </c>
      <c r="B4419" s="5" t="s">
        <v>8089</v>
      </c>
      <c r="C4419" s="6">
        <v>1.0</v>
      </c>
      <c r="D4419" s="9" t="s">
        <v>8090</v>
      </c>
      <c r="E4419" s="8" t="str">
        <f>IFERROR(__xludf.DUMMYFUNCTION("googletranslate(D4419,""id"",""en"")"),"Where do you do it? It's hard too if I'm LG PPKM")</f>
        <v>Where do you do it? It's hard too if I'm LG PPKM</v>
      </c>
    </row>
    <row r="4420" ht="15.75" customHeight="1">
      <c r="A4420" s="2">
        <v>4422.0</v>
      </c>
      <c r="B4420" s="5" t="s">
        <v>8091</v>
      </c>
      <c r="C4420" s="6">
        <v>1.0</v>
      </c>
      <c r="D4420" s="9" t="s">
        <v>8092</v>
      </c>
      <c r="E4420" s="8" t="str">
        <f>IFERROR(__xludf.DUMMYFUNCTION("googletranslate(D4420,""id"",""en"")"),"Just longitude bro, but the phenomenon is now all the heads of the region of one command with the center. So there are some areas that have objected if the PPKM is held. Because he said it was less than the maximum of its application, and even less solute"&amp;" for Masy. The middle to down group hehe.")</f>
        <v>Just longitude bro, but the phenomenon is now all the heads of the region of one command with the center. So there are some areas that have objected if the PPKM is held. Because he said it was less than the maximum of its application, and even less solute for Masy. The middle to down group hehe.</v>
      </c>
    </row>
    <row r="4421" ht="15.75" customHeight="1">
      <c r="A4421" s="2">
        <v>4423.0</v>
      </c>
      <c r="B4421" s="5" t="s">
        <v>8093</v>
      </c>
      <c r="C4421" s="6">
        <v>1.0</v>
      </c>
      <c r="D4421" s="7" t="s">
        <v>8094</v>
      </c>
      <c r="E4421" s="8" t="str">
        <f>IFERROR(__xludf.DUMMYFUNCTION("googletranslate(D4421,""id"",""en"")"),"- Jokowi must withdraw or be deposed to save the people! - Today Jokowi is overthrown! Alhamdulillah Allahuakbar! - Student, Ojol N Moving People Reject PPKM N Roll Jokowi!")</f>
        <v>- Jokowi must withdraw or be deposed to save the people! - Today Jokowi is overthrown! Alhamdulillah Allahuakbar! - Student, Ojol N Moving People Reject PPKM N Roll Jokowi!</v>
      </c>
    </row>
    <row r="4422" ht="15.75" customHeight="1">
      <c r="A4422" s="2">
        <v>4424.0</v>
      </c>
      <c r="B4422" s="5" t="s">
        <v>8095</v>
      </c>
      <c r="C4422" s="6">
        <v>1.0</v>
      </c>
      <c r="D4422" s="9" t="s">
        <v>8096</v>
      </c>
      <c r="E4422" s="8" t="str">
        <f>IFERROR(__xludf.DUMMYFUNCTION("googletranslate(D4422,""id"",""en"")"),"Mutually change the name is not a PSBB solution, PPKM wants especially the name of no influence ... the government failed to win the health emergency ... instead issued a military emergency ... it's weird")</f>
        <v>Mutually change the name is not a PSBB solution, PPKM wants especially the name of no influence ... the government failed to win the health emergency ... instead issued a military emergency ... it's weird</v>
      </c>
    </row>
    <row r="4423" ht="15.75" customHeight="1">
      <c r="A4423" s="2">
        <v>4425.0</v>
      </c>
      <c r="B4423" s="5" t="s">
        <v>8097</v>
      </c>
      <c r="C4423" s="6">
        <v>3.0</v>
      </c>
      <c r="D4423" s="7" t="s">
        <v>8098</v>
      </c>
      <c r="E4423" s="8" t="str">
        <f>IFERROR(__xludf.DUMMYFUNCTION("googletranslate(D4423,""id"",""en"")"),"Even WHO also suggested PPKM in Indonesia must be tightened.")</f>
        <v>Even WHO also suggested PPKM in Indonesia must be tightened.</v>
      </c>
    </row>
    <row r="4424" ht="15.75" customHeight="1">
      <c r="A4424" s="2">
        <v>4426.0</v>
      </c>
      <c r="B4424" s="5" t="s">
        <v>8099</v>
      </c>
      <c r="C4424" s="6">
        <v>1.0</v>
      </c>
      <c r="D4424" s="9" t="s">
        <v>8100</v>
      </c>
      <c r="E4424" s="8" t="str">
        <f>IFERROR(__xludf.DUMMYFUNCTION("googletranslate(D4424,""id"",""en"")"),"I didn't want to get married but because of the ppkm, it was reinstated")</f>
        <v>I didn't want to get married but because of the ppkm, it was reinstated</v>
      </c>
    </row>
    <row r="4425" ht="15.75" customHeight="1">
      <c r="A4425" s="2">
        <v>4427.0</v>
      </c>
      <c r="B4425" s="5" t="s">
        <v>8101</v>
      </c>
      <c r="C4425" s="6">
        <v>1.0</v>
      </c>
      <c r="D4425" s="9" t="s">
        <v>8102</v>
      </c>
      <c r="E4425" s="8" t="str">
        <f>IFERROR(__xludf.DUMMYFUNCTION("googletranslate(D4425,""id"",""en"")"),"I don't understand the neighbors who go to the trial of circumcision in PPKM. The order is already permit to the kelurahan. Ah anying, it weve weve Kagedean Garry We eta mah. Saucur Babagi Besek Teu Kudu ngundang Jalema can. Her.")</f>
        <v>I don't understand the neighbors who go to the trial of circumcision in PPKM. The order is already permit to the kelurahan. Ah anying, it weve weve Kagedean Garry We eta mah. Saucur Babagi Besek Teu Kudu ngundang Jalema can. Her.</v>
      </c>
    </row>
    <row r="4426" ht="15.75" customHeight="1">
      <c r="A4426" s="2">
        <v>4428.0</v>
      </c>
      <c r="B4426" s="5" t="s">
        <v>8103</v>
      </c>
      <c r="C4426" s="6">
        <v>3.0</v>
      </c>
      <c r="D4426" s="9" t="s">
        <v>8104</v>
      </c>
      <c r="E4426" s="8" t="str">
        <f>IFERROR(__xludf.DUMMYFUNCTION("googletranslate(D4426,""id"",""en"")"),"The launch of this cellphone and Cool Redmi Book can adjust the conditions that are being PPKM.")</f>
        <v>The launch of this cellphone and Cool Redmi Book can adjust the conditions that are being PPKM.</v>
      </c>
    </row>
    <row r="4427" ht="15.75" customHeight="1">
      <c r="A4427" s="2">
        <v>4429.0</v>
      </c>
      <c r="B4427" s="5" t="s">
        <v>8105</v>
      </c>
      <c r="C4427" s="6">
        <v>2.0</v>
      </c>
      <c r="D4427" s="7" t="s">
        <v>8106</v>
      </c>
      <c r="E4427" s="8" t="str">
        <f>IFERROR(__xludf.DUMMYFUNCTION("googletranslate(D4427,""id"",""en"")"),"KMNA TPI KAN PPKM")</f>
        <v>KMNA TPI KAN PPKM</v>
      </c>
    </row>
    <row r="4428" ht="15.75" customHeight="1">
      <c r="A4428" s="2">
        <v>4430.0</v>
      </c>
      <c r="B4428" s="5" t="s">
        <v>8107</v>
      </c>
      <c r="C4428" s="6">
        <v>2.0</v>
      </c>
      <c r="D4428" s="7" t="s">
        <v>8108</v>
      </c>
      <c r="E4428" s="8" t="str">
        <f>IFERROR(__xludf.DUMMYFUNCTION("googletranslate(D4428,""id"",""en"")"),"PPKM: Morning Morning Kangen")</f>
        <v>PPKM: Morning Morning Kangen</v>
      </c>
    </row>
    <row r="4429" ht="15.75" customHeight="1">
      <c r="A4429" s="2">
        <v>4431.0</v>
      </c>
      <c r="B4429" s="5" t="s">
        <v>8109</v>
      </c>
      <c r="C4429" s="6">
        <v>2.0</v>
      </c>
      <c r="D4429" s="7" t="s">
        <v>8109</v>
      </c>
      <c r="E4429" s="8" t="str">
        <f>IFERROR(__xludf.DUMMYFUNCTION("googletranslate(D4429,""id"",""en"")"),"Kl ppkm finished mam sushi yokk. BM BGTTTT")</f>
        <v>Kl ppkm finished mam sushi yokk. BM BGTTTT</v>
      </c>
    </row>
    <row r="4430" ht="15.75" customHeight="1">
      <c r="A4430" s="2">
        <v>4432.0</v>
      </c>
      <c r="B4430" s="5" t="s">
        <v>8110</v>
      </c>
      <c r="C4430" s="6">
        <v>2.0</v>
      </c>
      <c r="D4430" s="7" t="s">
        <v>8110</v>
      </c>
      <c r="E4430" s="8" t="str">
        <f>IFERROR(__xludf.DUMMYFUNCTION("googletranslate(D4430,""id"",""en"")"),"PPKM. Morning Morning Kangen Former")</f>
        <v>PPKM. Morning Morning Kangen Former</v>
      </c>
    </row>
    <row r="4431" ht="15.75" customHeight="1">
      <c r="A4431" s="2">
        <v>4433.0</v>
      </c>
      <c r="B4431" s="5" t="s">
        <v>8111</v>
      </c>
      <c r="C4431" s="6">
        <v>1.0</v>
      </c>
      <c r="D4431" s="7" t="s">
        <v>8112</v>
      </c>
      <c r="E4431" s="8" t="str">
        <f>IFERROR(__xludf.DUMMYFUNCTION("googletranslate(D4431,""id"",""en"")"),"Dibatulan Gara2 PPKM. So it's a full donation to UNICEF SM Nakes")</f>
        <v>Dibatulan Gara2 PPKM. So it's a full donation to UNICEF SM Nakes</v>
      </c>
    </row>
    <row r="4432" ht="15.75" customHeight="1">
      <c r="A4432" s="2">
        <v>4434.0</v>
      </c>
      <c r="B4432" s="5" t="s">
        <v>8113</v>
      </c>
      <c r="C4432" s="6">
        <v>2.0</v>
      </c>
      <c r="D4432" s="9" t="s">
        <v>8114</v>
      </c>
      <c r="E4432" s="8" t="str">
        <f>IFERROR(__xludf.DUMMYFUNCTION("googletranslate(D4432,""id"",""en"")"),"If it feels like PPKM Level Bal")</f>
        <v>If it feels like PPKM Level Bal</v>
      </c>
    </row>
    <row r="4433" ht="15.75" customHeight="1">
      <c r="A4433" s="2">
        <v>4435.0</v>
      </c>
      <c r="B4433" s="5" t="s">
        <v>8115</v>
      </c>
      <c r="C4433" s="6">
        <v>1.0</v>
      </c>
      <c r="D4433" s="9" t="s">
        <v>8116</v>
      </c>
      <c r="E4433" s="8" t="str">
        <f>IFERROR(__xludf.DUMMYFUNCTION("googletranslate(D4433,""id"",""en"")"),"If the ppkm is quite love per month per kk, even then it doesn't need to be all right, imagine if quarantine, which is given to eating a child, eat the cheapest K at times so K at the time of the day, ...... Hemaaaaatt ... ..Cuaaan")</f>
        <v>If the ppkm is quite love per month per kk, even then it doesn't need to be all right, imagine if quarantine, which is given to eating a child, eat the cheapest K at times so K at the time of the day, ...... Hemaaaaatt ... ..Cuaaan</v>
      </c>
    </row>
    <row r="4434" ht="15.75" customHeight="1">
      <c r="A4434" s="2">
        <v>4436.0</v>
      </c>
      <c r="B4434" s="5" t="s">
        <v>8117</v>
      </c>
      <c r="C4434" s="6">
        <v>1.0</v>
      </c>
      <c r="D4434" s="9" t="s">
        <v>8118</v>
      </c>
      <c r="E4434" s="8" t="str">
        <f>IFERROR(__xludf.DUMMYFUNCTION("googletranslate(D4434,""id"",""en"")"),"In the WPKM level area, but look for information about really difficult vaccines. Even neighboring areas can collaborate with easy applications accessed via cellphone. Does it mean that the government in the area w hasn't literate technology")</f>
        <v>In the WPKM level area, but look for information about really difficult vaccines. Even neighboring areas can collaborate with easy applications accessed via cellphone. Does it mean that the government in the area w hasn't literate technology</v>
      </c>
    </row>
    <row r="4435" ht="15.75" customHeight="1">
      <c r="A4435" s="2">
        <v>4437.0</v>
      </c>
      <c r="B4435" s="5" t="s">
        <v>8119</v>
      </c>
      <c r="C4435" s="6">
        <v>2.0</v>
      </c>
      <c r="D4435" s="7" t="s">
        <v>8120</v>
      </c>
      <c r="E4435" s="8" t="str">
        <f>IFERROR(__xludf.DUMMYFUNCTION("googletranslate(D4435,""id"",""en"")"),"PPKM: Early in the morning you troubled")</f>
        <v>PPKM: Early in the morning you troubled</v>
      </c>
    </row>
    <row r="4436" ht="15.75" customHeight="1">
      <c r="A4436" s="2">
        <v>4438.0</v>
      </c>
      <c r="B4436" s="5" t="s">
        <v>8121</v>
      </c>
      <c r="C4436" s="6">
        <v>1.0</v>
      </c>
      <c r="D4436" s="9" t="s">
        <v>8122</v>
      </c>
      <c r="E4436" s="8" t="str">
        <f>IFERROR(__xludf.DUMMYFUNCTION("googletranslate(D4436,""id"",""en"")"),"morning emotional, again, ppkm gini instead gathered where more than people when to go to school gueeeeeee")</f>
        <v>morning emotional, again, ppkm gini instead gathered where more than people when to go to school gueeeeeee</v>
      </c>
    </row>
    <row r="4437" ht="15.75" customHeight="1">
      <c r="A4437" s="2">
        <v>4439.0</v>
      </c>
      <c r="B4437" s="5" t="s">
        <v>8123</v>
      </c>
      <c r="C4437" s="6">
        <v>1.0</v>
      </c>
      <c r="D4437" s="7" t="s">
        <v>8124</v>
      </c>
      <c r="E4437" s="8" t="str">
        <f>IFERROR(__xludf.DUMMYFUNCTION("googletranslate(D4437,""id"",""en"")"),"Want to PPKM or not just keep hanging out now, ""It's saturated. So you want a red zone or what, just hang out")</f>
        <v>Want to PPKM or not just keep hanging out now, "It's saturated. So you want a red zone or what, just hang out</v>
      </c>
    </row>
    <row r="4438" ht="15.75" customHeight="1">
      <c r="A4438" s="2">
        <v>4440.0</v>
      </c>
      <c r="B4438" s="5" t="s">
        <v>8125</v>
      </c>
      <c r="C4438" s="6">
        <v>1.0</v>
      </c>
      <c r="D4438" s="7" t="s">
        <v>8126</v>
      </c>
      <c r="E4438" s="8" t="str">
        <f>IFERROR(__xludf.DUMMYFUNCTION("googletranslate(D4438,""id"",""en"")"),"Lockdown to save his people, PSBB / PPKM / LVL1-4 save oligarchy.")</f>
        <v>Lockdown to save his people, PSBB / PPKM / LVL1-4 save oligarchy.</v>
      </c>
    </row>
    <row r="4439" ht="15.75" customHeight="1">
      <c r="A4439" s="2">
        <v>4441.0</v>
      </c>
      <c r="B4439" s="5" t="s">
        <v>8127</v>
      </c>
      <c r="C4439" s="6">
        <v>1.0</v>
      </c>
      <c r="D4439" s="7" t="s">
        <v>8128</v>
      </c>
      <c r="E4439" s="8" t="str">
        <f>IFERROR(__xludf.DUMMYFUNCTION("googletranslate(D4439,""id"",""en"")"),"Helpspkwkdk Mamah Nyari Sate There Is No Want to Look at the Peak He said that Bangkeeeeeeeeee PPKM Gini")</f>
        <v>Helpspkwkdk Mamah Nyari Sate There Is No Want to Look at the Peak He said that Bangkeeeeeeeeee PPKM Gini</v>
      </c>
    </row>
    <row r="4440" ht="15.75" customHeight="1">
      <c r="A4440" s="2">
        <v>4442.0</v>
      </c>
      <c r="B4440" s="5" t="s">
        <v>8129</v>
      </c>
      <c r="C4440" s="6">
        <v>1.0</v>
      </c>
      <c r="D4440" s="7" t="s">
        <v>8130</v>
      </c>
      <c r="E4440" s="8" t="str">
        <f>IFERROR(__xludf.DUMMYFUNCTION("googletranslate(D4440,""id"",""en"")"),"This red rubber level ppkm is mah, seriousness.")</f>
        <v>This red rubber level ppkm is mah, seriousness.</v>
      </c>
    </row>
    <row r="4441" ht="15.75" customHeight="1">
      <c r="A4441" s="2">
        <v>4443.0</v>
      </c>
      <c r="B4441" s="5" t="s">
        <v>8131</v>
      </c>
      <c r="C4441" s="6">
        <v>1.0</v>
      </c>
      <c r="D4441" s="7" t="s">
        <v>8132</v>
      </c>
      <c r="E4441" s="8" t="str">
        <f>IFERROR(__xludf.DUMMYFUNCTION("googletranslate(D4441,""id"",""en"")"),"Want to meet my boyfriend, it's really hard to get a Gegara PPKM.")</f>
        <v>Want to meet my boyfriend, it's really hard to get a Gegara PPKM.</v>
      </c>
    </row>
    <row r="4442" ht="15.75" customHeight="1">
      <c r="A4442" s="2">
        <v>4444.0</v>
      </c>
      <c r="B4442" s="5" t="s">
        <v>8133</v>
      </c>
      <c r="C4442" s="6">
        <v>1.0</v>
      </c>
      <c r="D4442" s="9" t="s">
        <v>8134</v>
      </c>
      <c r="E4442" s="8" t="str">
        <f>IFERROR(__xludf.DUMMYFUNCTION("googletranslate(D4442,""id"",""en"")"),"LBP disagrees the work of anies.Lalu and other bastards on the heat. Bangsat Lu.The reason help people affected by PPKM volume.")</f>
        <v>LBP disagrees the work of anies.Lalu and other bastards on the heat. Bangsat Lu.The reason help people affected by PPKM volume.</v>
      </c>
    </row>
    <row r="4443" ht="15.75" customHeight="1">
      <c r="A4443" s="2">
        <v>4445.0</v>
      </c>
      <c r="B4443" s="5" t="s">
        <v>8135</v>
      </c>
      <c r="C4443" s="6">
        <v>2.0</v>
      </c>
      <c r="D4443" s="10" t="s">
        <v>8136</v>
      </c>
      <c r="E4443" s="8" t="str">
        <f>IFERROR(__xludf.DUMMYFUNCTION("googletranslate(D4443,""id"",""en"")"),"Ppkm bang.")</f>
        <v>Ppkm bang.</v>
      </c>
    </row>
    <row r="4444" ht="15.75" customHeight="1">
      <c r="A4444" s="2">
        <v>4446.0</v>
      </c>
      <c r="B4444" s="5" t="s">
        <v>8137</v>
      </c>
      <c r="C4444" s="6">
        <v>1.0</v>
      </c>
      <c r="D4444" s="7" t="s">
        <v>8138</v>
      </c>
      <c r="E4444" s="8" t="str">
        <f>IFERROR(__xludf.DUMMYFUNCTION("googletranslate(D4444,""id"",""en"")"),"Org that supports ppkm adlh koplak org2, smelling a small people, inhibiting people's activities in picking up the fortune of Allah..dose knows !!!")</f>
        <v>Org that supports ppkm adlh koplak org2, smelling a small people, inhibiting people's activities in picking up the fortune of Allah..dose knows !!!</v>
      </c>
    </row>
    <row r="4445" ht="15.75" customHeight="1">
      <c r="A4445" s="2">
        <v>4447.0</v>
      </c>
      <c r="B4445" s="5" t="s">
        <v>8139</v>
      </c>
      <c r="C4445" s="6">
        <v>2.0</v>
      </c>
      <c r="D4445" s="7" t="s">
        <v>8139</v>
      </c>
      <c r="E4445" s="8" t="str">
        <f>IFERROR(__xludf.DUMMYFUNCTION("googletranslate(D4445,""id"",""en"")"),"Tomorrow the last ppkm huh")</f>
        <v>Tomorrow the last ppkm huh</v>
      </c>
    </row>
    <row r="4446" ht="15.75" customHeight="1">
      <c r="A4446" s="2">
        <v>4448.0</v>
      </c>
      <c r="B4446" s="5" t="s">
        <v>8140</v>
      </c>
      <c r="C4446" s="6">
        <v>1.0</v>
      </c>
      <c r="D4446" s="7" t="s">
        <v>8141</v>
      </c>
      <c r="E4446" s="8" t="str">
        <f>IFERROR(__xludf.DUMMYFUNCTION("googletranslate(D4446,""id"",""en"")"),"""The poor from Suharto's time, which was blamed for emergency PPKM which was only Sunday."" Quote.")</f>
        <v>"The poor from Suharto's time, which was blamed for emergency PPKM which was only Sunday." Quote.</v>
      </c>
    </row>
    <row r="4447" ht="15.75" customHeight="1">
      <c r="A4447" s="2">
        <v>4449.0</v>
      </c>
      <c r="B4447" s="5" t="s">
        <v>8142</v>
      </c>
      <c r="C4447" s="6">
        <v>2.0</v>
      </c>
      <c r="D4447" s="7" t="s">
        <v>8143</v>
      </c>
      <c r="E4447" s="8" t="str">
        <f>IFERROR(__xludf.DUMMYFUNCTION("googletranslate(D4447,""id"",""en"")"),"Good morning, which is waiting for the PPKM ...")</f>
        <v>Good morning, which is waiting for the PPKM ...</v>
      </c>
    </row>
    <row r="4448" ht="15.75" customHeight="1">
      <c r="A4448" s="2">
        <v>4450.0</v>
      </c>
      <c r="B4448" s="5" t="s">
        <v>8144</v>
      </c>
      <c r="C4448" s="6">
        <v>1.0</v>
      </c>
      <c r="D4448" s="9" t="s">
        <v>8144</v>
      </c>
      <c r="E4448" s="8" t="str">
        <f>IFERROR(__xludf.DUMMYFUNCTION("googletranslate(D4448,""id"",""en"")"),"In a new place it was given by PPKM, my neighbor instead had a celebration. extraordinary human in this world.")</f>
        <v>In a new place it was given by PPKM, my neighbor instead had a celebration. extraordinary human in this world.</v>
      </c>
    </row>
    <row r="4449" ht="15.75" customHeight="1">
      <c r="A4449" s="2">
        <v>4451.0</v>
      </c>
      <c r="B4449" s="5" t="s">
        <v>8145</v>
      </c>
      <c r="C4449" s="6">
        <v>1.0</v>
      </c>
      <c r="D4449" s="10" t="s">
        <v>8146</v>
      </c>
      <c r="E4449" s="8" t="str">
        <f>IFERROR(__xludf.DUMMYFUNCTION("googletranslate(D4449,""id"",""en"")"),"PPKM Bawell.")</f>
        <v>PPKM Bawell.</v>
      </c>
    </row>
    <row r="4450" ht="15.75" customHeight="1">
      <c r="A4450" s="2">
        <v>4452.0</v>
      </c>
      <c r="B4450" s="5" t="s">
        <v>8147</v>
      </c>
      <c r="C4450" s="6">
        <v>2.0</v>
      </c>
      <c r="D4450" s="7" t="s">
        <v>8148</v>
      </c>
      <c r="E4450" s="8" t="str">
        <f>IFERROR(__xludf.DUMMYFUNCTION("googletranslate(D4450,""id"",""en"")"),"How about Mbah Uti. Cook don't know while PPKM")</f>
        <v>How about Mbah Uti. Cook don't know while PPKM</v>
      </c>
    </row>
    <row r="4451" ht="15.75" customHeight="1">
      <c r="A4451" s="2">
        <v>4453.0</v>
      </c>
      <c r="B4451" s="5" t="s">
        <v>8149</v>
      </c>
      <c r="C4451" s="6">
        <v>1.0</v>
      </c>
      <c r="D4451" s="7" t="s">
        <v>8150</v>
      </c>
      <c r="E4451" s="8" t="str">
        <f>IFERROR(__xludf.DUMMYFUNCTION("googletranslate(D4451,""id"",""en"")"),"PPKM is just a myth of WKWK, but I was told to enter. Gatau on the road told the first puter behind what")</f>
        <v>PPKM is just a myth of WKWK, but I was told to enter. Gatau on the road told the first puter behind what</v>
      </c>
    </row>
    <row r="4452" ht="15.75" customHeight="1">
      <c r="A4452" s="2">
        <v>4454.0</v>
      </c>
      <c r="B4452" s="5" t="s">
        <v>8151</v>
      </c>
      <c r="C4452" s="6">
        <v>1.0</v>
      </c>
      <c r="D4452" s="7" t="s">
        <v>8152</v>
      </c>
      <c r="E4452" s="8" t="str">
        <f>IFERROR(__xludf.DUMMYFUNCTION("googletranslate(D4452,""id"",""en"")"),"How can it be called wise if the seller of porridge was fined million or imprisonment with the Rules of PPKM in the region's quarantine taste but minus welfare guarantee while the officials were fighting for the commissioner's duplicate?")</f>
        <v>How can it be called wise if the seller of porridge was fined million or imprisonment with the Rules of PPKM in the region's quarantine taste but minus welfare guarantee while the officials were fighting for the commissioner's duplicate?</v>
      </c>
    </row>
    <row r="4453" ht="15.75" customHeight="1">
      <c r="A4453" s="2">
        <v>4455.0</v>
      </c>
      <c r="B4453" s="5" t="s">
        <v>8153</v>
      </c>
      <c r="C4453" s="6">
        <v>1.0</v>
      </c>
      <c r="D4453" s="9" t="s">
        <v>8154</v>
      </c>
      <c r="E4453" s="8" t="str">
        <f>IFERROR(__xludf.DUMMYFUNCTION("googletranslate(D4453,""id"",""en"")"),"With the existence of PPKM can save human life as well as rief. What is your moral responsibility so far?")</f>
        <v>With the existence of PPKM can save human life as well as rief. What is your moral responsibility so far?</v>
      </c>
    </row>
    <row r="4454" ht="15.75" customHeight="1">
      <c r="A4454" s="2">
        <v>4456.0</v>
      </c>
      <c r="B4454" s="5" t="s">
        <v>6340</v>
      </c>
      <c r="C4454" s="6">
        <v>2.0</v>
      </c>
      <c r="D4454" s="9" t="s">
        <v>6341</v>
      </c>
      <c r="E4454" s="8" t="str">
        <f>IFERROR(__xludf.DUMMYFUNCTION("googletranslate(D4454,""id"",""en"")"),"Progress distribution of village assistance percentage% the highest stone city, for villages that are tried with assistance there are villages and villages that have not yet, the allocation of village funds for micro PPKM for handling Covid-19")</f>
        <v>Progress distribution of village assistance percentage% the highest stone city, for villages that are tried with assistance there are villages and villages that have not yet, the allocation of village funds for micro PPKM for handling Covid-19</v>
      </c>
    </row>
    <row r="4455" ht="15.75" customHeight="1">
      <c r="A4455" s="2">
        <v>4457.0</v>
      </c>
      <c r="B4455" s="5" t="s">
        <v>8155</v>
      </c>
      <c r="C4455" s="6">
        <v>1.0</v>
      </c>
      <c r="D4455" s="9" t="s">
        <v>8155</v>
      </c>
      <c r="E4455" s="8" t="str">
        <f>IFERROR(__xludf.DUMMYFUNCTION("googletranslate(D4455,""id"",""en"")"),"If the PPKM is extended which LDR can what")</f>
        <v>If the PPKM is extended which LDR can what</v>
      </c>
    </row>
    <row r="4456" ht="15.75" customHeight="1">
      <c r="A4456" s="2">
        <v>4458.0</v>
      </c>
      <c r="B4456" s="5" t="s">
        <v>8156</v>
      </c>
      <c r="C4456" s="6">
        <v>3.0</v>
      </c>
      <c r="D4456" s="9" t="s">
        <v>8157</v>
      </c>
      <c r="E4456" s="8" t="str">
        <f>IFERROR(__xludf.DUMMYFUNCTION("googletranslate(D4456,""id"",""en"")"),"Black even white the skin is fat and amp; blue shirtjelas is not statewancovid is a pandemippkm, vaccination, Prokes M is a solution to incite to reduce the policies maker to be resolved in politicization")</f>
        <v>Black even white the skin is fat and amp; blue shirtjelas is not statewancovid is a pandemippkm, vaccination, Prokes M is a solution to incite to reduce the policies maker to be resolved in politicization</v>
      </c>
    </row>
    <row r="4457" ht="15.75" customHeight="1">
      <c r="A4457" s="2">
        <v>4459.0</v>
      </c>
      <c r="B4457" s="5" t="s">
        <v>8158</v>
      </c>
      <c r="C4457" s="6">
        <v>1.0</v>
      </c>
      <c r="D4457" s="9" t="s">
        <v>8159</v>
      </c>
      <c r="E4457" s="8" t="str">
        <f>IFERROR(__xludf.DUMMYFUNCTION("googletranslate(D4457,""id"",""en"")"),"PPKM is just an extraordinary stupidity.")</f>
        <v>PPKM is just an extraordinary stupidity.</v>
      </c>
    </row>
    <row r="4458" ht="15.75" customHeight="1">
      <c r="A4458" s="2">
        <v>4460.0</v>
      </c>
      <c r="B4458" s="5" t="s">
        <v>8160</v>
      </c>
      <c r="C4458" s="6">
        <v>1.0</v>
      </c>
      <c r="D4458" s="9" t="s">
        <v>8161</v>
      </c>
      <c r="E4458" s="8" t="str">
        <f>IFERROR(__xludf.DUMMYFUNCTION("googletranslate(D4458,""id"",""en"")"),"Have you heard not a ban from the governor, Jabar and Dki about the demonstration that will be done today, what are you reported by PPKM? Where are you firmly about the emphasis of Covid sufferers? Come on, Dong Bacot")</f>
        <v>Have you heard not a ban from the governor, Jabar and Dki about the demonstration that will be done today, what are you reported by PPKM? Where are you firmly about the emphasis of Covid sufferers? Come on, Dong Bacot</v>
      </c>
    </row>
    <row r="4459" ht="15.75" customHeight="1">
      <c r="A4459" s="2">
        <v>4461.0</v>
      </c>
      <c r="B4459" s="5" t="s">
        <v>8162</v>
      </c>
      <c r="C4459" s="6">
        <v>2.0</v>
      </c>
      <c r="D4459" s="7" t="s">
        <v>8163</v>
      </c>
      <c r="E4459" s="8" t="str">
        <f>IFERROR(__xludf.DUMMYFUNCTION("googletranslate(D4459,""id"",""en"")"),"Suddenly miss the road so -___ yok can yok abis ppkm we go")</f>
        <v>Suddenly miss the road so -___ yok can yok abis ppkm we go</v>
      </c>
    </row>
    <row r="4460" ht="15.75" customHeight="1">
      <c r="A4460" s="2">
        <v>4462.0</v>
      </c>
      <c r="B4460" s="5" t="s">
        <v>8164</v>
      </c>
      <c r="C4460" s="6">
        <v>1.0</v>
      </c>
      <c r="D4460" s="9" t="s">
        <v>8165</v>
      </c>
      <c r="E4460" s="8" t="str">
        <f>IFERROR(__xludf.DUMMYFUNCTION("googletranslate(D4460,""id"",""en"")"),"LFAM4RT Kab. Bogor Ngeberkanin PPKM Ga? Close the hours right? I have a shop observation but can get shift, if you go home afraid of smpe house at the time of malem because it's far away ...")</f>
        <v>LFAM4RT Kab. Bogor Ngeberkanin PPKM Ga? Close the hours right? I have a shop observation but can get shift, if you go home afraid of smpe house at the time of malem because it's far away ...</v>
      </c>
    </row>
    <row r="4461" ht="15.75" customHeight="1">
      <c r="A4461" s="2">
        <v>4463.0</v>
      </c>
      <c r="B4461" s="5" t="s">
        <v>8166</v>
      </c>
      <c r="C4461" s="6">
        <v>2.0</v>
      </c>
      <c r="D4461" s="7" t="s">
        <v>8167</v>
      </c>
      <c r="E4461" s="8" t="str">
        <f>IFERROR(__xludf.DUMMYFUNCTION("googletranslate(D4461,""id"",""en"")"),"Still told PPKM with Hokage")</f>
        <v>Still told PPKM with Hokage</v>
      </c>
    </row>
    <row r="4462" ht="15.75" customHeight="1">
      <c r="A4462" s="2">
        <v>4464.0</v>
      </c>
      <c r="B4462" s="5" t="s">
        <v>8168</v>
      </c>
      <c r="C4462" s="6">
        <v>1.0</v>
      </c>
      <c r="D4462" s="7" t="s">
        <v>8169</v>
      </c>
      <c r="E4462" s="8" t="str">
        <f>IFERROR(__xludf.DUMMYFUNCTION("googletranslate(D4462,""id"",""en"")"),"Bandung again..jabar again .... Duuh demonstrators, who included junior high school students, secured by police in demonstrations reject Emergency PPKM ...: //")</f>
        <v>Bandung again..jabar again .... Duuh demonstrators, who included junior high school students, secured by police in demonstrations reject Emergency PPKM ...: //</v>
      </c>
    </row>
    <row r="4463" ht="15.75" customHeight="1">
      <c r="A4463" s="2">
        <v>4465.0</v>
      </c>
      <c r="B4463" s="5" t="s">
        <v>8170</v>
      </c>
      <c r="C4463" s="6">
        <v>1.0</v>
      </c>
      <c r="D4463" s="7" t="s">
        <v>8171</v>
      </c>
      <c r="E4463" s="8" t="str">
        <f>IFERROR(__xludf.DUMMYFUNCTION("googletranslate(D4463,""id"",""en"")"),"When in Turkey there are restrictions on national sites after returning to Indo to get PPKM LV ... This is the way the universe is forcing to be a drawback ..")</f>
        <v>When in Turkey there are restrictions on national sites after returning to Indo to get PPKM LV ... This is the way the universe is forcing to be a drawback ..</v>
      </c>
    </row>
    <row r="4464" ht="15.75" customHeight="1">
      <c r="A4464" s="2">
        <v>4466.0</v>
      </c>
      <c r="B4464" s="5" t="s">
        <v>8172</v>
      </c>
      <c r="C4464" s="6">
        <v>3.0</v>
      </c>
      <c r="D4464" s="9" t="s">
        <v>8173</v>
      </c>
      <c r="E4464" s="8" t="str">
        <f>IFERROR(__xludf.DUMMYFUNCTION("googletranslate(D4464,""id"",""en"")"),"There is nothing perfect, you ask your RT / Lurah. This definite PPKM spy is not paralyzed by the FASKES. I also have a business, turnover dropped dramatically, there are employees who work there, enough operational costs &amp; amp; Just salaries, thank you. "&amp;"Prokes &amp; amp; vaccine yes, only that way spy case covid down")</f>
        <v>There is nothing perfect, you ask your RT / Lurah. This definite PPKM spy is not paralyzed by the FASKES. I also have a business, turnover dropped dramatically, there are employees who work there, enough operational costs &amp; amp; Just salaries, thank you. Prokes &amp; amp; vaccine yes, only that way spy case covid down</v>
      </c>
    </row>
    <row r="4465" ht="15.75" customHeight="1">
      <c r="A4465" s="2">
        <v>4467.0</v>
      </c>
      <c r="B4465" s="5" t="s">
        <v>8174</v>
      </c>
      <c r="C4465" s="6">
        <v>1.0</v>
      </c>
      <c r="D4465" s="7" t="s">
        <v>8175</v>
      </c>
      <c r="E4465" s="8" t="str">
        <f>IFERROR(__xludf.DUMMYFUNCTION("googletranslate(D4465,""id"",""en"")"),"Morning all! My cellphone is broken, but it is dead even though the battery is full, it will be, it will be able to turn it out, it turns out that the Dom Tangerang doesn't know which mall doesn't open the ppkm ?? Very confused")</f>
        <v>Morning all! My cellphone is broken, but it is dead even though the battery is full, it will be, it will be able to turn it out, it turns out that the Dom Tangerang doesn't know which mall doesn't open the ppkm ?? Very confused</v>
      </c>
    </row>
    <row r="4466" ht="15.75" customHeight="1">
      <c r="A4466" s="2">
        <v>4468.0</v>
      </c>
      <c r="B4466" s="5" t="s">
        <v>8176</v>
      </c>
      <c r="C4466" s="6">
        <v>2.0</v>
      </c>
      <c r="D4466" s="7" t="s">
        <v>8177</v>
      </c>
      <c r="E4466" s="8" t="str">
        <f>IFERROR(__xludf.DUMMYFUNCTION("googletranslate(D4466,""id"",""en"")"),"New days already gbefek ppkm at home continuously")</f>
        <v>New days already gbefek ppkm at home continuously</v>
      </c>
    </row>
    <row r="4467" ht="15.75" customHeight="1">
      <c r="A4467" s="2">
        <v>4469.0</v>
      </c>
      <c r="B4467" s="5" t="s">
        <v>8178</v>
      </c>
      <c r="C4467" s="6">
        <v>2.0</v>
      </c>
      <c r="D4467" s="9" t="s">
        <v>8179</v>
      </c>
      <c r="E4467" s="8" t="str">
        <f>IFERROR(__xludf.DUMMYFUNCTION("googletranslate(D4467,""id"",""en"")"),"still PPKM Mrs. NDAK need to go anywhere after passing the insulation in the front door of the Purabaya terminal exit, not so netizen")</f>
        <v>still PPKM Mrs. NDAK need to go anywhere after passing the insulation in the front door of the Purabaya terminal exit, not so netizen</v>
      </c>
    </row>
    <row r="4468" ht="15.75" customHeight="1">
      <c r="A4468" s="2">
        <v>4470.0</v>
      </c>
      <c r="B4468" s="5" t="s">
        <v>8180</v>
      </c>
      <c r="C4468" s="6">
        <v>2.0</v>
      </c>
      <c r="D4468" s="7" t="s">
        <v>8181</v>
      </c>
      <c r="E4468" s="8" t="str">
        <f>IFERROR(__xludf.DUMMYFUNCTION("googletranslate(D4468,""id"",""en"")"),"Moon holiday, eh ppkm")</f>
        <v>Moon holiday, eh ppkm</v>
      </c>
    </row>
    <row r="4469" ht="15.75" customHeight="1">
      <c r="A4469" s="2">
        <v>4471.0</v>
      </c>
      <c r="B4469" s="5" t="s">
        <v>8182</v>
      </c>
      <c r="C4469" s="6">
        <v>1.0</v>
      </c>
      <c r="D4469" s="7" t="s">
        <v>8182</v>
      </c>
      <c r="E4469" s="8" t="str">
        <f>IFERROR(__xludf.DUMMYFUNCTION("googletranslate(D4469,""id"",""en"")"),"weak market hit PPKM")</f>
        <v>weak market hit PPKM</v>
      </c>
    </row>
    <row r="4470" ht="15.75" customHeight="1">
      <c r="A4470" s="2">
        <v>4472.0</v>
      </c>
      <c r="B4470" s="5" t="s">
        <v>8183</v>
      </c>
      <c r="C4470" s="6">
        <v>2.0</v>
      </c>
      <c r="D4470" s="7" t="s">
        <v>8184</v>
      </c>
      <c r="E4470" s="8" t="str">
        <f>IFERROR(__xludf.DUMMYFUNCTION("googletranslate(D4470,""id"",""en"")"),"Yes, bang, bjm jua will be ppkm")</f>
        <v>Yes, bang, bjm jua will be ppkm</v>
      </c>
    </row>
    <row r="4471" ht="15.75" customHeight="1">
      <c r="A4471" s="2">
        <v>4473.0</v>
      </c>
      <c r="B4471" s="5" t="s">
        <v>8185</v>
      </c>
      <c r="C4471" s="6">
        <v>1.0</v>
      </c>
      <c r="D4471" s="7" t="s">
        <v>8186</v>
      </c>
      <c r="E4471" s="8" t="str">
        <f>IFERROR(__xludf.DUMMYFUNCTION("googletranslate(D4471,""id"",""en"")"),"Airlangga Asks Kiai, Habib, Ulama Support PPKM Economy Effect It takes yes with the kiai, habib and scholars, so far why is there an impression to hate them, even trying to discredit your strange &lt;br&gt;")</f>
        <v>Airlangga Asks Kiai, Habib, Ulama Support PPKM Economy Effect It takes yes with the kiai, habib and scholars, so far why is there an impression to hate them, even trying to discredit your strange &lt;br&gt;</v>
      </c>
    </row>
    <row r="4472" ht="15.75" customHeight="1">
      <c r="A4472" s="2">
        <v>4474.0</v>
      </c>
      <c r="B4472" s="5" t="s">
        <v>8187</v>
      </c>
      <c r="C4472" s="6">
        <v>2.0</v>
      </c>
      <c r="D4472" s="9" t="s">
        <v>8188</v>
      </c>
      <c r="E4472" s="8" t="str">
        <f>IFERROR(__xludf.DUMMYFUNCTION("googletranslate(D4472,""id"",""en"")"),"Belooom Wait for PPKM Rate first so that it is not difficult to test expensive Sis")</f>
        <v>Belooom Wait for PPKM Rate first so that it is not difficult to test expensive Sis</v>
      </c>
    </row>
    <row r="4473" ht="15.75" customHeight="1">
      <c r="A4473" s="2">
        <v>4475.0</v>
      </c>
      <c r="B4473" s="5" t="s">
        <v>8189</v>
      </c>
      <c r="C4473" s="6">
        <v>2.0</v>
      </c>
      <c r="D4473" s="9" t="s">
        <v>8190</v>
      </c>
      <c r="E4473" s="8" t="str">
        <f>IFERROR(__xludf.DUMMYFUNCTION("googletranslate(D4473,""id"",""en"")"),"Ask for info, if the SIM runs out when the PPKM is an extension? Jogja SIM (Sleman) Nuwun")</f>
        <v>Ask for info, if the SIM runs out when the PPKM is an extension? Jogja SIM (Sleman) Nuwun</v>
      </c>
    </row>
    <row r="4474" ht="15.75" customHeight="1">
      <c r="A4474" s="2">
        <v>4476.0</v>
      </c>
      <c r="B4474" s="5" t="s">
        <v>8191</v>
      </c>
      <c r="C4474" s="6">
        <v>2.0</v>
      </c>
      <c r="D4474" s="7" t="s">
        <v>8191</v>
      </c>
      <c r="E4474" s="8" t="str">
        <f>IFERROR(__xludf.DUMMYFUNCTION("googletranslate(D4474,""id"",""en"")"),"Where the reflection is open again again, ppkm, this is really a body")</f>
        <v>Where the reflection is open again again, ppkm, this is really a body</v>
      </c>
    </row>
    <row r="4475" ht="15.75" customHeight="1">
      <c r="A4475" s="2">
        <v>4477.0</v>
      </c>
      <c r="B4475" s="5" t="s">
        <v>8192</v>
      </c>
      <c r="C4475" s="6">
        <v>1.0</v>
      </c>
      <c r="D4475" s="7" t="s">
        <v>8193</v>
      </c>
      <c r="E4475" s="8" t="str">
        <f>IFERROR(__xludf.DUMMYFUNCTION("googletranslate(D4475,""id"",""en"")"),"The test includes travel terms or who for tracing cases? If the tour terms are included in this number, it can be nunjukin the emergency PPKM yesterday is not optimal. If this test number is focused on Tracing Puskesmas, the transmission and death figures"&amp;" should be pressed. Piye?")</f>
        <v>The test includes travel terms or who for tracing cases? If the tour terms are included in this number, it can be nunjukin the emergency PPKM yesterday is not optimal. If this test number is focused on Tracing Puskesmas, the transmission and death figures should be pressed. Piye?</v>
      </c>
    </row>
    <row r="4476" ht="15.75" customHeight="1">
      <c r="A4476" s="2">
        <v>4478.0</v>
      </c>
      <c r="B4476" s="5" t="s">
        <v>8194</v>
      </c>
      <c r="C4476" s="6">
        <v>2.0</v>
      </c>
      <c r="D4476" s="9" t="s">
        <v>8195</v>
      </c>
      <c r="E4476" s="8" t="str">
        <f>IFERROR(__xludf.DUMMYFUNCTION("googletranslate(D4476,""id"",""en"")"),"yeah I think it's nyate with a patient family, huh, it's finished the PPKM again")</f>
        <v>yeah I think it's nyate with a patient family, huh, it's finished the PPKM again</v>
      </c>
    </row>
    <row r="4477" ht="15.75" customHeight="1">
      <c r="A4477" s="2">
        <v>4479.0</v>
      </c>
      <c r="B4477" s="5" t="s">
        <v>8196</v>
      </c>
      <c r="C4477" s="6">
        <v>1.0</v>
      </c>
      <c r="D4477" s="9" t="s">
        <v>8196</v>
      </c>
      <c r="E4477" s="8" t="str">
        <f>IFERROR(__xludf.DUMMYFUNCTION("googletranslate(D4477,""id"",""en"")"),"if it's not ppkm if it's Saturday pst main2")</f>
        <v>if it's not ppkm if it's Saturday pst main2</v>
      </c>
    </row>
    <row r="4478" ht="15.75" customHeight="1">
      <c r="A4478" s="2">
        <v>4480.0</v>
      </c>
      <c r="B4478" s="5" t="s">
        <v>8197</v>
      </c>
      <c r="C4478" s="6">
        <v>3.0</v>
      </c>
      <c r="D4478" s="9" t="s">
        <v>8198</v>
      </c>
      <c r="E4478" s="8" t="str">
        <f>IFERROR(__xludf.DUMMYFUNCTION("googletranslate(D4478,""id"",""en"")"),"Mr. Jokowiterimakkasih during the PPKMSAYA has received BPUM from Brimoga Mr. and a healthy family always.")</f>
        <v>Mr. Jokowiterimakkasih during the PPKMSAYA has received BPUM from Brimoga Mr. and a healthy family always.</v>
      </c>
    </row>
    <row r="4479" ht="15.75" customHeight="1">
      <c r="A4479" s="2">
        <v>4481.0</v>
      </c>
      <c r="B4479" s="5" t="s">
        <v>8199</v>
      </c>
      <c r="C4479" s="6">
        <v>1.0</v>
      </c>
      <c r="D4479" s="7" t="s">
        <v>8200</v>
      </c>
      <c r="E4479" s="8" t="str">
        <f>IFERROR(__xludf.DUMMYFUNCTION("googletranslate(D4479,""id"",""en"")"),"Hmm, times for posting photos of tired people on the road because merchandise doesn't sell the PPKM effect, or a merchant who is more forced to keep trading for the sake of scavenging fortune (SEZ) ..")</f>
        <v>Hmm, times for posting photos of tired people on the road because merchandise doesn't sell the PPKM effect, or a merchant who is more forced to keep trading for the sake of scavenging fortune (SEZ) ..</v>
      </c>
    </row>
    <row r="4480" ht="15.75" customHeight="1">
      <c r="A4480" s="2">
        <v>4482.0</v>
      </c>
      <c r="B4480" s="5" t="s">
        <v>8201</v>
      </c>
      <c r="C4480" s="6">
        <v>1.0</v>
      </c>
      <c r="D4480" s="9" t="s">
        <v>8202</v>
      </c>
      <c r="E4480" s="8" t="str">
        <f>IFERROR(__xludf.DUMMYFUNCTION("googletranslate(D4480,""id"",""en"")"),"Aaa, just like this ... who lost JT, was handed over to the most severe community of Covid or PPKM Sableng")</f>
        <v>Aaa, just like this ... who lost JT, was handed over to the most severe community of Covid or PPKM Sableng</v>
      </c>
    </row>
    <row r="4481" ht="15.75" customHeight="1">
      <c r="A4481" s="2">
        <v>4483.0</v>
      </c>
      <c r="B4481" s="5" t="s">
        <v>8203</v>
      </c>
      <c r="C4481" s="6">
        <v>1.0</v>
      </c>
      <c r="D4481" s="7" t="s">
        <v>8204</v>
      </c>
      <c r="E4481" s="8" t="str">
        <f>IFERROR(__xludf.DUMMYFUNCTION("googletranslate(D4481,""id"",""en"")"),"- Students, Ojol N Moving People Reject PPKM n Rolling Jokowi! - The MPR Agenda conducts the Istinwa session to roll Jokowi. WL. Aamiin! - Latest Violations of Jokowi Tecela!")</f>
        <v>- Students, Ojol N Moving People Reject PPKM n Rolling Jokowi! - The MPR Agenda conducts the Istinwa session to roll Jokowi. WL. Aamiin! - Latest Violations of Jokowi Tecela!</v>
      </c>
    </row>
    <row r="4482" ht="15.75" customHeight="1">
      <c r="A4482" s="2">
        <v>4484.0</v>
      </c>
      <c r="B4482" s="5" t="s">
        <v>8205</v>
      </c>
      <c r="C4482" s="6">
        <v>2.0</v>
      </c>
      <c r="D4482" s="9" t="s">
        <v>8190</v>
      </c>
      <c r="E4482" s="8" t="str">
        <f>IFERROR(__xludf.DUMMYFUNCTION("googletranslate(D4482,""id"",""en"")"),"Ask for info, if the SIM runs out when the PPKM is an extension? Jogja SIM (Sleman) Nuwun")</f>
        <v>Ask for info, if the SIM runs out when the PPKM is an extension? Jogja SIM (Sleman) Nuwun</v>
      </c>
    </row>
    <row r="4483" ht="15.75" customHeight="1">
      <c r="A4483" s="2">
        <v>4485.0</v>
      </c>
      <c r="B4483" s="5" t="s">
        <v>8206</v>
      </c>
      <c r="C4483" s="6">
        <v>1.0</v>
      </c>
      <c r="D4483" s="7" t="s">
        <v>8207</v>
      </c>
      <c r="E4483" s="8" t="str">
        <f>IFERROR(__xludf.DUMMYFUNCTION("googletranslate(D4483,""id"",""en"")"),"The work of njiiiiiing fuck? Efforts to be covered and the road is also so since PPKM, this is also a PPKM level like glgame on line ajee yee, ngakaaaaak")</f>
        <v>The work of njiiiiiing fuck? Efforts to be covered and the road is also so since PPKM, this is also a PPKM level like glgame on line ajee yee, ngakaaaaak</v>
      </c>
    </row>
    <row r="4484" ht="15.75" customHeight="1">
      <c r="A4484" s="2">
        <v>4486.0</v>
      </c>
      <c r="B4484" s="5" t="s">
        <v>8208</v>
      </c>
      <c r="C4484" s="6">
        <v>1.0</v>
      </c>
      <c r="D4484" s="9" t="s">
        <v>8209</v>
      </c>
      <c r="E4484" s="8" t="str">
        <f>IFERROR(__xludf.DUMMYFUNCTION("googletranslate(D4484,""id"",""en"")"),"Disappointment of residents during the PPKM should be addressed to the regional head, not the central government. Therefore the head of the bansos budget budget from the center is no secret, therefore do not always accuse the village for all the depravity"&amp;" &amp; amp; savagery that occurred in the area.")</f>
        <v>Disappointment of residents during the PPKM should be addressed to the regional head, not the central government. Therefore the head of the bansos budget budget from the center is no secret, therefore do not always accuse the village for all the depravity &amp; amp; savagery that occurred in the area.</v>
      </c>
    </row>
    <row r="4485" ht="15.75" customHeight="1">
      <c r="A4485" s="2">
        <v>4487.0</v>
      </c>
      <c r="B4485" s="5" t="s">
        <v>8210</v>
      </c>
      <c r="C4485" s="6">
        <v>1.0</v>
      </c>
      <c r="D4485" s="7" t="s">
        <v>8211</v>
      </c>
      <c r="E4485" s="8" t="str">
        <f>IFERROR(__xludf.DUMMYFUNCTION("googletranslate(D4485,""id"",""en"")"),"Aamiin Mksh Support Sayoya Book Dr. Thursday Send Dr. Publisher Bandung Mngkn Krn PPKM Jd Slow Shipping")</f>
        <v>Aamiin Mksh Support Sayoya Book Dr. Thursday Send Dr. Publisher Bandung Mngkn Krn PPKM Jd Slow Shipping</v>
      </c>
    </row>
    <row r="4486" ht="15.75" customHeight="1">
      <c r="A4486" s="2">
        <v>4488.0</v>
      </c>
      <c r="B4486" s="5" t="s">
        <v>8212</v>
      </c>
      <c r="C4486" s="6">
        <v>2.0</v>
      </c>
      <c r="D4486" s="7" t="s">
        <v>8213</v>
      </c>
      <c r="E4486" s="8" t="str">
        <f>IFERROR(__xludf.DUMMYFUNCTION("googletranslate(D4486,""id"",""en"")"),"Just ppkm just lepel")</f>
        <v>Just ppkm just lepel</v>
      </c>
    </row>
    <row r="4487" ht="15.75" customHeight="1">
      <c r="A4487" s="2">
        <v>4489.0</v>
      </c>
      <c r="B4487" s="5" t="s">
        <v>8214</v>
      </c>
      <c r="C4487" s="6">
        <v>2.0</v>
      </c>
      <c r="D4487" s="10" t="s">
        <v>8215</v>
      </c>
      <c r="E4487" s="8" t="str">
        <f>IFERROR(__xludf.DUMMYFUNCTION("googletranslate(D4487,""id"",""en"")"),"Come on Gas PPKM.")</f>
        <v>Come on Gas PPKM.</v>
      </c>
    </row>
    <row r="4488" ht="15.75" customHeight="1">
      <c r="A4488" s="2">
        <v>4490.0</v>
      </c>
      <c r="B4488" s="5" t="s">
        <v>8216</v>
      </c>
      <c r="C4488" s="6">
        <v>1.0</v>
      </c>
      <c r="D4488" s="7" t="s">
        <v>8217</v>
      </c>
      <c r="E4488" s="8" t="str">
        <f>IFERROR(__xludf.DUMMYFUNCTION("googletranslate(D4488,""id"",""en"")"),"PPKM (slowly we died) - Plecon")</f>
        <v>PPKM (slowly we died) - Plecon</v>
      </c>
    </row>
    <row r="4489" ht="15.75" customHeight="1">
      <c r="A4489" s="2">
        <v>4491.0</v>
      </c>
      <c r="B4489" s="5" t="s">
        <v>8218</v>
      </c>
      <c r="C4489" s="6">
        <v>1.0</v>
      </c>
      <c r="D4489" s="9" t="s">
        <v>8219</v>
      </c>
      <c r="E4489" s="8" t="str">
        <f>IFERROR(__xludf.DUMMYFUNCTION("googletranslate(D4489,""id"",""en"")"),"NS. At-ppkm-in the level ""with the sought bansos, it has been used to a demo of the decision to be released. Moreover, Lokdong ...")</f>
        <v>NS. At-ppkm-in the level "with the sought bansos, it has been used to a demo of the decision to be released. Moreover, Lokdong ...</v>
      </c>
    </row>
    <row r="4490" ht="15.75" customHeight="1">
      <c r="A4490" s="2">
        <v>4492.0</v>
      </c>
      <c r="B4490" s="5" t="s">
        <v>8220</v>
      </c>
      <c r="C4490" s="6">
        <v>1.0</v>
      </c>
      <c r="D4490" s="7" t="s">
        <v>8220</v>
      </c>
      <c r="E4490" s="8" t="str">
        <f>IFERROR(__xludf.DUMMYFUNCTION("googletranslate(D4490,""id"",""en"")"),"want to nyate tp masi ppkm")</f>
        <v>want to nyate tp masi ppkm</v>
      </c>
    </row>
    <row r="4491" ht="15.75" customHeight="1">
      <c r="A4491" s="2">
        <v>4493.0</v>
      </c>
      <c r="B4491" s="5" t="s">
        <v>8221</v>
      </c>
      <c r="C4491" s="6">
        <v>1.0</v>
      </c>
      <c r="D4491" s="7" t="s">
        <v>8222</v>
      </c>
      <c r="E4491" s="8" t="str">
        <f>IFERROR(__xludf.DUMMYFUNCTION("googletranslate(D4491,""id"",""en"")"),"Isn't the beginning that has failed? . The use of quarantine words is replaced by the term PSBB, PPKM. Ratify the omnibuslaw law in the middle of the pandemic. Bansos corruption, where he said to be sentenced to death? . million people who support you are"&amp;" original or just manipulation?")</f>
        <v>Isn't the beginning that has failed? . The use of quarantine words is replaced by the term PSBB, PPKM. Ratify the omnibuslaw law in the middle of the pandemic. Bansos corruption, where he said to be sentenced to death? . million people who support you are original or just manipulation?</v>
      </c>
    </row>
    <row r="4492" ht="15.75" customHeight="1">
      <c r="A4492" s="2">
        <v>4494.0</v>
      </c>
      <c r="B4492" s="5" t="s">
        <v>8223</v>
      </c>
      <c r="C4492" s="6">
        <v>2.0</v>
      </c>
      <c r="D4492" s="7" t="s">
        <v>8224</v>
      </c>
      <c r="E4492" s="8" t="str">
        <f>IFERROR(__xludf.DUMMYFUNCTION("googletranslate(D4492,""id"",""en"")"),"Y GPP. Ttpppp right ppkm ....")</f>
        <v>Y GPP. Ttpppp right ppkm ....</v>
      </c>
    </row>
    <row r="4493" ht="15.75" customHeight="1">
      <c r="A4493" s="2">
        <v>4495.0</v>
      </c>
      <c r="B4493" s="5" t="s">
        <v>8225</v>
      </c>
      <c r="C4493" s="6">
        <v>1.0</v>
      </c>
      <c r="D4493" s="10" t="s">
        <v>8226</v>
      </c>
      <c r="E4493" s="8" t="str">
        <f>IFERROR(__xludf.DUMMYFUNCTION("googletranslate(D4493,""id"",""en"")"),"Blocked PPKM")</f>
        <v>Blocked PPKM</v>
      </c>
    </row>
    <row r="4494" ht="15.75" customHeight="1">
      <c r="A4494" s="2">
        <v>4496.0</v>
      </c>
      <c r="B4494" s="5" t="s">
        <v>8227</v>
      </c>
      <c r="C4494" s="6">
        <v>1.0</v>
      </c>
      <c r="D4494" s="7" t="s">
        <v>8227</v>
      </c>
      <c r="E4494" s="8" t="str">
        <f>IFERROR(__xludf.DUMMYFUNCTION("googletranslate(D4494,""id"",""en"")"),"PPKM Pemplli officer")</f>
        <v>PPKM Pemplli officer</v>
      </c>
    </row>
    <row r="4495" ht="15.75" customHeight="1">
      <c r="A4495" s="2">
        <v>4497.0</v>
      </c>
      <c r="B4495" s="5" t="s">
        <v>8228</v>
      </c>
      <c r="C4495" s="6">
        <v>2.0</v>
      </c>
      <c r="D4495" s="10" t="s">
        <v>8229</v>
      </c>
      <c r="E4495" s="8" t="str">
        <f>IFERROR(__xludf.DUMMYFUNCTION("googletranslate(D4495,""id"",""en"")"),"bjb-bjb ppkm lv")</f>
        <v>bjb-bjb ppkm lv</v>
      </c>
    </row>
    <row r="4496" ht="15.75" customHeight="1">
      <c r="A4496" s="2">
        <v>4498.0</v>
      </c>
      <c r="B4496" s="5" t="s">
        <v>8230</v>
      </c>
      <c r="C4496" s="6">
        <v>3.0</v>
      </c>
      <c r="D4496" s="7" t="s">
        <v>8231</v>
      </c>
      <c r="E4496" s="8" t="str">
        <f>IFERROR(__xludf.DUMMYFUNCTION("googletranslate(D4496,""id"",""en"")"),". Enough PPKM! Happy Wikend! Long time not up photo guys. Hangout together")</f>
        <v>. Enough PPKM! Happy Wikend! Long time not up photo guys. Hangout together</v>
      </c>
    </row>
    <row r="4497" ht="15.75" customHeight="1">
      <c r="A4497" s="2">
        <v>4499.0</v>
      </c>
      <c r="B4497" s="5" t="s">
        <v>8232</v>
      </c>
      <c r="C4497" s="6">
        <v>3.0</v>
      </c>
      <c r="D4497" s="9" t="s">
        <v>8233</v>
      </c>
      <c r="E4497" s="8" t="str">
        <f>IFERROR(__xludf.DUMMYFUNCTION("googletranslate(D4497,""id"",""en"")"),"Funny thing is when it seems just looking for a follower &amp; amp; Subscriber. YouTuber &amp; amp; Many celebrities are more concerned about the people affected by PPKM. Hmm ... if the officials have a YouTube account, maybe they are more caring even if you just"&amp;" find a sound?")</f>
        <v>Funny thing is when it seems just looking for a follower &amp; amp; Subscriber. YouTuber &amp; amp; Many celebrities are more concerned about the people affected by PPKM. Hmm ... if the officials have a YouTube account, maybe they are more caring even if you just find a sound?</v>
      </c>
    </row>
    <row r="4498" ht="15.75" customHeight="1">
      <c r="A4498" s="2">
        <v>4500.0</v>
      </c>
      <c r="B4498" s="5" t="s">
        <v>8234</v>
      </c>
      <c r="C4498" s="6">
        <v>2.0</v>
      </c>
      <c r="D4498" s="9" t="s">
        <v>8235</v>
      </c>
      <c r="E4498" s="8" t="str">
        <f>IFERROR(__xludf.DUMMYFUNCTION("googletranslate(D4498,""id"",""en"")"),"LHA before PPKM settles where?")</f>
        <v>LHA before PPKM settles where?</v>
      </c>
    </row>
    <row r="4499" ht="15.75" customHeight="1">
      <c r="A4499" s="2">
        <v>4501.0</v>
      </c>
      <c r="B4499" s="5" t="s">
        <v>8236</v>
      </c>
      <c r="C4499" s="6">
        <v>2.0</v>
      </c>
      <c r="D4499" s="9" t="s">
        <v>8237</v>
      </c>
      <c r="E4499" s="8" t="str">
        <f>IFERROR(__xludf.DUMMYFUNCTION("googletranslate(D4499,""id"",""en"")"),"Now the date is finished yet sie")</f>
        <v>Now the date is finished yet sie</v>
      </c>
    </row>
    <row r="4500" ht="15.75" customHeight="1">
      <c r="A4500" s="2">
        <v>4502.0</v>
      </c>
      <c r="B4500" s="5" t="s">
        <v>8238</v>
      </c>
      <c r="C4500" s="6">
        <v>3.0</v>
      </c>
      <c r="D4500" s="7" t="s">
        <v>8239</v>
      </c>
      <c r="E4500" s="8" t="str">
        <f>IFERROR(__xludf.DUMMYFUNCTION("googletranslate(D4500,""id"",""en"")"),"Breakfast of our Manado porridge, PPKM today Hayuuuu ..... neng mang wa haji om .... so immune ttep bgs")</f>
        <v>Breakfast of our Manado porridge, PPKM today Hayuuuu ..... neng mang wa haji om .... so immune ttep bgs</v>
      </c>
    </row>
    <row r="4501" ht="15.75" customHeight="1">
      <c r="A4501" s="2">
        <v>4503.0</v>
      </c>
      <c r="B4501" s="5" t="s">
        <v>8240</v>
      </c>
      <c r="C4501" s="6">
        <v>2.0</v>
      </c>
      <c r="D4501" s="7" t="s">
        <v>8241</v>
      </c>
      <c r="E4501" s="8" t="str">
        <f>IFERROR(__xludf.DUMMYFUNCTION("googletranslate(D4501,""id"",""en"")"),"Keep imaginary, PPKM smpe is not extended")</f>
        <v>Keep imaginary, PPKM smpe is not extended</v>
      </c>
    </row>
    <row r="4502" ht="15.75" customHeight="1">
      <c r="A4502" s="2">
        <v>4504.0</v>
      </c>
      <c r="B4502" s="5" t="s">
        <v>8242</v>
      </c>
      <c r="C4502" s="6">
        <v>1.0</v>
      </c>
      <c r="D4502" s="9" t="s">
        <v>8243</v>
      </c>
      <c r="E4502" s="8" t="str">
        <f>IFERROR(__xludf.DUMMYFUNCTION("googletranslate(D4502,""id"",""en"")"),"Corona's death record again, the epidemiologist disagrees PPKM is released like playing chess, it should first when the first step is a crucial step. One step at the beginning, will cause Indonesia to be in a difficult choice.")</f>
        <v>Corona's death record again, the epidemiologist disagrees PPKM is released like playing chess, it should first when the first step is a crucial step. One step at the beginning, will cause Indonesia to be in a difficult choice.</v>
      </c>
    </row>
    <row r="4503" ht="15.75" customHeight="1">
      <c r="A4503" s="2">
        <v>4505.0</v>
      </c>
      <c r="B4503" s="5" t="s">
        <v>8244</v>
      </c>
      <c r="C4503" s="6">
        <v>1.0</v>
      </c>
      <c r="D4503" s="7" t="s">
        <v>8244</v>
      </c>
      <c r="E4503" s="8" t="str">
        <f>IFERROR(__xludf.DUMMYFUNCTION("googletranslate(D4503,""id"",""en"")"),"Get a spoiler about PPKM from PA Ardian made the mood before my August broken")</f>
        <v>Get a spoiler about PPKM from PA Ardian made the mood before my August broken</v>
      </c>
    </row>
    <row r="4504" ht="15.75" customHeight="1">
      <c r="A4504" s="2">
        <v>4506.0</v>
      </c>
      <c r="B4504" s="5" t="s">
        <v>8245</v>
      </c>
      <c r="C4504" s="6">
        <v>1.0</v>
      </c>
      <c r="D4504" s="7" t="s">
        <v>8246</v>
      </c>
      <c r="E4504" s="8" t="str">
        <f>IFERROR(__xludf.DUMMYFUNCTION("googletranslate(D4504,""id"",""en"")"),"Tired of PPKM and PSBB")</f>
        <v>Tired of PPKM and PSBB</v>
      </c>
    </row>
    <row r="4505" ht="15.75" customHeight="1">
      <c r="A4505" s="2">
        <v>4507.0</v>
      </c>
      <c r="B4505" s="5" t="s">
        <v>8247</v>
      </c>
      <c r="C4505" s="6">
        <v>2.0</v>
      </c>
      <c r="D4505" s="7" t="s">
        <v>8248</v>
      </c>
      <c r="E4505" s="8" t="str">
        <f>IFERROR(__xludf.DUMMYFUNCTION("googletranslate(D4505,""id"",""en"")"),"It should be made by the lawbility while PPKM, it is forbidden to march, if it violates, the apparatus must shoot in the Place of the demonstrators. Is it certain to think about what you want to demo like ......")</f>
        <v>It should be made by the lawbility while PPKM, it is forbidden to march, if it violates, the apparatus must shoot in the Place of the demonstrators. Is it certain to think about what you want to demo like ......</v>
      </c>
    </row>
    <row r="4506" ht="15.75" customHeight="1">
      <c r="A4506" s="2">
        <v>4508.0</v>
      </c>
      <c r="B4506" s="5" t="s">
        <v>8249</v>
      </c>
      <c r="C4506" s="6">
        <v>1.0</v>
      </c>
      <c r="D4506" s="9" t="s">
        <v>8250</v>
      </c>
      <c r="E4506" s="8" t="str">
        <f>IFERROR(__xludf.DUMMYFUNCTION("googletranslate(D4506,""id"",""en"")"),"who hasn't been psbb return, ama PPKM Reborn, I don't know when, before Kaleee Hauhauhau")</f>
        <v>who hasn't been psbb return, ama PPKM Reborn, I don't know when, before Kaleee Hauhauhau</v>
      </c>
    </row>
    <row r="4507" ht="15.75" customHeight="1">
      <c r="A4507" s="2">
        <v>4509.0</v>
      </c>
      <c r="B4507" s="5" t="s">
        <v>8251</v>
      </c>
      <c r="C4507" s="6">
        <v>1.0</v>
      </c>
      <c r="D4507" s="9" t="s">
        <v>8252</v>
      </c>
      <c r="E4507" s="8" t="str">
        <f>IFERROR(__xludf.DUMMYFUNCTION("googletranslate(D4507,""id"",""en"")"),"Respect for ente bro, many of which comment ""if the laper is eating and don't have work money"" he said but the brain in the buttocks, want to eat what work how to tell PPKM")</f>
        <v>Respect for ente bro, many of which comment "if the laper is eating and don't have work money" he said but the brain in the buttocks, want to eat what work how to tell PPKM</v>
      </c>
    </row>
    <row r="4508" ht="15.75" customHeight="1">
      <c r="A4508" s="2">
        <v>4510.0</v>
      </c>
      <c r="B4508" s="5" t="s">
        <v>8253</v>
      </c>
      <c r="C4508" s="6">
        <v>1.0</v>
      </c>
      <c r="D4508" s="7" t="s">
        <v>8254</v>
      </c>
      <c r="E4508" s="8" t="str">
        <f>IFERROR(__xludf.DUMMYFUNCTION("googletranslate(D4508,""id"",""en"")"),"I don't like PPKM")</f>
        <v>I don't like PPKM</v>
      </c>
    </row>
    <row r="4509" ht="15.75" customHeight="1">
      <c r="A4509" s="2">
        <v>4511.0</v>
      </c>
      <c r="B4509" s="5" t="s">
        <v>8255</v>
      </c>
      <c r="C4509" s="6">
        <v>3.0</v>
      </c>
      <c r="D4509" s="7" t="s">
        <v>8256</v>
      </c>
      <c r="E4509" s="8" t="str">
        <f>IFERROR(__xludf.DUMMYFUNCTION("googletranslate(D4509,""id"",""en"")"),"PPKM National Police TNI Bansos")</f>
        <v>PPKM National Police TNI Bansos</v>
      </c>
    </row>
    <row r="4510" ht="15.75" customHeight="1">
      <c r="A4510" s="2">
        <v>4512.0</v>
      </c>
      <c r="B4510" s="5" t="s">
        <v>8257</v>
      </c>
      <c r="C4510" s="6">
        <v>2.0</v>
      </c>
      <c r="D4510" s="7" t="s">
        <v>8258</v>
      </c>
      <c r="E4510" s="8" t="str">
        <f>IFERROR(__xludf.DUMMYFUNCTION("googletranslate(D4510,""id"",""en"")"),"Yes now there is a company that is there or no hub sm Chinese")</f>
        <v>Yes now there is a company that is there or no hub sm Chinese</v>
      </c>
    </row>
    <row r="4511" ht="15.75" customHeight="1">
      <c r="A4511" s="2">
        <v>4513.0</v>
      </c>
      <c r="B4511" s="5" t="s">
        <v>8259</v>
      </c>
      <c r="C4511" s="6">
        <v>1.0</v>
      </c>
      <c r="D4511" s="9" t="s">
        <v>8260</v>
      </c>
      <c r="E4511" s="8" t="str">
        <f>IFERROR(__xludf.DUMMYFUNCTION("googletranslate(D4511,""id"",""en"")"),"How come the demonstrators ask for PPKM to be revoked, the government seems to be very scared?, Yes it has pulled it, the PPKM who really miserates the small people, so it doesn't need to demo again !!!")</f>
        <v>How come the demonstrators ask for PPKM to be revoked, the government seems to be very scared?, Yes it has pulled it, the PPKM who really miserates the small people, so it doesn't need to demo again !!!</v>
      </c>
    </row>
    <row r="4512" ht="15.75" customHeight="1">
      <c r="A4512" s="2">
        <v>4514.0</v>
      </c>
      <c r="B4512" s="5" t="s">
        <v>8261</v>
      </c>
      <c r="C4512" s="6">
        <v>1.0</v>
      </c>
      <c r="D4512" s="7" t="s">
        <v>8262</v>
      </c>
      <c r="E4512" s="8" t="str">
        <f>IFERROR(__xludf.DUMMYFUNCTION("googletranslate(D4512,""id"",""en"")"),"PPKM slowly we die ... Pro pieces of the lives of the era of mukidi..smg Allah protects the Indonesian people from Kedzaliman their own exercises, Aamiin")</f>
        <v>PPKM slowly we die ... Pro pieces of the lives of the era of mukidi..smg Allah protects the Indonesian people from Kedzaliman their own exercises, Aamiin</v>
      </c>
    </row>
    <row r="4513" ht="15.75" customHeight="1">
      <c r="A4513" s="2">
        <v>4515.0</v>
      </c>
      <c r="B4513" s="5" t="s">
        <v>8263</v>
      </c>
      <c r="C4513" s="6">
        <v>2.0</v>
      </c>
      <c r="D4513" s="7" t="s">
        <v>8264</v>
      </c>
      <c r="E4513" s="8" t="str">
        <f>IFERROR(__xludf.DUMMYFUNCTION("googletranslate(D4513,""id"",""en"")"),"PPKM, then.a Staycation")</f>
        <v>PPKM, then.a Staycation</v>
      </c>
    </row>
    <row r="4514" ht="15.75" customHeight="1">
      <c r="A4514" s="2">
        <v>4516.0</v>
      </c>
      <c r="B4514" s="5" t="s">
        <v>8265</v>
      </c>
      <c r="C4514" s="6">
        <v>2.0</v>
      </c>
      <c r="D4514" s="7" t="s">
        <v>8266</v>
      </c>
      <c r="E4514" s="8" t="str">
        <f>IFERROR(__xludf.DUMMYFUNCTION("googletranslate(D4514,""id"",""en"")"),"wkwkw masi ppkm")</f>
        <v>wkwkw masi ppkm</v>
      </c>
    </row>
    <row r="4515" ht="15.75" customHeight="1">
      <c r="A4515" s="2">
        <v>4517.0</v>
      </c>
      <c r="B4515" s="5" t="s">
        <v>8267</v>
      </c>
      <c r="C4515" s="6">
        <v>1.0</v>
      </c>
      <c r="D4515" s="9" t="s">
        <v>8268</v>
      </c>
      <c r="E4515" s="8" t="str">
        <f>IFERROR(__xludf.DUMMYFUNCTION("googletranslate(D4515,""id"",""en"")"),"Day: A Nutshell: UK Scientists LG Collect Covid Data on the Open Event, and despite beginning to find new insights, it is still difficult because it likes late in collaboration with the EO and the government is rashable, it has not been completed eh, just"&amp;" ppkm.")</f>
        <v>Day: A Nutshell: UK Scientists LG Collect Covid Data on the Open Event, and despite beginning to find new insights, it is still difficult because it likes late in collaboration with the EO and the government is rashable, it has not been completed eh, just ppkm.</v>
      </c>
    </row>
    <row r="4516" ht="15.75" customHeight="1">
      <c r="A4516" s="2">
        <v>4518.0</v>
      </c>
      <c r="B4516" s="5" t="s">
        <v>8269</v>
      </c>
      <c r="C4516" s="6">
        <v>2.0</v>
      </c>
      <c r="D4516" s="7" t="s">
        <v>8270</v>
      </c>
      <c r="E4516" s="8" t="str">
        <f>IFERROR(__xludf.DUMMYFUNCTION("googletranslate(D4516,""id"",""en"")"),"Ppkm = Malay Village Football Union")</f>
        <v>Ppkm = Malay Village Football Union</v>
      </c>
    </row>
    <row r="4517" ht="15.75" customHeight="1">
      <c r="A4517" s="2">
        <v>4519.0</v>
      </c>
      <c r="B4517" s="5" t="s">
        <v>8271</v>
      </c>
      <c r="C4517" s="6">
        <v>2.0</v>
      </c>
      <c r="D4517" s="7" t="s">
        <v>8272</v>
      </c>
      <c r="E4517" s="8" t="str">
        <f>IFERROR(__xludf.DUMMYFUNCTION("googletranslate(D4517,""id"",""en"")"),"Otewe ppkm dragon level")</f>
        <v>Otewe ppkm dragon level</v>
      </c>
    </row>
    <row r="4518" ht="15.75" customHeight="1">
      <c r="A4518" s="2">
        <v>4520.0</v>
      </c>
      <c r="B4518" s="5" t="s">
        <v>8273</v>
      </c>
      <c r="C4518" s="6">
        <v>3.0</v>
      </c>
      <c r="D4518" s="7" t="s">
        <v>8274</v>
      </c>
      <c r="E4518" s="8" t="str">
        <f>IFERROR(__xludf.DUMMYFUNCTION("googletranslate(D4518,""id"",""en"")"),"Mantul, the PPKM performance has a positive impact on the investment climate. Starting there is a stretch of foreign investors borong our shares. .")</f>
        <v>Mantul, the PPKM performance has a positive impact on the investment climate. Starting there is a stretch of foreign investors borong our shares. .</v>
      </c>
    </row>
    <row r="4519" ht="15.75" customHeight="1">
      <c r="A4519" s="2">
        <v>4521.0</v>
      </c>
      <c r="B4519" s="5" t="s">
        <v>8275</v>
      </c>
      <c r="C4519" s="6">
        <v>2.0</v>
      </c>
      <c r="D4519" s="7" t="s">
        <v>8276</v>
      </c>
      <c r="E4519" s="8" t="str">
        <f>IFERROR(__xludf.DUMMYFUNCTION("googletranslate(D4519,""id"",""en"")"),"Jgn mas, ppkm haha")</f>
        <v>Jgn mas, ppkm haha</v>
      </c>
    </row>
    <row r="4520" ht="15.75" customHeight="1">
      <c r="A4520" s="2">
        <v>4522.0</v>
      </c>
      <c r="B4520" s="5" t="s">
        <v>8277</v>
      </c>
      <c r="C4520" s="6">
        <v>2.0</v>
      </c>
      <c r="D4520" s="7" t="s">
        <v>8278</v>
      </c>
      <c r="E4520" s="8" t="str">
        <f>IFERROR(__xludf.DUMMYFUNCTION("googletranslate(D4520,""id"",""en"")"),"Ppkm extended until you belong to me")</f>
        <v>Ppkm extended until you belong to me</v>
      </c>
    </row>
    <row r="4521" ht="15.75" customHeight="1">
      <c r="A4521" s="2">
        <v>4523.0</v>
      </c>
      <c r="B4521" s="5" t="s">
        <v>8279</v>
      </c>
      <c r="C4521" s="6">
        <v>2.0</v>
      </c>
      <c r="D4521" s="7" t="s">
        <v>8280</v>
      </c>
      <c r="E4521" s="8" t="str">
        <f>IFERROR(__xludf.DUMMYFUNCTION("googletranslate(D4521,""id"",""en"")"),"The statutes are changed. This is certainly easier. Just love, terms, psbb, ppkm, etc.")</f>
        <v>The statutes are changed. This is certainly easier. Just love, terms, psbb, ppkm, etc.</v>
      </c>
    </row>
    <row r="4522" ht="15.75" customHeight="1">
      <c r="A4522" s="2">
        <v>4524.0</v>
      </c>
      <c r="B4522" s="5" t="s">
        <v>8281</v>
      </c>
      <c r="C4522" s="6">
        <v>1.0</v>
      </c>
      <c r="D4522" s="7" t="s">
        <v>8282</v>
      </c>
      <c r="E4522" s="8" t="str">
        <f>IFERROR(__xludf.DUMMYFUNCTION("googletranslate(D4522,""id"",""en"")"),"The traders idlydly, when their pandemics have not rarely a buyer ... now the PPKM period is the crowd, which is rich in the grave of their stalls. His question is why they are closed?")</f>
        <v>The traders idlydly, when their pandemics have not rarely a buyer ... now the PPKM period is the crowd, which is rich in the grave of their stalls. His question is why they are closed?</v>
      </c>
    </row>
    <row r="4523" ht="15.75" customHeight="1">
      <c r="A4523" s="2">
        <v>4525.0</v>
      </c>
      <c r="B4523" s="5" t="s">
        <v>8283</v>
      </c>
      <c r="C4523" s="6">
        <v>2.0</v>
      </c>
      <c r="D4523" s="9" t="s">
        <v>8284</v>
      </c>
      <c r="E4523" s="8" t="str">
        <f>IFERROR(__xludf.DUMMYFUNCTION("googletranslate(D4523,""id"",""en"")"),"Ppkmpengen hug km.")</f>
        <v>Ppkmpengen hug km.</v>
      </c>
    </row>
    <row r="4524" ht="15.75" customHeight="1">
      <c r="A4524" s="2">
        <v>4526.0</v>
      </c>
      <c r="B4524" s="5" t="s">
        <v>8285</v>
      </c>
      <c r="C4524" s="6">
        <v>2.0</v>
      </c>
      <c r="D4524" s="9" t="s">
        <v>8286</v>
      </c>
      <c r="E4524" s="8" t="str">
        <f>IFERROR(__xludf.DUMMYFUNCTION("googletranslate(D4524,""id"",""en"")"),"Beegh rain tweet makes ... ppkm ... pgn hug you mbak")</f>
        <v>Beegh rain tweet makes ... ppkm ... pgn hug you mbak</v>
      </c>
    </row>
    <row r="4525" ht="15.75" customHeight="1">
      <c r="A4525" s="2">
        <v>4527.0</v>
      </c>
      <c r="B4525" s="5" t="s">
        <v>8287</v>
      </c>
      <c r="C4525" s="6">
        <v>3.0</v>
      </c>
      <c r="D4525" s="7" t="s">
        <v>8288</v>
      </c>
      <c r="E4525" s="8" t="str">
        <f>IFERROR(__xludf.DUMMYFUNCTION("googletranslate(D4525,""id"",""en"")"),"PPKM gives the opportunity to watch the serial soap opera of the love bond .'ngooookaaaayyyy.")</f>
        <v>PPKM gives the opportunity to watch the serial soap opera of the love bond .'ngooookaaaayyyy.</v>
      </c>
    </row>
    <row r="4526" ht="15.75" customHeight="1">
      <c r="A4526" s="2">
        <v>4528.0</v>
      </c>
      <c r="B4526" s="5" t="s">
        <v>8289</v>
      </c>
      <c r="C4526" s="6">
        <v>1.0</v>
      </c>
      <c r="D4526" s="7" t="s">
        <v>8290</v>
      </c>
      <c r="E4526" s="8" t="str">
        <f>IFERROR(__xludf.DUMMYFUNCTION("googletranslate(D4526,""id"",""en"")"),"Pjabat is good to calm down the PPKM period and watch soap operas at home. The small people are left to find a living to survive, and even then it collides with tight PPKM. The government does not provide compensation evenly in affected residents.")</f>
        <v>Pjabat is good to calm down the PPKM period and watch soap operas at home. The small people are left to find a living to survive, and even then it collides with tight PPKM. The government does not provide compensation evenly in affected residents.</v>
      </c>
    </row>
    <row r="4527" ht="15.75" customHeight="1">
      <c r="A4527" s="2">
        <v>4529.0</v>
      </c>
      <c r="B4527" s="5" t="s">
        <v>8291</v>
      </c>
      <c r="C4527" s="6">
        <v>1.0</v>
      </c>
      <c r="D4527" s="7" t="s">
        <v>8292</v>
      </c>
      <c r="E4527" s="8" t="str">
        <f>IFERROR(__xludf.DUMMYFUNCTION("googletranslate(D4527,""id"",""en"")"),"Year, more KPPS officers wafat. Year, more people died. While the PPKM enforcement made the people even more dying. Able and arrogant and arrogant for the people, but unable to feed the people.")</f>
        <v>Year, more KPPS officers wafat. Year, more people died. While the PPKM enforcement made the people even more dying. Able and arrogant and arrogant for the people, but unable to feed the people.</v>
      </c>
    </row>
    <row r="4528" ht="15.75" customHeight="1">
      <c r="A4528" s="2">
        <v>4530.0</v>
      </c>
      <c r="B4528" s="5" t="s">
        <v>8293</v>
      </c>
      <c r="C4528" s="6">
        <v>1.0</v>
      </c>
      <c r="D4528" s="9" t="s">
        <v>8294</v>
      </c>
      <c r="E4528" s="8" t="str">
        <f>IFERROR(__xludf.DUMMYFUNCTION("googletranslate(D4528,""id"",""en"")"),"People have no other choice to live, pressed.")</f>
        <v>People have no other choice to live, pressed.</v>
      </c>
    </row>
    <row r="4529" ht="15.75" customHeight="1">
      <c r="A4529" s="2">
        <v>4531.0</v>
      </c>
      <c r="B4529" s="5" t="s">
        <v>8295</v>
      </c>
      <c r="C4529" s="6">
        <v>1.0</v>
      </c>
      <c r="D4529" s="7" t="s">
        <v>8296</v>
      </c>
      <c r="E4529" s="8" t="str">
        <f>IFERROR(__xludf.DUMMYFUNCTION("googletranslate(D4529,""id"",""en"")"),"PPKM destroys all my economic plans! Press Semene Understanding PO Shelves?")</f>
        <v>PPKM destroys all my economic plans! Press Semene Understanding PO Shelves?</v>
      </c>
    </row>
    <row r="4530" ht="15.75" customHeight="1">
      <c r="A4530" s="2">
        <v>4532.0</v>
      </c>
      <c r="B4530" s="5" t="s">
        <v>8297</v>
      </c>
      <c r="C4530" s="6">
        <v>2.0</v>
      </c>
      <c r="D4530" s="7" t="s">
        <v>8298</v>
      </c>
      <c r="E4530" s="8" t="str">
        <f>IFERROR(__xludf.DUMMYFUNCTION("googletranslate(D4530,""id"",""en"")"),"Instead of Masi PPKM.")</f>
        <v>Instead of Masi PPKM.</v>
      </c>
    </row>
    <row r="4531" ht="15.75" customHeight="1">
      <c r="A4531" s="2">
        <v>4533.0</v>
      </c>
      <c r="B4531" s="5" t="s">
        <v>8299</v>
      </c>
      <c r="C4531" s="6">
        <v>3.0</v>
      </c>
      <c r="D4531" s="9" t="s">
        <v>8300</v>
      </c>
      <c r="E4531" s="8" t="str">
        <f>IFERROR(__xludf.DUMMYFUNCTION("googletranslate(D4531,""id"",""en"")"),"I'm on my friend. During the PPKM he said the pregnancy rate increased. Then I bilg it's good news ... Klu needs to be able to improve.")</f>
        <v>I'm on my friend. During the PPKM he said the pregnancy rate increased. Then I bilg it's good news ... Klu needs to be able to improve.</v>
      </c>
    </row>
    <row r="4532" ht="15.75" customHeight="1">
      <c r="A4532" s="2">
        <v>4534.0</v>
      </c>
      <c r="B4532" s="5" t="s">
        <v>8301</v>
      </c>
      <c r="C4532" s="6">
        <v>1.0</v>
      </c>
      <c r="D4532" s="7" t="s">
        <v>8302</v>
      </c>
      <c r="E4532" s="8" t="str">
        <f>IFERROR(__xludf.DUMMYFUNCTION("googletranslate(D4532,""id"",""en"")"),"PPKM gives me the opportunity to watch the soap opera of the behavior of Wakanda officials. Yasyik jg anyway. But the understanding of MRK TTG empathy is inappropriate. And this reflects the heart. The heart reflects the face aura. Bhitam &amp; amp; getting g"&amp;"osong.glek.")</f>
        <v>PPKM gives me the opportunity to watch the soap opera of the behavior of Wakanda officials. Yasyik jg anyway. But the understanding of MRK TTG empathy is inappropriate. And this reflects the heart. The heart reflects the face aura. Bhitam &amp; amp; getting gosong.glek.</v>
      </c>
    </row>
    <row r="4533" ht="15.75" customHeight="1">
      <c r="A4533" s="2">
        <v>4535.0</v>
      </c>
      <c r="B4533" s="5" t="s">
        <v>8303</v>
      </c>
      <c r="C4533" s="6">
        <v>1.0</v>
      </c>
      <c r="D4533" s="7" t="s">
        <v>8304</v>
      </c>
      <c r="E4533" s="8" t="str">
        <f>IFERROR(__xludf.DUMMYFUNCTION("googletranslate(D4533,""id"",""en"")"),"Kalao the government intends to destroy the people's economy, extend continues to PPKM")</f>
        <v>Kalao the government intends to destroy the people's economy, extend continues to PPKM</v>
      </c>
    </row>
    <row r="4534" ht="15.75" customHeight="1">
      <c r="A4534" s="2">
        <v>4536.0</v>
      </c>
      <c r="B4534" s="5" t="s">
        <v>8305</v>
      </c>
      <c r="C4534" s="6">
        <v>1.0</v>
      </c>
      <c r="D4534" s="7" t="s">
        <v>8306</v>
      </c>
      <c r="E4534" s="8" t="str">
        <f>IFERROR(__xludf.DUMMYFUNCTION("googletranslate(D4534,""id"",""en"")"),"Continuously against the people at the PPKM Chinese citizens free")</f>
        <v>Continuously against the people at the PPKM Chinese citizens free</v>
      </c>
    </row>
    <row r="4535" ht="15.75" customHeight="1">
      <c r="A4535" s="2">
        <v>4537.0</v>
      </c>
      <c r="B4535" s="5" t="s">
        <v>8307</v>
      </c>
      <c r="C4535" s="6">
        <v>2.0</v>
      </c>
      <c r="D4535" s="10" t="s">
        <v>8308</v>
      </c>
      <c r="E4535" s="8" t="str">
        <f>IFERROR(__xludf.DUMMYFUNCTION("googletranslate(D4535,""id"",""en"")"),"PPKM Trus.")</f>
        <v>PPKM Trus.</v>
      </c>
    </row>
    <row r="4536" ht="15.75" customHeight="1">
      <c r="A4536" s="2">
        <v>4538.0</v>
      </c>
      <c r="B4536" s="5" t="s">
        <v>8309</v>
      </c>
      <c r="C4536" s="6">
        <v>2.0</v>
      </c>
      <c r="D4536" s="7" t="s">
        <v>8310</v>
      </c>
      <c r="E4536" s="8" t="str">
        <f>IFERROR(__xludf.DUMMYFUNCTION("googletranslate(D4536,""id"",""en"")"),"Until when is PPKM?")</f>
        <v>Until when is PPKM?</v>
      </c>
    </row>
    <row r="4537" ht="15.75" customHeight="1">
      <c r="A4537" s="2">
        <v>4539.0</v>
      </c>
      <c r="B4537" s="5" t="s">
        <v>8311</v>
      </c>
      <c r="C4537" s="6">
        <v>2.0</v>
      </c>
      <c r="D4537" s="7" t="s">
        <v>8312</v>
      </c>
      <c r="E4537" s="8" t="str">
        <f>IFERROR(__xludf.DUMMYFUNCTION("googletranslate(D4537,""id"",""en"")"),"It's the most true applying to work as an official! Free no ppkm")</f>
        <v>It's the most true applying to work as an official! Free no ppkm</v>
      </c>
    </row>
    <row r="4538" ht="15.75" customHeight="1">
      <c r="A4538" s="2">
        <v>4540.0</v>
      </c>
      <c r="B4538" s="5" t="s">
        <v>8313</v>
      </c>
      <c r="C4538" s="6">
        <v>1.0</v>
      </c>
      <c r="D4538" s="7" t="s">
        <v>8314</v>
      </c>
      <c r="E4538" s="8" t="str">
        <f>IFERROR(__xludf.DUMMYFUNCTION("googletranslate(D4538,""id"",""en"")"),"Instead of PPKM, the government's program of the wishes of the community became a government program in the community in the community !!!")</f>
        <v>Instead of PPKM, the government's program of the wishes of the community became a government program in the community in the community !!!</v>
      </c>
    </row>
    <row r="4539" ht="15.75" customHeight="1">
      <c r="A4539" s="2">
        <v>4541.0</v>
      </c>
      <c r="B4539" s="5" t="s">
        <v>8315</v>
      </c>
      <c r="C4539" s="6">
        <v>1.0</v>
      </c>
      <c r="D4539" s="7" t="s">
        <v>8316</v>
      </c>
      <c r="E4539" s="8" t="str">
        <f>IFERROR(__xludf.DUMMYFUNCTION("googletranslate(D4539,""id"",""en"")"),"Even though during this PPKM there are many events that intersect with the law. Why don't you give a concern, something like that? In fact, concern, the legal incidence in the soap opera. Really tired of indo officials")</f>
        <v>Even though during this PPKM there are many events that intersect with the law. Why don't you give a concern, something like that? In fact, concern, the legal incidence in the soap opera. Really tired of indo officials</v>
      </c>
    </row>
    <row r="4540" ht="15.75" customHeight="1">
      <c r="A4540" s="2">
        <v>4542.0</v>
      </c>
      <c r="B4540" s="5" t="s">
        <v>8317</v>
      </c>
      <c r="C4540" s="6">
        <v>2.0</v>
      </c>
      <c r="D4540" s="7" t="s">
        <v>8318</v>
      </c>
      <c r="E4540" s="8" t="str">
        <f>IFERROR(__xludf.DUMMYFUNCTION("googletranslate(D4540,""id"",""en"")"),"IC Lahi no ppkm bang, g know covid also in the soap opera ...")</f>
        <v>IC Lahi no ppkm bang, g know covid also in the soap opera ...</v>
      </c>
    </row>
    <row r="4541" ht="15.75" customHeight="1">
      <c r="A4541" s="2">
        <v>4543.0</v>
      </c>
      <c r="B4541" s="5" t="s">
        <v>8319</v>
      </c>
      <c r="C4541" s="6">
        <v>3.0</v>
      </c>
      <c r="D4541" s="7" t="s">
        <v>8320</v>
      </c>
      <c r="E4541" s="8" t="str">
        <f>IFERROR(__xludf.DUMMYFUNCTION("googletranslate(D4541,""id"",""en"")"),"The TNI and Polri have taken persuasive steps in addressing PPKM in the field ... because each regulation will be carried out by officers in the field and only field people who can know how to run it so they can run according to the order")</f>
        <v>The TNI and Polri have taken persuasive steps in addressing PPKM in the field ... because each regulation will be carried out by officers in the field and only field people who can know how to run it so they can run according to the order</v>
      </c>
    </row>
    <row r="4542" ht="15.75" customHeight="1">
      <c r="A4542" s="2">
        <v>4544.0</v>
      </c>
      <c r="B4542" s="5" t="s">
        <v>8321</v>
      </c>
      <c r="C4542" s="6">
        <v>2.0</v>
      </c>
      <c r="D4542" s="7" t="s">
        <v>8322</v>
      </c>
      <c r="E4542" s="8" t="str">
        <f>IFERROR(__xludf.DUMMYFUNCTION("googletranslate(D4542,""id"",""en"")"),"wkwkwkkw ppkm not valid for the one again bucin")</f>
        <v>wkwkwkkw ppkm not valid for the one again bucin</v>
      </c>
    </row>
    <row r="4543" ht="15.75" customHeight="1">
      <c r="A4543" s="2">
        <v>4545.0</v>
      </c>
      <c r="B4543" s="5" t="s">
        <v>8323</v>
      </c>
      <c r="C4543" s="6">
        <v>1.0</v>
      </c>
      <c r="D4543" s="9" t="s">
        <v>8324</v>
      </c>
      <c r="E4543" s="8" t="str">
        <f>IFERROR(__xludf.DUMMYFUNCTION("googletranslate(D4543,""id"",""en"")"),"Told to prokes m gk want to, complain of ppkm but kl kl buy cigarettes, eat "", quota, hang out"", tok tajir dpn affair hooked applg klpokep kl broke up ""no pd complained right ?? gendeng loe"" in the behavior like that, as always as always D blng infide"&amp;"l by paradise key owners")</f>
        <v>Told to prokes m gk want to, complain of ppkm but kl kl buy cigarettes, eat ", quota, hang out", tok tajir dpn affair hooked applg klpokep kl broke up "no pd complained right ?? gendeng loe" in the behavior like that, as always as always D blng infidel by paradise key owners</v>
      </c>
    </row>
    <row r="4544" ht="15.75" customHeight="1">
      <c r="A4544" s="2">
        <v>4546.0</v>
      </c>
      <c r="B4544" s="5" t="s">
        <v>8325</v>
      </c>
      <c r="C4544" s="6">
        <v>1.0</v>
      </c>
      <c r="D4544" s="9" t="s">
        <v>8326</v>
      </c>
      <c r="E4544" s="8" t="str">
        <f>IFERROR(__xludf.DUMMYFUNCTION("googletranslate(D4544,""id"",""en"")"),"Free breaking ppkm ... sales can't then ngater2 may ...eaa")</f>
        <v>Free breaking ppkm ... sales can't then ngater2 may ...eaa</v>
      </c>
    </row>
    <row r="4545" ht="15.75" customHeight="1">
      <c r="A4545" s="2">
        <v>4547.0</v>
      </c>
      <c r="B4545" s="5" t="s">
        <v>8327</v>
      </c>
      <c r="C4545" s="6">
        <v>1.0</v>
      </c>
      <c r="D4545" s="9" t="s">
        <v>8328</v>
      </c>
      <c r="E4545" s="8" t="str">
        <f>IFERROR(__xludf.DUMMYFUNCTION("googletranslate(D4545,""id"",""en"")"),"if I jd officials who even with the PPKM salary and my allowance still flow smoothly, the marathon will also watch favorite shows, but it's not really posted in Medsos too, already knowing the state of the people is concerned about the empathy")</f>
        <v>if I jd officials who even with the PPKM salary and my allowance still flow smoothly, the marathon will also watch favorite shows, but it's not really posted in Medsos too, already knowing the state of the people is concerned about the empathy</v>
      </c>
    </row>
    <row r="4546" ht="15.75" customHeight="1">
      <c r="A4546" s="2">
        <v>4548.0</v>
      </c>
      <c r="B4546" s="5" t="s">
        <v>8329</v>
      </c>
      <c r="C4546" s="6">
        <v>2.0</v>
      </c>
      <c r="D4546" s="7" t="s">
        <v>8330</v>
      </c>
      <c r="E4546" s="8" t="str">
        <f>IFERROR(__xludf.DUMMYFUNCTION("googletranslate(D4546,""id"",""en"")"),"Hi Min I want to open an independent account, but it is processed online can you do it? Considering now I'm PPKM")</f>
        <v>Hi Min I want to open an independent account, but it is processed online can you do it? Considering now I'm PPKM</v>
      </c>
    </row>
    <row r="4547" ht="15.75" customHeight="1">
      <c r="A4547" s="2">
        <v>4549.0</v>
      </c>
      <c r="B4547" s="5" t="s">
        <v>8331</v>
      </c>
      <c r="C4547" s="6">
        <v>2.0</v>
      </c>
      <c r="D4547" s="7" t="s">
        <v>8332</v>
      </c>
      <c r="E4547" s="8" t="str">
        <f>IFERROR(__xludf.DUMMYFUNCTION("googletranslate(D4547,""id"",""en"")"),"It's not the problem of the PPKM")</f>
        <v>It's not the problem of the PPKM</v>
      </c>
    </row>
    <row r="4548" ht="15.75" customHeight="1">
      <c r="A4548" s="2">
        <v>4550.0</v>
      </c>
      <c r="B4548" s="5" t="s">
        <v>8333</v>
      </c>
      <c r="C4548" s="6">
        <v>1.0</v>
      </c>
      <c r="D4548" s="7" t="s">
        <v>8333</v>
      </c>
      <c r="E4548" s="8" t="str">
        <f>IFERROR(__xludf.DUMMYFUNCTION("googletranslate(D4548,""id"",""en"")"),"This is a Satpol-PP again ppkm, it's even a dog that isn't bone with his employer")</f>
        <v>This is a Satpol-PP again ppkm, it's even a dog that isn't bone with his employer</v>
      </c>
    </row>
    <row r="4549" ht="15.75" customHeight="1">
      <c r="A4549" s="2">
        <v>4551.0</v>
      </c>
      <c r="B4549" s="5" t="s">
        <v>8334</v>
      </c>
      <c r="C4549" s="6">
        <v>1.0</v>
      </c>
      <c r="D4549" s="7" t="s">
        <v>8335</v>
      </c>
      <c r="E4549" s="8" t="str">
        <f>IFERROR(__xludf.DUMMYFUNCTION("googletranslate(D4549,""id"",""en"")"),"The great teachers did not understand the reality in the field of Mr. Mr. Luhut, went down to the spaciousness, see the reality. With emergency ppkm maybe death because Covid will go down, but starving and death to think about installments will rise")</f>
        <v>The great teachers did not understand the reality in the field of Mr. Mr. Luhut, went down to the spaciousness, see the reality. With emergency ppkm maybe death because Covid will go down, but starving and death to think about installments will rise</v>
      </c>
    </row>
    <row r="4550" ht="15.75" customHeight="1">
      <c r="A4550" s="2">
        <v>4552.0</v>
      </c>
      <c r="B4550" s="5" t="s">
        <v>8336</v>
      </c>
      <c r="C4550" s="6">
        <v>1.0</v>
      </c>
      <c r="D4550" s="9" t="s">
        <v>8337</v>
      </c>
      <c r="E4550" s="8" t="str">
        <f>IFERROR(__xludf.DUMMYFUNCTION("googletranslate(D4550,""id"",""en"")"),"It's like the crowd of snakes, and the merchant is a headyakalo we want to kill snakes, yes you have to cut his head. Yes, so what they mean, I don't justify the PPKM is good for the whole community. It's bitter, my own food trader and must be closed, str"&amp;"essed")</f>
        <v>It's like the crowd of snakes, and the merchant is a headyakalo we want to kill snakes, yes you have to cut his head. Yes, so what they mean, I don't justify the PPKM is good for the whole community. It's bitter, my own food trader and must be closed, stressed</v>
      </c>
    </row>
    <row r="4551" ht="15.75" customHeight="1">
      <c r="A4551" s="2">
        <v>4553.0</v>
      </c>
      <c r="B4551" s="5" t="s">
        <v>8338</v>
      </c>
      <c r="C4551" s="6">
        <v>3.0</v>
      </c>
      <c r="D4551" s="9" t="s">
        <v>8339</v>
      </c>
      <c r="E4551" s="8" t="str">
        <f>IFERROR(__xludf.DUMMYFUNCTION("googletranslate(D4551,""id"",""en"")"),"Not aware of him. The important thing is to cut the salary, point")</f>
        <v>Not aware of him. The important thing is to cut the salary, point</v>
      </c>
    </row>
    <row r="4552" ht="15.75" customHeight="1">
      <c r="A4552" s="2">
        <v>4554.0</v>
      </c>
      <c r="B4552" s="5" t="s">
        <v>8340</v>
      </c>
      <c r="C4552" s="6">
        <v>1.0</v>
      </c>
      <c r="D4552" s="7" t="s">
        <v>8341</v>
      </c>
      <c r="E4552" s="8" t="str">
        <f>IFERROR(__xludf.DUMMYFUNCTION("googletranslate(D4552,""id"",""en"")"),"Examples of state officials who do not deserve to be imitated! He thought of soap operas when his people were hit by PPKM")</f>
        <v>Examples of state officials who do not deserve to be imitated! He thought of soap operas when his people were hit by PPKM</v>
      </c>
    </row>
    <row r="4553" ht="15.75" customHeight="1">
      <c r="A4553" s="2">
        <v>4555.0</v>
      </c>
      <c r="B4553" s="5" t="s">
        <v>8342</v>
      </c>
      <c r="C4553" s="6">
        <v>1.0</v>
      </c>
      <c r="D4553" s="7" t="s">
        <v>8343</v>
      </c>
      <c r="E4553" s="8" t="str">
        <f>IFERROR(__xludf.DUMMYFUNCTION("googletranslate(D4553,""id"",""en"")"),"Moreover, the PPKM situation is guaranteed more Bringas,")</f>
        <v>Moreover, the PPKM situation is guaranteed more Bringas,</v>
      </c>
    </row>
    <row r="4554" ht="15.75" customHeight="1">
      <c r="A4554" s="2">
        <v>4556.0</v>
      </c>
      <c r="B4554" s="5" t="s">
        <v>8344</v>
      </c>
      <c r="C4554" s="6">
        <v>2.0</v>
      </c>
      <c r="D4554" s="7" t="s">
        <v>8344</v>
      </c>
      <c r="E4554" s="8" t="str">
        <f>IFERROR(__xludf.DUMMYFUNCTION("googletranslate(D4554,""id"",""en"")"),"Ppkm = morning morning kok mules")</f>
        <v>Ppkm = morning morning kok mules</v>
      </c>
    </row>
    <row r="4555" ht="15.75" customHeight="1">
      <c r="A4555" s="2">
        <v>4557.0</v>
      </c>
      <c r="B4555" s="5" t="s">
        <v>8345</v>
      </c>
      <c r="C4555" s="6">
        <v>1.0</v>
      </c>
      <c r="D4555" s="9" t="s">
        <v>8346</v>
      </c>
      <c r="E4555" s="8" t="str">
        <f>IFERROR(__xludf.DUMMYFUNCTION("googletranslate(D4555,""id"",""en"")"),"Dear Mr. President, he said Pancasila prices die, then social justice for all people, where did it run, how come the coffee seller who made a living to survive, how come in a prison crime ""Langgar PPKM, Mr. Mah, it's easy to sit at home already get a sal"&amp;"ary")</f>
        <v>Dear Mr. President, he said Pancasila prices die, then social justice for all people, where did it run, how come the coffee seller who made a living to survive, how come in a prison crime "Langgar PPKM, Mr. Mah, it's easy to sit at home already get a salary</v>
      </c>
    </row>
    <row r="4556" ht="15.75" customHeight="1">
      <c r="A4556" s="2">
        <v>4558.0</v>
      </c>
      <c r="B4556" s="5" t="s">
        <v>8347</v>
      </c>
      <c r="C4556" s="6">
        <v>1.0</v>
      </c>
      <c r="D4556" s="7" t="s">
        <v>8348</v>
      </c>
      <c r="E4556" s="8" t="str">
        <f>IFERROR(__xludf.DUMMYFUNCTION("googletranslate(D4556,""id"",""en"")"),"In the morning I read the news, Covid's news was definitely more crowded, the minister who said Covid was controlled by uncontrollably, which selling coffee was imprisoned for violating PPKM, the KPK who took care of bansos corruption was sanctioned by et"&amp;"hics, haaaaaa took a breath")</f>
        <v>In the morning I read the news, Covid's news was definitely more crowded, the minister who said Covid was controlled by uncontrollably, which selling coffee was imprisoned for violating PPKM, the KPK who took care of bansos corruption was sanctioned by ethics, haaaaaa took a breath</v>
      </c>
    </row>
    <row r="4557" ht="15.75" customHeight="1">
      <c r="A4557" s="2">
        <v>4559.0</v>
      </c>
      <c r="B4557" s="5" t="s">
        <v>8349</v>
      </c>
      <c r="C4557" s="6">
        <v>1.0</v>
      </c>
      <c r="D4557" s="9" t="s">
        <v>8350</v>
      </c>
      <c r="E4557" s="8" t="str">
        <f>IFERROR(__xludf.DUMMYFUNCTION("googletranslate(D4557,""id"",""en"")"),"Sir, you may illustrate the hukm pehamaman from a Sintron. But does it deserve state officials writing things like this in this pandemic period? Your writing can be assumed that you are enjoying PPKM as a vacation. The small people outside San hungry pack"&amp;" ....")</f>
        <v>Sir, you may illustrate the hukm pehamaman from a Sintron. But does it deserve state officials writing things like this in this pandemic period? Your writing can be assumed that you are enjoying PPKM as a vacation. The small people outside San hungry pack ....</v>
      </c>
    </row>
    <row r="4558" ht="15.75" customHeight="1">
      <c r="A4558" s="2">
        <v>4560.0</v>
      </c>
      <c r="B4558" s="5" t="s">
        <v>8351</v>
      </c>
      <c r="C4558" s="6">
        <v>1.0</v>
      </c>
      <c r="D4558" s="7" t="s">
        <v>8352</v>
      </c>
      <c r="E4558" s="8" t="str">
        <f>IFERROR(__xludf.DUMMYFUNCTION("googletranslate(D4558,""id"",""en"")"),"A strange country, what is the difference between lock down with psbb and ppkm. Pede name but the function with Hokage appears")</f>
        <v>A strange country, what is the difference between lock down with psbb and ppkm. Pede name but the function with Hokage appears</v>
      </c>
    </row>
    <row r="4559" ht="15.75" customHeight="1">
      <c r="A4559" s="2">
        <v>4561.0</v>
      </c>
      <c r="B4559" s="5" t="s">
        <v>8353</v>
      </c>
      <c r="C4559" s="6">
        <v>1.0</v>
      </c>
      <c r="D4559" s="7" t="s">
        <v>8354</v>
      </c>
      <c r="E4559" s="8" t="str">
        <f>IFERROR(__xludf.DUMMYFUNCTION("googletranslate(D4559,""id"",""en"")"),"Officials can sit relaxed enjoy PPKM while watching soap operas, while it is at the end of another world of people hungry is difficult to eat a PPKM impact that doesn't think of his people's stomach")</f>
        <v>Officials can sit relaxed enjoy PPKM while watching soap operas, while it is at the end of another world of people hungry is difficult to eat a PPKM impact that doesn't think of his people's stomach</v>
      </c>
    </row>
    <row r="4560" ht="15.75" customHeight="1">
      <c r="A4560" s="2">
        <v>4562.0</v>
      </c>
      <c r="B4560" s="5" t="s">
        <v>8355</v>
      </c>
      <c r="C4560" s="6">
        <v>3.0</v>
      </c>
      <c r="D4560" s="7" t="s">
        <v>8356</v>
      </c>
      <c r="E4560" s="8" t="str">
        <f>IFERROR(__xludf.DUMMYFUNCTION("googletranslate(D4560,""id"",""en"")"),"Cat of Prokes and PPKM Press the spread of Covid-19")</f>
        <v>Cat of Prokes and PPKM Press the spread of Covid-19</v>
      </c>
    </row>
    <row r="4561" ht="15.75" customHeight="1">
      <c r="A4561" s="2">
        <v>4563.0</v>
      </c>
      <c r="B4561" s="5" t="s">
        <v>8357</v>
      </c>
      <c r="C4561" s="6">
        <v>1.0</v>
      </c>
      <c r="D4561" s="10" t="s">
        <v>8358</v>
      </c>
      <c r="E4561" s="8" t="str">
        <f>IFERROR(__xludf.DUMMYFUNCTION("googletranslate(D4561,""id"",""en"")"),"PPKM BANGKE.")</f>
        <v>PPKM BANGKE.</v>
      </c>
    </row>
    <row r="4562" ht="15.75" customHeight="1">
      <c r="A4562" s="2">
        <v>4564.0</v>
      </c>
      <c r="B4562" s="5" t="s">
        <v>8359</v>
      </c>
      <c r="C4562" s="6">
        <v>1.0</v>
      </c>
      <c r="D4562" s="7" t="s">
        <v>8360</v>
      </c>
      <c r="E4562" s="8" t="str">
        <f>IFERROR(__xludf.DUMMYFUNCTION("googletranslate(D4562,""id"",""en"")"),"PPKM gives a chance to watch the news series of the pandemic bond. Serem also, even though the policy also mutered.")</f>
        <v>PPKM gives a chance to watch the news series of the pandemic bond. Serem also, even though the policy also mutered.</v>
      </c>
    </row>
    <row r="4563" ht="15.75" customHeight="1">
      <c r="A4563" s="2">
        <v>4565.0</v>
      </c>
      <c r="B4563" s="5" t="s">
        <v>8361</v>
      </c>
      <c r="C4563" s="6">
        <v>1.0</v>
      </c>
      <c r="D4563" s="7" t="s">
        <v>8362</v>
      </c>
      <c r="E4563" s="8" t="str">
        <f>IFERROR(__xludf.DUMMYFUNCTION("googletranslate(D4563,""id"",""en"")"),"Lah, so yesterday the Emergency PPKM decision did not involve an epidemic expert?")</f>
        <v>Lah, so yesterday the Emergency PPKM decision did not involve an epidemic expert?</v>
      </c>
    </row>
    <row r="4564" ht="15.75" customHeight="1">
      <c r="A4564" s="2">
        <v>4566.0</v>
      </c>
      <c r="B4564" s="5" t="s">
        <v>8363</v>
      </c>
      <c r="C4564" s="6">
        <v>1.0</v>
      </c>
      <c r="D4564" s="7" t="s">
        <v>8364</v>
      </c>
      <c r="E4564" s="8" t="str">
        <f>IFERROR(__xludf.DUMMYFUNCTION("googletranslate(D4564,""id"",""en"")"),"Really Sis, Direct Rs like fear and quickly told me, I don't know, after that they are free, I just via phone, bro, it's not really broken because the heart has been broken a word.")</f>
        <v>Really Sis, Direct Rs like fear and quickly told me, I don't know, after that they are free, I just via phone, bro, it's not really broken because the heart has been broken a word.</v>
      </c>
    </row>
    <row r="4565" ht="15.75" customHeight="1">
      <c r="A4565" s="2">
        <v>4567.0</v>
      </c>
      <c r="B4565" s="5" t="s">
        <v>8365</v>
      </c>
      <c r="C4565" s="6">
        <v>1.0</v>
      </c>
      <c r="D4565" s="9" t="s">
        <v>8366</v>
      </c>
      <c r="E4565" s="8" t="str">
        <f>IFERROR(__xludf.DUMMYFUNCTION("googletranslate(D4565,""id"",""en"")"),"Actually, according to the law, there are government obligations to cover their affected needs during quarantine? Often see the wild assumptions if the name is deliberately made to PPKM instead of using the name Lockdown to avoid the obligation to meet th"&amp;"e basic needs.")</f>
        <v>Actually, according to the law, there are government obligations to cover their affected needs during quarantine? Often see the wild assumptions if the name is deliberately made to PPKM instead of using the name Lockdown to avoid the obligation to meet the basic needs.</v>
      </c>
    </row>
    <row r="4566" ht="15.75" customHeight="1">
      <c r="A4566" s="2">
        <v>4568.0</v>
      </c>
      <c r="B4566" s="5" t="s">
        <v>8367</v>
      </c>
      <c r="C4566" s="6">
        <v>1.0</v>
      </c>
      <c r="D4566" s="9" t="s">
        <v>8367</v>
      </c>
      <c r="E4566" s="8" t="str">
        <f>IFERROR(__xludf.DUMMYFUNCTION("googletranslate(D4566,""id"",""en"")"),"Meanwhile ... People survive from PPKM.Gue survive from wanting to weaken with school kids gue.ciaaaaaaaatttttt")</f>
        <v>Meanwhile ... People survive from PPKM.Gue survive from wanting to weaken with school kids gue.ciaaaaaaaatttttt</v>
      </c>
    </row>
    <row r="4567" ht="15.75" customHeight="1">
      <c r="A4567" s="2">
        <v>4569.0</v>
      </c>
      <c r="B4567" s="5" t="s">
        <v>8368</v>
      </c>
      <c r="C4567" s="6">
        <v>1.0</v>
      </c>
      <c r="D4567" s="9" t="s">
        <v>8369</v>
      </c>
      <c r="E4567" s="8" t="str">
        <f>IFERROR(__xludf.DUMMYFUNCTION("googletranslate(D4567,""id"",""en"")"),"The monthly salary person supports only the PPKM extended, what is the daily salary? I got social assistance yet")</f>
        <v>The monthly salary person supports only the PPKM extended, what is the daily salary? I got social assistance yet</v>
      </c>
    </row>
    <row r="4568" ht="15.75" customHeight="1">
      <c r="A4568" s="2">
        <v>4570.0</v>
      </c>
      <c r="B4568" s="5" t="s">
        <v>8370</v>
      </c>
      <c r="C4568" s="6">
        <v>2.0</v>
      </c>
      <c r="D4568" s="7" t="s">
        <v>8371</v>
      </c>
      <c r="E4568" s="8" t="str">
        <f>IFERROR(__xludf.DUMMYFUNCTION("googletranslate(D4568,""id"",""en"")"),"The success of the UDHA PPKM is coming?")</f>
        <v>The success of the UDHA PPKM is coming?</v>
      </c>
    </row>
    <row r="4569" ht="15.75" customHeight="1">
      <c r="A4569" s="2">
        <v>4571.0</v>
      </c>
      <c r="B4569" s="5" t="s">
        <v>8372</v>
      </c>
      <c r="C4569" s="6">
        <v>3.0</v>
      </c>
      <c r="D4569" s="9" t="s">
        <v>8373</v>
      </c>
      <c r="E4569" s="8" t="str">
        <f>IFERROR(__xludf.DUMMYFUNCTION("googletranslate(D4569,""id"",""en"")"),"A lot of friends who invited discussions about PPKM, Covid, and all the verbs of Allah Sincere Aamiin")</f>
        <v>A lot of friends who invited discussions about PPKM, Covid, and all the verbs of Allah Sincere Aamiin</v>
      </c>
    </row>
    <row r="4570" ht="15.75" customHeight="1">
      <c r="A4570" s="2">
        <v>4572.0</v>
      </c>
      <c r="B4570" s="5" t="s">
        <v>8374</v>
      </c>
      <c r="C4570" s="6">
        <v>3.0</v>
      </c>
      <c r="D4570" s="7" t="s">
        <v>8375</v>
      </c>
      <c r="E4570" s="8" t="str">
        <f>IFERROR(__xludf.DUMMYFUNCTION("googletranslate(D4570,""id"",""en"")"),"Ppkm live this day is gaesyuhuuuuuuuuuu")</f>
        <v>Ppkm live this day is gaesyuhuuuuuuuuuu</v>
      </c>
    </row>
    <row r="4571" ht="15.75" customHeight="1">
      <c r="A4571" s="2">
        <v>4573.0</v>
      </c>
      <c r="B4571" s="5" t="s">
        <v>8376</v>
      </c>
      <c r="C4571" s="6">
        <v>1.0</v>
      </c>
      <c r="D4571" s="9" t="s">
        <v>8377</v>
      </c>
      <c r="E4571" s="8" t="str">
        <f>IFERROR(__xludf.DUMMYFUNCTION("googletranslate(D4571,""id"",""en"")"),"Logically, org not going to come to the place with a disease. This is the TKA from China flock to Indonesia even when it is emergency ppkm. The question: is there a veiled intention behind it?")</f>
        <v>Logically, org not going to come to the place with a disease. This is the TKA from China flock to Indonesia even when it is emergency ppkm. The question: is there a veiled intention behind it?</v>
      </c>
    </row>
    <row r="4572" ht="15.75" customHeight="1">
      <c r="A4572" s="2">
        <v>4574.0</v>
      </c>
      <c r="B4572" s="5" t="s">
        <v>8378</v>
      </c>
      <c r="C4572" s="6">
        <v>1.0</v>
      </c>
      <c r="D4572" s="9" t="s">
        <v>8379</v>
      </c>
      <c r="E4572" s="8" t="str">
        <f>IFERROR(__xludf.DUMMYFUNCTION("googletranslate(D4572,""id"",""en"")"),"Even though the payment of the SPP and SKS children must go on ... there is no ""PPKM cost of education"" .. Try it . May Allah SWT give fortune to all of us ...")</f>
        <v>Even though the payment of the SPP and SKS children must go on ... there is no "PPKM cost of education" .. Try it . May Allah SWT give fortune to all of us ...</v>
      </c>
    </row>
    <row r="4573" ht="15.75" customHeight="1">
      <c r="A4573" s="2">
        <v>4575.0</v>
      </c>
      <c r="B4573" s="5" t="s">
        <v>8380</v>
      </c>
      <c r="C4573" s="6">
        <v>2.0</v>
      </c>
      <c r="D4573" s="9" t="s">
        <v>8381</v>
      </c>
      <c r="E4573" s="8" t="str">
        <f>IFERROR(__xludf.DUMMYFUNCTION("googletranslate(D4573,""id"",""en"")"),"If the ppkm extended me to solo through where")</f>
        <v>If the ppkm extended me to solo through where</v>
      </c>
    </row>
    <row r="4574" ht="15.75" customHeight="1">
      <c r="A4574" s="2">
        <v>4576.0</v>
      </c>
      <c r="B4574" s="5" t="s">
        <v>8382</v>
      </c>
      <c r="C4574" s="6">
        <v>1.0</v>
      </c>
      <c r="D4574" s="7" t="s">
        <v>8383</v>
      </c>
      <c r="E4574" s="8" t="str">
        <f>IFERROR(__xludf.DUMMYFUNCTION("googletranslate(D4574,""id"",""en"")"),"It could be a relaxed father to watch soap operas at the time of the PPKM, the people of the people were unemployed, hungry, died ...")</f>
        <v>It could be a relaxed father to watch soap operas at the time of the PPKM, the people of the people were unemployed, hungry, died ...</v>
      </c>
    </row>
    <row r="4575" ht="15.75" customHeight="1">
      <c r="A4575" s="2">
        <v>4577.0</v>
      </c>
      <c r="B4575" s="5" t="s">
        <v>8384</v>
      </c>
      <c r="C4575" s="6">
        <v>2.0</v>
      </c>
      <c r="D4575" s="7" t="s">
        <v>8384</v>
      </c>
      <c r="E4575" s="8" t="str">
        <f>IFERROR(__xludf.DUMMYFUNCTION("googletranslate(D4575,""id"",""en"")"),"PPKM Morning Morning Kangen Marklee")</f>
        <v>PPKM Morning Morning Kangen Marklee</v>
      </c>
    </row>
    <row r="4576" ht="15.75" customHeight="1">
      <c r="A4576" s="2">
        <v>4578.0</v>
      </c>
      <c r="B4576" s="5" t="s">
        <v>8385</v>
      </c>
      <c r="C4576" s="6">
        <v>1.0</v>
      </c>
      <c r="D4576" s="9" t="s">
        <v>8385</v>
      </c>
      <c r="E4576" s="8" t="str">
        <f>IFERROR(__xludf.DUMMYFUNCTION("googletranslate(D4576,""id"",""en"")"),"They left the PPKM, but it always criticized the government for the number of Covid cases ...")</f>
        <v>They left the PPKM, but it always criticized the government for the number of Covid cases ...</v>
      </c>
    </row>
    <row r="4577" ht="15.75" customHeight="1">
      <c r="A4577" s="2">
        <v>4579.0</v>
      </c>
      <c r="B4577" s="5" t="s">
        <v>8386</v>
      </c>
      <c r="C4577" s="6">
        <v>2.0</v>
      </c>
      <c r="D4577" s="7" t="s">
        <v>8387</v>
      </c>
      <c r="E4577" s="8" t="str">
        <f>IFERROR(__xludf.DUMMYFUNCTION("googletranslate(D4577,""id"",""en"")"),"emng in Turkey is a PPKM too?")</f>
        <v>emng in Turkey is a PPKM too?</v>
      </c>
    </row>
    <row r="4578" ht="15.75" customHeight="1">
      <c r="A4578" s="2">
        <v>4580.0</v>
      </c>
      <c r="B4578" s="5" t="s">
        <v>8388</v>
      </c>
      <c r="C4578" s="6">
        <v>1.0</v>
      </c>
      <c r="D4578" s="7" t="s">
        <v>8389</v>
      </c>
      <c r="E4578" s="8" t="str">
        <f>IFERROR(__xludf.DUMMYFUNCTION("googletranslate(D4578,""id"",""en"")"),"It's delicious, sir, ppkm for the PPKM to contemplate soap operas, the small people contemplate the fate of their children how to eat and school with a difficult situation. Did anyone reflect on our fate of our little people?")</f>
        <v>It's delicious, sir, ppkm for the PPKM to contemplate soap operas, the small people contemplate the fate of their children how to eat and school with a difficult situation. Did anyone reflect on our fate of our little people?</v>
      </c>
    </row>
    <row r="4579" ht="15.75" customHeight="1">
      <c r="A4579" s="2">
        <v>4581.0</v>
      </c>
      <c r="B4579" s="5" t="s">
        <v>8390</v>
      </c>
      <c r="C4579" s="6">
        <v>1.0</v>
      </c>
      <c r="D4579" s="9" t="s">
        <v>8391</v>
      </c>
      <c r="E4579" s="8" t="str">
        <f>IFERROR(__xludf.DUMMYFUNCTION("googletranslate(D4579,""id"",""en"")"),"Without logistics, the people don't think logically: don't leave the PPKM slm house. And mutually change the term so that the people at home are just a concern for the Constitution, and Ujud to the Pinggan regime to the people: Do not want to remove funds"&amp;" for taxpayers.")</f>
        <v>Without logistics, the people don't think logically: don't leave the PPKM slm house. And mutually change the term so that the people at home are just a concern for the Constitution, and Ujud to the Pinggan regime to the people: Do not want to remove funds for taxpayers.</v>
      </c>
    </row>
    <row r="4580" ht="15.75" customHeight="1">
      <c r="A4580" s="2">
        <v>4582.0</v>
      </c>
      <c r="B4580" s="5" t="s">
        <v>8392</v>
      </c>
      <c r="C4580" s="6">
        <v>2.0</v>
      </c>
      <c r="D4580" s="7" t="s">
        <v>8393</v>
      </c>
      <c r="E4580" s="8" t="str">
        <f>IFERROR(__xludf.DUMMYFUNCTION("googletranslate(D4580,""id"",""en"")"),"My PPKM slowly let me miss you")</f>
        <v>My PPKM slowly let me miss you</v>
      </c>
    </row>
    <row r="4581" ht="15.75" customHeight="1">
      <c r="A4581" s="2">
        <v>4583.0</v>
      </c>
      <c r="B4581" s="5" t="s">
        <v>8394</v>
      </c>
      <c r="C4581" s="6">
        <v>1.0</v>
      </c>
      <c r="D4581" s="7" t="s">
        <v>8395</v>
      </c>
      <c r="E4581" s="8" t="str">
        <f>IFERROR(__xludf.DUMMYFUNCTION("googletranslate(D4581,""id"",""en"")"),"It turns out that the pandemic is handled properly, the proof is that the minister is again relaxed to enjoy PPKM, tragic")</f>
        <v>It turns out that the pandemic is handled properly, the proof is that the minister is again relaxed to enjoy PPKM, tragic</v>
      </c>
    </row>
    <row r="4582" ht="15.75" customHeight="1">
      <c r="A4582" s="2">
        <v>4584.0</v>
      </c>
      <c r="B4582" s="5" t="s">
        <v>8396</v>
      </c>
      <c r="C4582" s="6">
        <v>2.0</v>
      </c>
      <c r="D4582" s="9" t="s">
        <v>8397</v>
      </c>
      <c r="E4582" s="8" t="str">
        <f>IFERROR(__xludf.DUMMYFUNCTION("googletranslate(D4582,""id"",""en"")"),"I use it, GB thousand .30GB for a month every month GB GB a month. The GB is fast after the usage is also especially more ppkm, right. Usually, if it works, this quota is durable. But I want to change the unlimited quota of twitter gt no?")</f>
        <v>I use it, GB thousand .30GB for a month every month GB GB a month. The GB is fast after the usage is also especially more ppkm, right. Usually, if it works, this quota is durable. But I want to change the unlimited quota of twitter gt no?</v>
      </c>
    </row>
    <row r="4583" ht="15.75" customHeight="1">
      <c r="A4583" s="2">
        <v>4585.0</v>
      </c>
      <c r="B4583" s="5" t="s">
        <v>8398</v>
      </c>
      <c r="C4583" s="6">
        <v>1.0</v>
      </c>
      <c r="D4583" s="7" t="s">
        <v>8399</v>
      </c>
      <c r="E4583" s="8" t="str">
        <f>IFERROR(__xludf.DUMMYFUNCTION("googletranslate(D4583,""id"",""en"")"),"No all of the people who responded to the emergency ppkm with casualties, such as the Pjabat and BUMN employees. In the real world the small people were struggling between survival or death")</f>
        <v>No all of the people who responded to the emergency ppkm with casualties, such as the Pjabat and BUMN employees. In the real world the small people were struggling between survival or death</v>
      </c>
    </row>
    <row r="4584" ht="15.75" customHeight="1">
      <c r="A4584" s="2">
        <v>4586.0</v>
      </c>
      <c r="B4584" s="5" t="s">
        <v>8400</v>
      </c>
      <c r="C4584" s="6">
        <v>2.0</v>
      </c>
      <c r="D4584" s="7" t="s">
        <v>8401</v>
      </c>
      <c r="E4584" s="8" t="str">
        <f>IFERROR(__xludf.DUMMYFUNCTION("googletranslate(D4584,""id"",""en"")"),"ppkm.pengen boyfriend Kim Mingyu")</f>
        <v>ppkm.pengen boyfriend Kim Mingyu</v>
      </c>
    </row>
    <row r="4585" ht="15.75" customHeight="1">
      <c r="A4585" s="2">
        <v>4587.0</v>
      </c>
      <c r="B4585" s="5" t="s">
        <v>8402</v>
      </c>
      <c r="C4585" s="6">
        <v>2.0</v>
      </c>
      <c r="D4585" s="9" t="s">
        <v>8403</v>
      </c>
      <c r="E4585" s="8" t="str">
        <f>IFERROR(__xludf.DUMMYFUNCTION("googletranslate(D4585,""id"",""en"")"),"ppkm mas, don't wander night.")</f>
        <v>ppkm mas, don't wander night.</v>
      </c>
    </row>
    <row r="4586" ht="15.75" customHeight="1">
      <c r="A4586" s="2">
        <v>4588.0</v>
      </c>
      <c r="B4586" s="5" t="s">
        <v>8404</v>
      </c>
      <c r="C4586" s="6">
        <v>2.0</v>
      </c>
      <c r="D4586" s="10" t="s">
        <v>8405</v>
      </c>
      <c r="E4586" s="8" t="str">
        <f>IFERROR(__xludf.DUMMYFUNCTION("googletranslate(D4586,""id"",""en"")"),"PPKM Curr.")</f>
        <v>PPKM Curr.</v>
      </c>
    </row>
    <row r="4587" ht="15.75" customHeight="1">
      <c r="A4587" s="2">
        <v>4589.0</v>
      </c>
      <c r="B4587" s="5" t="s">
        <v>8406</v>
      </c>
      <c r="C4587" s="6">
        <v>2.0</v>
      </c>
      <c r="D4587" s="7" t="s">
        <v>8407</v>
      </c>
      <c r="E4587" s="8" t="str">
        <f>IFERROR(__xludf.DUMMYFUNCTION("googletranslate(D4587,""id"",""en"")"),"On the morning to avoid PPKM, just YHA. Hmmm.")</f>
        <v>On the morning to avoid PPKM, just YHA. Hmmm.</v>
      </c>
    </row>
    <row r="4588" ht="15.75" customHeight="1">
      <c r="A4588" s="2">
        <v>4590.0</v>
      </c>
      <c r="B4588" s="5" t="s">
        <v>8408</v>
      </c>
      <c r="C4588" s="6">
        <v>1.0</v>
      </c>
      <c r="D4588" s="7" t="s">
        <v>8409</v>
      </c>
      <c r="E4588" s="8" t="str">
        <f>IFERROR(__xludf.DUMMYFUNCTION("googletranslate(D4588,""id"",""en"")"),"The rules of the Quarantine UUD are so friends, if an area in quarantine, the food needs and needs of livestock are the responsibility of the central government. yes, it's a daily worker if it doesn't work, you don't eat how it fate if PPKM is not guarant"&amp;"eed")</f>
        <v>The rules of the Quarantine UUD are so friends, if an area in quarantine, the food needs and needs of livestock are the responsibility of the central government. yes, it's a daily worker if it doesn't work, you don't eat how it fate if PPKM is not guaranteed</v>
      </c>
    </row>
    <row r="4589" ht="15.75" customHeight="1">
      <c r="A4589" s="2">
        <v>4591.0</v>
      </c>
      <c r="B4589" s="5" t="s">
        <v>8410</v>
      </c>
      <c r="C4589" s="6">
        <v>2.0</v>
      </c>
      <c r="D4589" s="7" t="s">
        <v>8411</v>
      </c>
      <c r="E4589" s="8" t="str">
        <f>IFERROR(__xludf.DUMMYFUNCTION("googletranslate(D4589,""id"",""en"")"),"Satpol PP at PPKMisa became a Satpol PP PPKM")</f>
        <v>Satpol PP at PPKMisa became a Satpol PP PPKM</v>
      </c>
    </row>
    <row r="4590" ht="15.75" customHeight="1">
      <c r="A4590" s="2">
        <v>4592.0</v>
      </c>
      <c r="B4590" s="5" t="s">
        <v>8412</v>
      </c>
      <c r="C4590" s="6">
        <v>2.0</v>
      </c>
      <c r="D4590" s="7" t="s">
        <v>8413</v>
      </c>
      <c r="E4590" s="8" t="str">
        <f>IFERROR(__xludf.DUMMYFUNCTION("googletranslate(D4590,""id"",""en"")"),"It's good if you want to apply the PPKM from the officers to gave a well warning to say it politely. Sorry, the mother of the Father disturbed the time we were in charge of implementing the PPKM in I letter of assignment. The time has run out ... we give "&amp;"you / 10 minutes to close.")</f>
        <v>It's good if you want to apply the PPKM from the officers to gave a well warning to say it politely. Sorry, the mother of the Father disturbed the time we were in charge of implementing the PPKM in I letter of assignment. The time has run out ... we give you / 10 minutes to close.</v>
      </c>
    </row>
    <row r="4591" ht="15.75" customHeight="1">
      <c r="A4591" s="2">
        <v>4593.0</v>
      </c>
      <c r="B4591" s="5" t="s">
        <v>8414</v>
      </c>
      <c r="C4591" s="6">
        <v>1.0</v>
      </c>
      <c r="D4591" s="9" t="s">
        <v>8415</v>
      </c>
      <c r="E4591" s="8" t="str">
        <f>IFERROR(__xludf.DUMMYFUNCTION("googletranslate(D4591,""id"",""en"")"),"Even though I supported Anies, but the news of the presidential &amp; amp; Politics in the PPKM time, it doesn't need to be updated, it's not important &amp; amp; Not ethical, let alone still long, yes if Indonesia is still there.")</f>
        <v>Even though I supported Anies, but the news of the presidential &amp; amp; Politics in the PPKM time, it doesn't need to be updated, it's not important &amp; amp; Not ethical, let alone still long, yes if Indonesia is still there.</v>
      </c>
    </row>
    <row r="4592" ht="15.75" customHeight="1">
      <c r="A4592" s="2">
        <v>4594.0</v>
      </c>
      <c r="B4592" s="5" t="s">
        <v>8416</v>
      </c>
      <c r="C4592" s="6">
        <v>2.0</v>
      </c>
      <c r="D4592" s="9" t="s">
        <v>8417</v>
      </c>
      <c r="E4592" s="8" t="str">
        <f>IFERROR(__xludf.DUMMYFUNCTION("googletranslate(D4592,""id"",""en"")"),"Hi good morning Mimin and announcer. Gamau is min masi ppkm gini haha. Want to request the beautiful painted song - Rizky Febian, Ziva Magnolya. Puterin yaa hehe, thankyou")</f>
        <v>Hi good morning Mimin and announcer. Gamau is min masi ppkm gini haha. Want to request the beautiful painted song - Rizky Febian, Ziva Magnolya. Puterin yaa hehe, thankyou</v>
      </c>
    </row>
    <row r="4593" ht="15.75" customHeight="1">
      <c r="A4593" s="2">
        <v>4595.0</v>
      </c>
      <c r="B4593" s="5" t="s">
        <v>8418</v>
      </c>
      <c r="C4593" s="6">
        <v>1.0</v>
      </c>
      <c r="D4593" s="9" t="s">
        <v>8418</v>
      </c>
      <c r="E4593" s="8" t="str">
        <f>IFERROR(__xludf.DUMMYFUNCTION("googletranslate(D4593,""id"",""en"")"),"Alhamdulillah until now, I still belong to a very lucky group. But try imagining our other friends, who can't work and can't find money because of this PPKM? Want to eat what they are?")</f>
        <v>Alhamdulillah until now, I still belong to a very lucky group. But try imagining our other friends, who can't work and can't find money because of this PPKM? Want to eat what they are?</v>
      </c>
    </row>
    <row r="4594" ht="15.75" customHeight="1">
      <c r="A4594" s="2">
        <v>4596.0</v>
      </c>
      <c r="B4594" s="5" t="s">
        <v>8419</v>
      </c>
      <c r="C4594" s="6">
        <v>3.0</v>
      </c>
      <c r="D4594" s="7" t="s">
        <v>8420</v>
      </c>
      <c r="E4594" s="8" t="str">
        <f>IFERROR(__xludf.DUMMYFUNCTION("googletranslate(D4594,""id"",""en"")"),"Since PPKM. The activity at home, washing clothes, ironing, cleaning plants, the black is rarely washed.")</f>
        <v>Since PPKM. The activity at home, washing clothes, ironing, cleaning plants, the black is rarely washed.</v>
      </c>
    </row>
    <row r="4595" ht="15.75" customHeight="1">
      <c r="A4595" s="2">
        <v>4597.0</v>
      </c>
      <c r="B4595" s="5" t="s">
        <v>8421</v>
      </c>
      <c r="C4595" s="6">
        <v>1.0</v>
      </c>
      <c r="D4595" s="9" t="s">
        <v>8422</v>
      </c>
      <c r="E4595" s="8" t="str">
        <f>IFERROR(__xludf.DUMMYFUNCTION("googletranslate(D4595,""id"",""en"")"),"right sir ... the affected residents will obey if their daily needs are fulfilled, like me a day minimum to eat with a family need rb..klu multiplied a month jt..blm other costs pay electricity and water..lha already ppkm , GK given help, clearly rebellio"&amp;"us ...")</f>
        <v>right sir ... the affected residents will obey if their daily needs are fulfilled, like me a day minimum to eat with a family need rb..klu multiplied a month jt..blm other costs pay electricity and water..lha already ppkm , GK given help, clearly rebellious ...</v>
      </c>
    </row>
    <row r="4596" ht="15.75" customHeight="1">
      <c r="A4596" s="2">
        <v>4598.0</v>
      </c>
      <c r="B4596" s="5" t="s">
        <v>8423</v>
      </c>
      <c r="C4596" s="6">
        <v>1.0</v>
      </c>
      <c r="D4596" s="7" t="s">
        <v>8424</v>
      </c>
      <c r="E4596" s="8" t="str">
        <f>IFERROR(__xludf.DUMMYFUNCTION("googletranslate(D4596,""id"",""en"")"),"The ppkm mah people sir, Mr. mah tetep work")</f>
        <v>The ppkm mah people sir, Mr. mah tetep work</v>
      </c>
    </row>
    <row r="4597" ht="15.75" customHeight="1">
      <c r="A4597" s="2">
        <v>4599.0</v>
      </c>
      <c r="B4597" s="5" t="s">
        <v>8425</v>
      </c>
      <c r="C4597" s="6">
        <v>2.0</v>
      </c>
      <c r="D4597" s="7" t="s">
        <v>8425</v>
      </c>
      <c r="E4597" s="8" t="str">
        <f>IFERROR(__xludf.DUMMYFUNCTION("googletranslate(D4597,""id"",""en"")"),"PPKM: Decide your girlfriend back to love me")</f>
        <v>PPKM: Decide your girlfriend back to love me</v>
      </c>
    </row>
    <row r="4598" ht="15.75" customHeight="1">
      <c r="A4598" s="2">
        <v>4600.0</v>
      </c>
      <c r="B4598" s="5" t="s">
        <v>8426</v>
      </c>
      <c r="C4598" s="6">
        <v>1.0</v>
      </c>
      <c r="D4598" s="9" t="s">
        <v>8427</v>
      </c>
      <c r="E4598" s="8" t="str">
        <f>IFERROR(__xludf.DUMMYFUNCTION("googletranslate(D4598,""id"",""en"")"),"It should be if the PPKM gini its citizens are guaranteed to need the main needs, but the one who hate can be corrupted, very outrageous")</f>
        <v>It should be if the PPKM gini its citizens are guaranteed to need the main needs, but the one who hate can be corrupted, very outrageous</v>
      </c>
    </row>
    <row r="4599" ht="15.75" customHeight="1">
      <c r="A4599" s="2">
        <v>4601.0</v>
      </c>
      <c r="B4599" s="5" t="s">
        <v>8428</v>
      </c>
      <c r="C4599" s="6">
        <v>1.0</v>
      </c>
      <c r="D4599" s="7" t="s">
        <v>8429</v>
      </c>
      <c r="E4599" s="8" t="str">
        <f>IFERROR(__xludf.DUMMYFUNCTION("googletranslate(D4599,""id"",""en"")"),"Ppkm = slowly we die")</f>
        <v>Ppkm = slowly we die</v>
      </c>
    </row>
    <row r="4600" ht="15.75" customHeight="1">
      <c r="A4600" s="2">
        <v>4602.0</v>
      </c>
      <c r="B4600" s="5" t="s">
        <v>8430</v>
      </c>
      <c r="C4600" s="6">
        <v>1.0</v>
      </c>
      <c r="D4600" s="7" t="s">
        <v>8431</v>
      </c>
      <c r="E4600" s="8" t="str">
        <f>IFERROR(__xludf.DUMMYFUNCTION("googletranslate(D4600,""id"",""en"")"),"Mahfud, since the many serial PPKM I watched, a hungry friend, a friend whose merchandise was confiscated, a pregnant woman who was hit by a Satpol PP, the mosque was closed, all only in PPKM, thank you PPKM")</f>
        <v>Mahfud, since the many serial PPKM I watched, a hungry friend, a friend whose merchandise was confiscated, a pregnant woman who was hit by a Satpol PP, the mosque was closed, all only in PPKM, thank you PPKM</v>
      </c>
    </row>
    <row r="4601" ht="15.75" customHeight="1">
      <c r="A4601" s="2">
        <v>4603.0</v>
      </c>
      <c r="B4601" s="5" t="s">
        <v>8432</v>
      </c>
      <c r="C4601" s="6">
        <v>1.0</v>
      </c>
      <c r="D4601" s="9" t="s">
        <v>8433</v>
      </c>
      <c r="E4601" s="8" t="str">
        <f>IFERROR(__xludf.DUMMYFUNCTION("googletranslate(D4601,""id"",""en"")"),"Mr. Guardian, how come the PPKM is blocking the road? Sorry for the essential sector workers must be confused looking for the route ... should be closed right, the center of the movement is not the movement ...")</f>
        <v>Mr. Guardian, how come the PPKM is blocking the road? Sorry for the essential sector workers must be confused looking for the route ... should be closed right, the center of the movement is not the movement ...</v>
      </c>
    </row>
    <row r="4602" ht="15.75" customHeight="1">
      <c r="A4602" s="2">
        <v>4604.0</v>
      </c>
      <c r="B4602" s="5" t="s">
        <v>8434</v>
      </c>
      <c r="C4602" s="6">
        <v>2.0</v>
      </c>
      <c r="D4602" s="7" t="s">
        <v>8435</v>
      </c>
      <c r="E4602" s="8" t="str">
        <f>IFERROR(__xludf.DUMMYFUNCTION("googletranslate(D4602,""id"",""en"")"),"Instead of making PPKM gini mending to overcome it's hoax in the community, endors deploy people's figures starting from Kyai, character2 warkop, thugs, mbak2 to cigarettes, for OPPO")</f>
        <v>Instead of making PPKM gini mending to overcome it's hoax in the community, endors deploy people's figures starting from Kyai, character2 warkop, thugs, mbak2 to cigarettes, for OPPO</v>
      </c>
    </row>
    <row r="4603" ht="15.75" customHeight="1">
      <c r="A4603" s="2">
        <v>4605.0</v>
      </c>
      <c r="B4603" s="5" t="s">
        <v>8436</v>
      </c>
      <c r="C4603" s="6">
        <v>1.0</v>
      </c>
      <c r="D4603" s="9" t="s">
        <v>8437</v>
      </c>
      <c r="E4603" s="8" t="str">
        <f>IFERROR(__xludf.DUMMYFUNCTION("googletranslate(D4603,""id"",""en"")"),"The super has a cramped PPKM Prokes. Area, many of us. Which must sweat - bleed first for a bite of rice. Don't just bacod !!!")</f>
        <v>The super has a cramped PPKM Prokes. Area, many of us. Which must sweat - bleed first for a bite of rice. Don't just bacod !!!</v>
      </c>
    </row>
    <row r="4604" ht="15.75" customHeight="1">
      <c r="A4604" s="2">
        <v>4606.0</v>
      </c>
      <c r="B4604" s="5" t="s">
        <v>8438</v>
      </c>
      <c r="C4604" s="6">
        <v>1.0</v>
      </c>
      <c r="D4604" s="9" t="s">
        <v>8438</v>
      </c>
      <c r="E4604" s="8" t="str">
        <f>IFERROR(__xludf.DUMMYFUNCTION("googletranslate(D4604,""id"",""en"")"),"PPKM, the people are assisted by given rice, then the people buy the side dishes using what? Not yet buy gas, dish soap too. Should I think of smpe there.")</f>
        <v>PPKM, the people are assisted by given rice, then the people buy the side dishes using what? Not yet buy gas, dish soap too. Should I think of smpe there.</v>
      </c>
    </row>
    <row r="4605" ht="15.75" customHeight="1">
      <c r="A4605" s="2">
        <v>4607.0</v>
      </c>
      <c r="B4605" s="5" t="s">
        <v>8439</v>
      </c>
      <c r="C4605" s="6">
        <v>1.0</v>
      </c>
      <c r="D4605" s="9" t="s">
        <v>8440</v>
      </c>
      <c r="E4605" s="8" t="str">
        <f>IFERROR(__xludf.DUMMYFUNCTION("googletranslate(D4605,""id"",""en"")"),"Emergency PPKM failed to prevent a spike of covid, to avoid the responsibility of the government by the people JK uses the term lockdown, let's help sir to find the next terms that can be used: 1. Nano2 ppkm. Ultra Emergency PPKM3. Partial Lockdown. .... "&amp;"5. ...")</f>
        <v>Emergency PPKM failed to prevent a spike of covid, to avoid the responsibility of the government by the people JK uses the term lockdown, let's help sir to find the next terms that can be used: 1. Nano2 ppkm. Ultra Emergency PPKM3. Partial Lockdown. .... 5. ...</v>
      </c>
    </row>
    <row r="4606" ht="15.75" customHeight="1">
      <c r="A4606" s="2">
        <v>4608.0</v>
      </c>
      <c r="B4606" s="5" t="s">
        <v>8441</v>
      </c>
      <c r="C4606" s="6">
        <v>2.0</v>
      </c>
      <c r="D4606" s="9" t="s">
        <v>8442</v>
      </c>
      <c r="E4606" s="8" t="str">
        <f>IFERROR(__xludf.DUMMYFUNCTION("googletranslate(D4606,""id"",""en"")"),"Siiip .. ppkm first")</f>
        <v>Siiip .. ppkm first</v>
      </c>
    </row>
    <row r="4607" ht="15.75" customHeight="1">
      <c r="A4607" s="2">
        <v>4609.0</v>
      </c>
      <c r="B4607" s="5" t="s">
        <v>8443</v>
      </c>
      <c r="C4607" s="6">
        <v>1.0</v>
      </c>
      <c r="D4607" s="7" t="s">
        <v>8444</v>
      </c>
      <c r="E4607" s="8" t="str">
        <f>IFERROR(__xludf.DUMMYFUNCTION("googletranslate(D4607,""id"",""en"")"),"GUP PPKM slowly we are poor")</f>
        <v>GUP PPKM slowly we are poor</v>
      </c>
    </row>
    <row r="4608" ht="15.75" customHeight="1">
      <c r="A4608" s="2">
        <v>4610.0</v>
      </c>
      <c r="B4608" s="5" t="s">
        <v>8445</v>
      </c>
      <c r="C4608" s="6">
        <v>3.0</v>
      </c>
      <c r="D4608" s="9" t="s">
        <v>8446</v>
      </c>
      <c r="E4608" s="8" t="str">
        <f>IFERROR(__xludf.DUMMYFUNCTION("googletranslate(D4608,""id"",""en"")"),"It doesn't feel like the day PPKM is complete, after the PPKM will replace biology ~")</f>
        <v>It doesn't feel like the day PPKM is complete, after the PPKM will replace biology ~</v>
      </c>
    </row>
    <row r="4609" ht="15.75" customHeight="1">
      <c r="A4609" s="2">
        <v>4611.0</v>
      </c>
      <c r="B4609" s="5" t="s">
        <v>8447</v>
      </c>
      <c r="C4609" s="6">
        <v>1.0</v>
      </c>
      <c r="D4609" s="7" t="s">
        <v>8448</v>
      </c>
      <c r="E4609" s="8" t="str">
        <f>IFERROR(__xludf.DUMMYFUNCTION("googletranslate(D4609,""id"",""en"")"),"Really sad read the news during this PPKM")</f>
        <v>Really sad read the news during this PPKM</v>
      </c>
    </row>
    <row r="4610" ht="15.75" customHeight="1">
      <c r="A4610" s="2">
        <v>4612.0</v>
      </c>
      <c r="B4610" s="5" t="s">
        <v>8449</v>
      </c>
      <c r="C4610" s="6">
        <v>2.0</v>
      </c>
      <c r="D4610" s="7" t="s">
        <v>8450</v>
      </c>
      <c r="E4610" s="8" t="str">
        <f>IFERROR(__xludf.DUMMYFUNCTION("googletranslate(D4610,""id"",""en"")"),"PPKM's violator was sanctioned")</f>
        <v>PPKM's violator was sanctioned</v>
      </c>
    </row>
    <row r="4611" ht="15.75" customHeight="1">
      <c r="A4611" s="2">
        <v>4613.0</v>
      </c>
      <c r="B4611" s="5" t="s">
        <v>8451</v>
      </c>
      <c r="C4611" s="6">
        <v>1.0</v>
      </c>
      <c r="D4611" s="9" t="s">
        <v>8452</v>
      </c>
      <c r="E4611" s="8" t="str">
        <f>IFERROR(__xludf.DUMMYFUNCTION("googletranslate(D4611,""id"",""en"")"),"Right again the ppkm how come this father even wandered ???")</f>
        <v>Right again the ppkm how come this father even wandered ???</v>
      </c>
    </row>
    <row r="4612" ht="15.75" customHeight="1">
      <c r="A4612" s="2">
        <v>4614.0</v>
      </c>
      <c r="B4612" s="5" t="s">
        <v>8453</v>
      </c>
      <c r="C4612" s="6">
        <v>2.0</v>
      </c>
      <c r="D4612" s="7" t="s">
        <v>8454</v>
      </c>
      <c r="E4612" s="8" t="str">
        <f>IFERROR(__xludf.DUMMYFUNCTION("googletranslate(D4612,""id"",""en"")"),"Hit PPKM. Ha ha ha")</f>
        <v>Hit PPKM. Ha ha ha</v>
      </c>
    </row>
    <row r="4613" ht="15.75" customHeight="1">
      <c r="A4613" s="2">
        <v>4615.0</v>
      </c>
      <c r="B4613" s="5" t="s">
        <v>8455</v>
      </c>
      <c r="C4613" s="6">
        <v>1.0</v>
      </c>
      <c r="D4613" s="9" t="s">
        <v>8456</v>
      </c>
      <c r="E4613" s="8" t="str">
        <f>IFERROR(__xludf.DUMMYFUNCTION("googletranslate(D4613,""id"",""en"")"),"Asked")</f>
        <v>Asked</v>
      </c>
    </row>
    <row r="4614" ht="15.75" customHeight="1">
      <c r="A4614" s="2">
        <v>4616.0</v>
      </c>
      <c r="B4614" s="5" t="s">
        <v>8457</v>
      </c>
      <c r="C4614" s="6">
        <v>2.0</v>
      </c>
      <c r="D4614" s="9" t="s">
        <v>8458</v>
      </c>
      <c r="E4614" s="8" t="str">
        <f>IFERROR(__xludf.DUMMYFUNCTION("googletranslate(D4614,""id"",""en"")"),"Children '21 at school I ngadin prom, but already from May. Before the PPKM has been made, and must swab first if you want to join.")</f>
        <v>Children '21 at school I ngadin prom, but already from May. Before the PPKM has been made, and must swab first if you want to join.</v>
      </c>
    </row>
    <row r="4615" ht="15.75" customHeight="1">
      <c r="A4615" s="2">
        <v>4617.0</v>
      </c>
      <c r="B4615" s="5" t="s">
        <v>8459</v>
      </c>
      <c r="C4615" s="6">
        <v>1.0</v>
      </c>
      <c r="D4615" s="9" t="s">
        <v>8460</v>
      </c>
      <c r="E4615" s="8" t="str">
        <f>IFERROR(__xludf.DUMMYFUNCTION("googletranslate(D4615,""id"",""en"")"),"Mengtolol, the person told by the PPKM at home, bro, Lu fly.")</f>
        <v>Mengtolol, the person told by the PPKM at home, bro, Lu fly.</v>
      </c>
    </row>
    <row r="4616" ht="15.75" customHeight="1">
      <c r="A4616" s="2">
        <v>4618.0</v>
      </c>
      <c r="B4616" s="5" t="s">
        <v>8461</v>
      </c>
      <c r="C4616" s="6">
        <v>1.0</v>
      </c>
      <c r="D4616" s="7" t="s">
        <v>8462</v>
      </c>
      <c r="E4616" s="8" t="str">
        <f>IFERROR(__xludf.DUMMYFUNCTION("googletranslate(D4616,""id"",""en"")"),"I confirmed the sincerity of handling Covid-19. Because you can watch soap operas when Emergency PPKM.")</f>
        <v>I confirmed the sincerity of handling Covid-19. Because you can watch soap operas when Emergency PPKM.</v>
      </c>
    </row>
    <row r="4617" ht="15.75" customHeight="1">
      <c r="A4617" s="2">
        <v>4619.0</v>
      </c>
      <c r="B4617" s="5" t="s">
        <v>8463</v>
      </c>
      <c r="C4617" s="6">
        <v>1.0</v>
      </c>
      <c r="D4617" s="7" t="s">
        <v>8464</v>
      </c>
      <c r="E4617" s="8" t="str">
        <f>IFERROR(__xludf.DUMMYFUNCTION("googletranslate(D4617,""id"",""en"")"),"Also call the invasion of Chinese TKA who came into Indon in the Emergency PPKM period ... Ehh it's not possible for Chinese idols")</f>
        <v>Also call the invasion of Chinese TKA who came into Indon in the Emergency PPKM period ... Ehh it's not possible for Chinese idols</v>
      </c>
    </row>
    <row r="4618" ht="15.75" customHeight="1">
      <c r="A4618" s="2">
        <v>4620.0</v>
      </c>
      <c r="B4618" s="5" t="s">
        <v>8465</v>
      </c>
      <c r="C4618" s="6">
        <v>1.0</v>
      </c>
      <c r="D4618" s="9" t="s">
        <v>8466</v>
      </c>
      <c r="E4618" s="8" t="str">
        <f>IFERROR(__xludf.DUMMYFUNCTION("googletranslate(D4618,""id"",""en"")"),"Releasing the PPKM decision should be supported by the budget for the effect, it is not reinforced by the arrogants in the field, finally the trust of the people will be weak")</f>
        <v>Releasing the PPKM decision should be supported by the budget for the effect, it is not reinforced by the arrogants in the field, finally the trust of the people will be weak</v>
      </c>
    </row>
    <row r="4619" ht="15.75" customHeight="1">
      <c r="A4619" s="2">
        <v>4621.0</v>
      </c>
      <c r="B4619" s="5" t="s">
        <v>8467</v>
      </c>
      <c r="C4619" s="6">
        <v>1.0</v>
      </c>
      <c r="D4619" s="7" t="s">
        <v>8468</v>
      </c>
      <c r="E4619" s="8" t="str">
        <f>IFERROR(__xludf.DUMMYFUNCTION("googletranslate(D4619,""id"",""en"")"),"State officials still have time to watch soap operas from thinking about the troubles of the people who were hit by PPKM ... Magic!")</f>
        <v>State officials still have time to watch soap operas from thinking about the troubles of the people who were hit by PPKM ... Magic!</v>
      </c>
    </row>
    <row r="4620" ht="15.75" customHeight="1">
      <c r="A4620" s="2">
        <v>4622.0</v>
      </c>
      <c r="B4620" s="5" t="s">
        <v>8469</v>
      </c>
      <c r="C4620" s="6">
        <v>2.0</v>
      </c>
      <c r="D4620" s="9" t="s">
        <v>8470</v>
      </c>
      <c r="E4620" s="8" t="str">
        <f>IFERROR(__xludf.DUMMYFUNCTION("googletranslate(D4620,""id"",""en"")"),"PPKM Mas Don't Wide Night.")</f>
        <v>PPKM Mas Don't Wide Night.</v>
      </c>
    </row>
    <row r="4621" ht="15.75" customHeight="1">
      <c r="A4621" s="2">
        <v>4623.0</v>
      </c>
      <c r="B4621" s="5" t="s">
        <v>8471</v>
      </c>
      <c r="C4621" s="6">
        <v>2.0</v>
      </c>
      <c r="D4621" s="7" t="s">
        <v>8472</v>
      </c>
      <c r="E4621" s="8" t="str">
        <f>IFERROR(__xludf.DUMMYFUNCTION("googletranslate(D4621,""id"",""en"")"),"Ppkm ... he said ...")</f>
        <v>Ppkm ... he said ...</v>
      </c>
    </row>
    <row r="4622" ht="15.75" customHeight="1">
      <c r="A4622" s="2">
        <v>4624.0</v>
      </c>
      <c r="B4622" s="5" t="s">
        <v>8473</v>
      </c>
      <c r="C4622" s="6">
        <v>2.0</v>
      </c>
      <c r="D4622" s="7" t="s">
        <v>8473</v>
      </c>
      <c r="E4622" s="8" t="str">
        <f>IFERROR(__xludf.DUMMYFUNCTION("googletranslate(D4622,""id"",""en"")"),"Good morning, what is the 14th day of the PPKM?")</f>
        <v>Good morning, what is the 14th day of the PPKM?</v>
      </c>
    </row>
    <row r="4623" ht="15.75" customHeight="1">
      <c r="A4623" s="2">
        <v>4625.0</v>
      </c>
      <c r="B4623" s="5" t="s">
        <v>8474</v>
      </c>
      <c r="C4623" s="6">
        <v>2.0</v>
      </c>
      <c r="D4623" s="7" t="s">
        <v>8474</v>
      </c>
      <c r="E4623" s="8" t="str">
        <f>IFERROR(__xludf.DUMMYFUNCTION("googletranslate(D4623,""id"",""en"")"),"PPKM gives the opportunity to watch the serial soap opera Jodoh the will of you .. fun, even though it's rather mutered. But the understanding of the story of the story is not right ... cook the father who has died ... Tiba2 lives again because of a black"&amp;" cat stepping over the body of the father ... strange right ...?")</f>
        <v>PPKM gives the opportunity to watch the serial soap opera Jodoh the will of you .. fun, even though it's rather mutered. But the understanding of the story of the story is not right ... cook the father who has died ... Tiba2 lives again because of a black cat stepping over the body of the father ... strange right ...?</v>
      </c>
    </row>
    <row r="4624" ht="15.75" customHeight="1">
      <c r="A4624" s="2">
        <v>4626.0</v>
      </c>
      <c r="B4624" s="5" t="s">
        <v>8475</v>
      </c>
      <c r="C4624" s="6">
        <v>1.0</v>
      </c>
      <c r="D4624" s="9" t="s">
        <v>8476</v>
      </c>
      <c r="E4624" s="8" t="str">
        <f>IFERROR(__xludf.DUMMYFUNCTION("googletranslate(D4624,""id"",""en"")"),"Here the term ppkm so it doesn't come out money to eat for the people right, sir? Gument. Elections don't want to lose but what just want it.")</f>
        <v>Here the term ppkm so it doesn't come out money to eat for the people right, sir? Gument. Elections don't want to lose but what just want it.</v>
      </c>
    </row>
    <row r="4625" ht="15.75" customHeight="1">
      <c r="A4625" s="2">
        <v>4627.0</v>
      </c>
      <c r="B4625" s="5" t="s">
        <v>8477</v>
      </c>
      <c r="C4625" s="6">
        <v>1.0</v>
      </c>
      <c r="D4625" s="9" t="s">
        <v>8478</v>
      </c>
      <c r="E4625" s="8" t="str">
        <f>IFERROR(__xludf.DUMMYFUNCTION("googletranslate(D4625,""id"",""en"")"),"Yes if the handle is just a PSBB, PPKM, is another Emergency PPKM, the virus has flew to the corners of the country,")</f>
        <v>Yes if the handle is just a PSBB, PPKM, is another Emergency PPKM, the virus has flew to the corners of the country,</v>
      </c>
    </row>
    <row r="4626" ht="15.75" customHeight="1">
      <c r="A4626" s="2">
        <v>4628.0</v>
      </c>
      <c r="B4626" s="5" t="s">
        <v>8479</v>
      </c>
      <c r="C4626" s="6">
        <v>1.0</v>
      </c>
      <c r="D4626" s="9" t="s">
        <v>8480</v>
      </c>
      <c r="E4626" s="8" t="str">
        <f>IFERROR(__xludf.DUMMYFUNCTION("googletranslate(D4626,""id"",""en"")"),"If from my side, it's not able to agree or or not, but after the PPKM is finished whether the people will be obedient to the prokes or even back again, it will be there again")</f>
        <v>If from my side, it's not able to agree or or not, but after the PPKM is finished whether the people will be obedient to the prokes or even back again, it will be there again</v>
      </c>
    </row>
    <row r="4627" ht="15.75" customHeight="1">
      <c r="A4627" s="2">
        <v>4629.0</v>
      </c>
      <c r="B4627" s="5" t="s">
        <v>8481</v>
      </c>
      <c r="C4627" s="6">
        <v>1.0</v>
      </c>
      <c r="D4627" s="7" t="s">
        <v>8482</v>
      </c>
      <c r="E4627" s="8" t="str">
        <f>IFERROR(__xludf.DUMMYFUNCTION("googletranslate(D4627,""id"",""en"")"),"PKKM gives me a chance to watch Satpol PP hit a pregnant woman Thank you PPKM !!!!")</f>
        <v>PKKM gives me a chance to watch Satpol PP hit a pregnant woman Thank you PPKM !!!!</v>
      </c>
    </row>
    <row r="4628" ht="15.75" customHeight="1">
      <c r="A4628" s="2">
        <v>4630.0</v>
      </c>
      <c r="B4628" s="5" t="s">
        <v>8483</v>
      </c>
      <c r="C4628" s="6">
        <v>1.0</v>
      </c>
      <c r="D4628" s="7" t="s">
        <v>8484</v>
      </c>
      <c r="E4628" s="8" t="str">
        <f>IFERROR(__xludf.DUMMYFUNCTION("googletranslate(D4628,""id"",""en"")"),"In my place, a more resident of Isoman, than the citizens who were affected by Emergency PPKM. LTR Rice, for whom? ""Mr. RT,: For those who have been recorded since the beginning of the pandemic"" (Data Dised citizens) (Pak RT Diem Thousand Languages).")</f>
        <v>In my place, a more resident of Isoman, than the citizens who were affected by Emergency PPKM. LTR Rice, for whom? "Mr. RT,: For those who have been recorded since the beginning of the pandemic" (Data Dised citizens) (Pak RT Diem Thousand Languages).</v>
      </c>
    </row>
    <row r="4629" ht="15.75" customHeight="1">
      <c r="A4629" s="2">
        <v>4631.0</v>
      </c>
      <c r="B4629" s="5" t="s">
        <v>8485</v>
      </c>
      <c r="C4629" s="6">
        <v>2.0</v>
      </c>
      <c r="D4629" s="7" t="s">
        <v>8486</v>
      </c>
      <c r="E4629" s="8" t="str">
        <f>IFERROR(__xludf.DUMMYFUNCTION("googletranslate(D4629,""id"",""en"")"),"Ppkmpagi-morning we are confusing")</f>
        <v>Ppkmpagi-morning we are confusing</v>
      </c>
    </row>
    <row r="4630" ht="15.75" customHeight="1">
      <c r="A4630" s="2">
        <v>4632.0</v>
      </c>
      <c r="B4630" s="5" t="s">
        <v>8487</v>
      </c>
      <c r="C4630" s="6">
        <v>1.0</v>
      </c>
      <c r="D4630" s="9" t="s">
        <v>8488</v>
      </c>
      <c r="E4630" s="8" t="str">
        <f>IFERROR(__xludf.DUMMYFUNCTION("googletranslate(D4630,""id"",""en"")"),"In this free area there is a solared march or whatever gathered hundreds of people and then on the road on the streets. His PPKM said the prames said. Who knows.")</f>
        <v>In this free area there is a solared march or whatever gathered hundreds of people and then on the road on the streets. His PPKM said the prames said. Who knows.</v>
      </c>
    </row>
    <row r="4631" ht="15.75" customHeight="1">
      <c r="A4631" s="2">
        <v>4633.0</v>
      </c>
      <c r="B4631" s="5" t="s">
        <v>8489</v>
      </c>
      <c r="C4631" s="6">
        <v>1.0</v>
      </c>
      <c r="D4631" s="7" t="s">
        <v>8490</v>
      </c>
      <c r="E4631" s="8" t="str">
        <f>IFERROR(__xludf.DUMMYFUNCTION("googletranslate(D4631,""id"",""en"")"),"The people are under difficult because of PPKM, can't work, how come there are ministers even ngetwit gini? Really ""don't have empathy, it's not ethical")</f>
        <v>The people are under difficult because of PPKM, can't work, how come there are ministers even ngetwit gini? Really "don't have empathy, it's not ethical</v>
      </c>
    </row>
    <row r="4632" ht="15.75" customHeight="1">
      <c r="A4632" s="2">
        <v>4634.0</v>
      </c>
      <c r="B4632" s="5" t="s">
        <v>8491</v>
      </c>
      <c r="C4632" s="6">
        <v>1.0</v>
      </c>
      <c r="D4632" s="7" t="s">
        <v>8491</v>
      </c>
      <c r="E4632" s="8" t="str">
        <f>IFERROR(__xludf.DUMMYFUNCTION("googletranslate(D4632,""id"",""en"")"),"Extension of emergency PPKM will not be able to complete the plague. The choice is like Simalakama fruit, die because of an outbreak or death because of hunger.")</f>
        <v>Extension of emergency PPKM will not be able to complete the plague. The choice is like Simalakama fruit, die because of an outbreak or death because of hunger.</v>
      </c>
    </row>
    <row r="4633" ht="15.75" customHeight="1">
      <c r="A4633" s="2">
        <v>4635.0</v>
      </c>
      <c r="B4633" s="5" t="s">
        <v>8492</v>
      </c>
      <c r="C4633" s="6">
        <v>1.0</v>
      </c>
      <c r="D4633" s="7" t="s">
        <v>8493</v>
      </c>
      <c r="E4633" s="8" t="str">
        <f>IFERROR(__xludf.DUMMYFUNCTION("googletranslate(D4633,""id"",""en"")"),"Symbolically, why isn't it all of them, sir, the citizens aren't the affected by PPKM ...")</f>
        <v>Symbolically, why isn't it all of them, sir, the citizens aren't the affected by PPKM ...</v>
      </c>
    </row>
    <row r="4634" ht="15.75" customHeight="1">
      <c r="A4634" s="2">
        <v>4636.0</v>
      </c>
      <c r="B4634" s="5" t="s">
        <v>8494</v>
      </c>
      <c r="C4634" s="6">
        <v>1.0</v>
      </c>
      <c r="D4634" s="9" t="s">
        <v>8495</v>
      </c>
      <c r="E4634" s="8" t="str">
        <f>IFERROR(__xludf.DUMMYFUNCTION("googletranslate(D4634,""id"",""en"")"),"The cost of responsibility for Kbutuha PPKM per day, at least trillion per day bosq, if the week is ngara ngara ngara")</f>
        <v>The cost of responsibility for Kbutuha PPKM per day, at least trillion per day bosq, if the week is ngara ngara ngara</v>
      </c>
    </row>
    <row r="4635" ht="15.75" customHeight="1">
      <c r="A4635" s="2">
        <v>4637.0</v>
      </c>
      <c r="B4635" s="5" t="s">
        <v>8496</v>
      </c>
      <c r="C4635" s="6">
        <v>1.0</v>
      </c>
      <c r="D4635" s="9" t="s">
        <v>8497</v>
      </c>
      <c r="E4635" s="8" t="str">
        <f>IFERROR(__xludf.DUMMYFUNCTION("googletranslate(D4635,""id"",""en"")"),"Like this, I want to ask for an additional incentive, it doesn't even help the government even, haaaah never mind. Actually this MUI is what is the creature ... Emergency PPKM protest, MUI West Sumatra Allow ID prayer in the field")</f>
        <v>Like this, I want to ask for an additional incentive, it doesn't even help the government even, haaaah never mind. Actually this MUI is what is the creature ... Emergency PPKM protest, MUI West Sumatra Allow ID prayer in the field</v>
      </c>
    </row>
    <row r="4636" ht="15.75" customHeight="1">
      <c r="A4636" s="2">
        <v>4638.0</v>
      </c>
      <c r="B4636" s="5" t="s">
        <v>8498</v>
      </c>
      <c r="C4636" s="6">
        <v>1.0</v>
      </c>
      <c r="D4636" s="9" t="s">
        <v>8499</v>
      </c>
      <c r="E4636" s="8" t="str">
        <f>IFERROR(__xludf.DUMMYFUNCTION("googletranslate(D4636,""id"",""en"")"),"Just think ... the Jokowi goes down his own, meaning that there is no regional officials who initiatives do this, Jokowi makes this for all of them. The funds have dropped but there is no one who really works to ensure the PPKM runs well, instead mobilizi"&amp;"ng the Satpol PP that is less educational.")</f>
        <v>Just think ... the Jokowi goes down his own, meaning that there is no regional officials who initiatives do this, Jokowi makes this for all of them. The funds have dropped but there is no one who really works to ensure the PPKM runs well, instead mobilizing the Satpol PP that is less educational.</v>
      </c>
    </row>
    <row r="4637" ht="15.75" customHeight="1">
      <c r="A4637" s="2">
        <v>4639.0</v>
      </c>
      <c r="B4637" s="5" t="s">
        <v>8500</v>
      </c>
      <c r="C4637" s="6">
        <v>1.0</v>
      </c>
      <c r="D4637" s="7" t="s">
        <v>8500</v>
      </c>
      <c r="E4637" s="8" t="str">
        <f>IFERROR(__xludf.DUMMYFUNCTION("googletranslate(D4637,""id"",""en"")"),"Do It Yourself Province Closure of the Road and Turns Off Lighting Lighting Way What To Enliven PPKM Let It Be Incidental? Maybe the corona is afraid of darkness ... Hesssjan ... Puter MANH ...")</f>
        <v>Do It Yourself Province Closure of the Road and Turns Off Lighting Lighting Way What To Enliven PPKM Let It Be Incidental? Maybe the corona is afraid of darkness ... Hesssjan ... Puter MANH ...</v>
      </c>
    </row>
    <row r="4638" ht="15.75" customHeight="1">
      <c r="A4638" s="2">
        <v>4640.0</v>
      </c>
      <c r="B4638" s="5" t="s">
        <v>8501</v>
      </c>
      <c r="C4638" s="6">
        <v>1.0</v>
      </c>
      <c r="D4638" s="9" t="s">
        <v>8502</v>
      </c>
      <c r="E4638" s="8" t="str">
        <f>IFERROR(__xludf.DUMMYFUNCTION("googletranslate(D4638,""id"",""en"")"),"It's not necessary, it is proven that the PPKM does not reduce the mortality and a positive number, should find another solution in the extension")</f>
        <v>It's not necessary, it is proven that the PPKM does not reduce the mortality and a positive number, should find another solution in the extension</v>
      </c>
    </row>
    <row r="4639" ht="15.75" customHeight="1">
      <c r="A4639" s="2">
        <v>4641.0</v>
      </c>
      <c r="B4639" s="5" t="s">
        <v>8503</v>
      </c>
      <c r="C4639" s="6">
        <v>1.0</v>
      </c>
      <c r="D4639" s="9" t="s">
        <v>8504</v>
      </c>
      <c r="E4639" s="8" t="str">
        <f>IFERROR(__xludf.DUMMYFUNCTION("googletranslate(D4639,""id"",""en"")"),"How can you share the basic food go home ??? If you care, start the Indonesian National Police to deliver directly throughout the PPKM affected house. Because the right of the people gets food assistance, and the government must feed. Paahaaam ..")</f>
        <v>How can you share the basic food go home ??? If you care, start the Indonesian National Police to deliver directly throughout the PPKM affected house. Because the right of the people gets food assistance, and the government must feed. Paahaaam ..</v>
      </c>
    </row>
    <row r="4640" ht="15.75" customHeight="1">
      <c r="A4640" s="2">
        <v>4642.0</v>
      </c>
      <c r="B4640" s="5" t="s">
        <v>8505</v>
      </c>
      <c r="C4640" s="6">
        <v>1.0</v>
      </c>
      <c r="D4640" s="7" t="s">
        <v>8506</v>
      </c>
      <c r="E4640" s="8" t="str">
        <f>IFERROR(__xludf.DUMMYFUNCTION("googletranslate(D4640,""id"",""en"")"),"Astaghfirullah ... Extension of PPKM until August. Bro.")</f>
        <v>Astaghfirullah ... Extension of PPKM until August. Bro.</v>
      </c>
    </row>
    <row r="4641" ht="15.75" customHeight="1">
      <c r="A4641" s="2">
        <v>4643.0</v>
      </c>
      <c r="B4641" s="5" t="s">
        <v>8507</v>
      </c>
      <c r="C4641" s="6">
        <v>2.0</v>
      </c>
      <c r="D4641" s="7" t="s">
        <v>8507</v>
      </c>
      <c r="E4641" s="8" t="str">
        <f>IFERROR(__xludf.DUMMYFUNCTION("googletranslate(D4641,""id"",""en"")"),"Then move towards the Covid-19 emergency PPKM post in Beji Village, Jenu District")</f>
        <v>Then move towards the Covid-19 emergency PPKM post in Beji Village, Jenu District</v>
      </c>
    </row>
    <row r="4642" ht="15.75" customHeight="1">
      <c r="A4642" s="2">
        <v>4644.0</v>
      </c>
      <c r="B4642" s="5" t="s">
        <v>8508</v>
      </c>
      <c r="C4642" s="6">
        <v>1.0</v>
      </c>
      <c r="D4642" s="9" t="s">
        <v>8509</v>
      </c>
      <c r="E4642" s="8" t="str">
        <f>IFERROR(__xludf.DUMMYFUNCTION("googletranslate(D4642,""id"",""en"")"),"If you want to work for money and eat it and eat it like this ??? Please help evaluate the PPKM officer below so that it is more humanist")</f>
        <v>If you want to work for money and eat it and eat it like this ??? Please help evaluate the PPKM officer below so that it is more humanist</v>
      </c>
    </row>
    <row r="4643" ht="15.75" customHeight="1">
      <c r="A4643" s="2">
        <v>4645.0</v>
      </c>
      <c r="B4643" s="5" t="s">
        <v>8510</v>
      </c>
      <c r="C4643" s="6">
        <v>2.0</v>
      </c>
      <c r="D4643" s="7" t="s">
        <v>8511</v>
      </c>
      <c r="E4643" s="8" t="str">
        <f>IFERROR(__xludf.DUMMYFUNCTION("googletranslate(D4643,""id"",""en"")"),"PPKM: Smart Smot You Play (Golek Dalan Liyane)")</f>
        <v>PPKM: Smart Smot You Play (Golek Dalan Liyane)</v>
      </c>
    </row>
    <row r="4644" ht="15.75" customHeight="1">
      <c r="A4644" s="2">
        <v>4646.0</v>
      </c>
      <c r="B4644" s="5" t="s">
        <v>8512</v>
      </c>
      <c r="C4644" s="6">
        <v>2.0</v>
      </c>
      <c r="D4644" s="9" t="s">
        <v>8513</v>
      </c>
      <c r="E4644" s="8" t="str">
        <f>IFERROR(__xludf.DUMMYFUNCTION("googletranslate(D4644,""id"",""en"")"),"After PPKM wanted to be hugged by a second friend.")</f>
        <v>After PPKM wanted to be hugged by a second friend.</v>
      </c>
    </row>
    <row r="4645" ht="15.75" customHeight="1">
      <c r="A4645" s="2">
        <v>4647.0</v>
      </c>
      <c r="B4645" s="5" t="s">
        <v>8514</v>
      </c>
      <c r="C4645" s="6">
        <v>1.0</v>
      </c>
      <c r="D4645" s="7" t="s">
        <v>8515</v>
      </c>
      <c r="E4645" s="8" t="str">
        <f>IFERROR(__xludf.DUMMYFUNCTION("googletranslate(D4645,""id"",""en"")"),"Not aja Sumatran ppkm fight what else ppkm kayak in java bali is definitely more our opponents")</f>
        <v>Not aja Sumatran ppkm fight what else ppkm kayak in java bali is definitely more our opponents</v>
      </c>
    </row>
    <row r="4646" ht="15.75" customHeight="1">
      <c r="A4646" s="2">
        <v>4648.0</v>
      </c>
      <c r="B4646" s="5" t="s">
        <v>8516</v>
      </c>
      <c r="C4646" s="6">
        <v>2.0</v>
      </c>
      <c r="D4646" s="7" t="s">
        <v>8517</v>
      </c>
      <c r="E4646" s="8" t="str">
        <f>IFERROR(__xludf.DUMMYFUNCTION("googletranslate(D4646,""id"",""en"")"),"Just sent a PPKM photo")</f>
        <v>Just sent a PPKM photo</v>
      </c>
    </row>
    <row r="4647" ht="15.75" customHeight="1">
      <c r="A4647" s="2">
        <v>4649.0</v>
      </c>
      <c r="B4647" s="5" t="s">
        <v>8518</v>
      </c>
      <c r="C4647" s="6">
        <v>1.0</v>
      </c>
      <c r="D4647" s="7" t="s">
        <v>8518</v>
      </c>
      <c r="E4647" s="8" t="str">
        <f>IFERROR(__xludf.DUMMYFUNCTION("googletranslate(D4647,""id"",""en"")"),"PPKM, the residents of you die")</f>
        <v>PPKM, the residents of you die</v>
      </c>
    </row>
    <row r="4648" ht="15.75" customHeight="1">
      <c r="A4648" s="2">
        <v>4650.0</v>
      </c>
      <c r="B4648" s="5" t="s">
        <v>8519</v>
      </c>
      <c r="C4648" s="6">
        <v>1.0</v>
      </c>
      <c r="D4648" s="7" t="s">
        <v>8520</v>
      </c>
      <c r="E4648" s="8" t="str">
        <f>IFERROR(__xludf.DUMMYFUNCTION("googletranslate(D4648,""id"",""en"")"),"Live in uncertainty. We don't know the grand design of handling this pandemic. Less socialization, why should PPKM? Why wants plus weeks? What is it? Lack of socialization. Cukong WNA actually shows a not in line.")</f>
        <v>Live in uncertainty. We don't know the grand design of handling this pandemic. Less socialization, why should PPKM? Why wants plus weeks? What is it? Lack of socialization. Cukong WNA actually shows a not in line.</v>
      </c>
    </row>
    <row r="4649" ht="15.75" customHeight="1">
      <c r="A4649" s="2">
        <v>4651.0</v>
      </c>
      <c r="B4649" s="5" t="s">
        <v>8521</v>
      </c>
      <c r="C4649" s="6">
        <v>1.0</v>
      </c>
      <c r="D4649" s="7" t="s">
        <v>8522</v>
      </c>
      <c r="E4649" s="8" t="str">
        <f>IFERROR(__xludf.DUMMYFUNCTION("googletranslate(D4649,""id"",""en"")"),"Father sane? Krna ppkm bnyak warring and hunger tp you wrote this scra does not lngsung you sdng tdng dancing ""above the people's pnperity")</f>
        <v>Father sane? Krna ppkm bnyak warring and hunger tp you wrote this scra does not lngsung you sdng tdng dancing "above the people's pnperity</v>
      </c>
    </row>
    <row r="4650" ht="15.75" customHeight="1">
      <c r="A4650" s="2">
        <v>4652.0</v>
      </c>
      <c r="B4650" s="5" t="s">
        <v>8523</v>
      </c>
      <c r="C4650" s="6">
        <v>1.0</v>
      </c>
      <c r="D4650" s="9" t="s">
        <v>8524</v>
      </c>
      <c r="E4650" s="8" t="str">
        <f>IFERROR(__xludf.DUMMYFUNCTION("googletranslate(D4650,""id"",""en"")"),"Is it really the mukidi? G BECUS GOD! Chinese TKA Dilarin Entered, Emergency PPKM Traders who were affected by the victims of the arrogance of the apparatus, the emergency PPKM leader JG was not bechered! Covid's time is said to be under control? If it is"&amp;" controlled, what is the proof? How come it's controlled, it's actually getting hit &amp; amp; dead!")</f>
        <v>Is it really the mukidi? G BECUS GOD! Chinese TKA Dilarin Entered, Emergency PPKM Traders who were affected by the victims of the arrogance of the apparatus, the emergency PPKM leader JG was not bechered! Covid's time is said to be under control? If it is controlled, what is the proof? How come it's controlled, it's actually getting hit &amp; amp; dead!</v>
      </c>
    </row>
    <row r="4651" ht="15.75" customHeight="1">
      <c r="A4651" s="2">
        <v>4653.0</v>
      </c>
      <c r="B4651" s="5" t="s">
        <v>8525</v>
      </c>
      <c r="C4651" s="6">
        <v>3.0</v>
      </c>
      <c r="D4651" s="7" t="s">
        <v>8526</v>
      </c>
      <c r="E4651" s="8" t="str">
        <f>IFERROR(__xludf.DUMMYFUNCTION("googletranslate(D4651,""id"",""en"")"),"It can be controlled thanks to PPKM.")</f>
        <v>It can be controlled thanks to PPKM.</v>
      </c>
    </row>
    <row r="4652" ht="15.75" customHeight="1">
      <c r="A4652" s="2">
        <v>4654.0</v>
      </c>
      <c r="B4652" s="5" t="s">
        <v>8527</v>
      </c>
      <c r="C4652" s="6">
        <v>3.0</v>
      </c>
      <c r="D4652" s="7" t="s">
        <v>8528</v>
      </c>
      <c r="E4652" s="8" t="str">
        <f>IFERROR(__xludf.DUMMYFUNCTION("googletranslate(D4652,""id"",""en"")"),"Happy Birthday Didi Visual Pride of Auspa, Healthy Healthy Yes Slave Corporate Wkwk See You After PPKM Yes Sisss")</f>
        <v>Happy Birthday Didi Visual Pride of Auspa, Healthy Healthy Yes Slave Corporate Wkwk See You After PPKM Yes Sisss</v>
      </c>
    </row>
    <row r="4653" ht="15.75" customHeight="1">
      <c r="A4653" s="2">
        <v>4655.0</v>
      </c>
      <c r="B4653" s="5" t="s">
        <v>8529</v>
      </c>
      <c r="C4653" s="6">
        <v>1.0</v>
      </c>
      <c r="D4653" s="7" t="s">
        <v>8530</v>
      </c>
      <c r="E4653" s="8" t="str">
        <f>IFERROR(__xludf.DUMMYFUNCTION("googletranslate(D4653,""id"",""en"")"),"Smga, which is another place to follow ... soon to have to pay installments, pay electricity, the kitchen needs. This day is really a day there is really no income because the PPKMember government wants to know? This cat2 from birth in the pandemic period"&amp;" has never used a mask, not keep the distance but it's healthy")</f>
        <v>Smga, which is another place to follow ... soon to have to pay installments, pay electricity, the kitchen needs. This day is really a day there is really no income because the PPKMember government wants to know? This cat2 from birth in the pandemic period has never used a mask, not keep the distance but it's healthy</v>
      </c>
    </row>
    <row r="4654" ht="15.75" customHeight="1">
      <c r="A4654" s="2">
        <v>4656.0</v>
      </c>
      <c r="B4654" s="5" t="s">
        <v>8531</v>
      </c>
      <c r="C4654" s="6">
        <v>1.0</v>
      </c>
      <c r="D4654" s="7" t="s">
        <v>8532</v>
      </c>
      <c r="E4654" s="8" t="str">
        <f>IFERROR(__xludf.DUMMYFUNCTION("googletranslate(D4654,""id"",""en"")"),"Yes kangen bangettt huhu, ppkm until next month the problem")</f>
        <v>Yes kangen bangettt huhu, ppkm until next month the problem</v>
      </c>
    </row>
    <row r="4655" ht="15.75" customHeight="1">
      <c r="A4655" s="2">
        <v>4657.0</v>
      </c>
      <c r="B4655" s="5" t="s">
        <v>8533</v>
      </c>
      <c r="C4655" s="6">
        <v>1.0</v>
      </c>
      <c r="D4655" s="7" t="s">
        <v>8534</v>
      </c>
      <c r="E4655" s="8" t="str">
        <f>IFERROR(__xludf.DUMMYFUNCTION("googletranslate(D4655,""id"",""en"")"),"fulfillment of the need for PPKM for middle to lower middle masyrakat does not think of")</f>
        <v>fulfillment of the need for PPKM for middle to lower middle masyrakat does not think of</v>
      </c>
    </row>
    <row r="4656" ht="15.75" customHeight="1">
      <c r="A4656" s="2">
        <v>4658.0</v>
      </c>
      <c r="B4656" s="5" t="s">
        <v>8535</v>
      </c>
      <c r="C4656" s="6">
        <v>1.0</v>
      </c>
      <c r="D4656" s="9" t="s">
        <v>8536</v>
      </c>
      <c r="E4656" s="8" t="str">
        <f>IFERROR(__xludf.DUMMYFUNCTION("googletranslate(D4656,""id"",""en"")"),"Still the model is bluskan malem2? Help has been evenly distributed yet for all the people / daily workers affected by PPKM? The important report we know. Not seremoni like this")</f>
        <v>Still the model is bluskan malem2? Help has been evenly distributed yet for all the people / daily workers affected by PPKM? The important report we know. Not seremoni like this</v>
      </c>
    </row>
    <row r="4657" ht="15.75" customHeight="1">
      <c r="A4657" s="2">
        <v>4659.0</v>
      </c>
      <c r="B4657" s="5" t="s">
        <v>8537</v>
      </c>
      <c r="C4657" s="6">
        <v>1.0</v>
      </c>
      <c r="D4657" s="9" t="s">
        <v>8538</v>
      </c>
      <c r="E4657" s="8" t="str">
        <f>IFERROR(__xludf.DUMMYFUNCTION("googletranslate(D4657,""id"",""en"")"),"Who did you ask for Lockdown if many PPKMs were protested")</f>
        <v>Who did you ask for Lockdown if many PPKMs were protested</v>
      </c>
    </row>
    <row r="4658" ht="15.75" customHeight="1">
      <c r="A4658" s="2">
        <v>4660.0</v>
      </c>
      <c r="B4658" s="5" t="s">
        <v>8539</v>
      </c>
      <c r="C4658" s="6">
        <v>1.0</v>
      </c>
      <c r="D4658" s="7" t="s">
        <v>8540</v>
      </c>
      <c r="E4658" s="8" t="str">
        <f>IFERROR(__xludf.DUMMYFUNCTION("googletranslate(D4658,""id"",""en"")"),"Ppkm = gabisa kemanaman = silent at home = no duwit = so mind = depression, stress = gingppkm = pigeringeun")</f>
        <v>Ppkm = gabisa kemanaman = silent at home = no duwit = so mind = depression, stress = gingppkm = pigeringeun</v>
      </c>
    </row>
    <row r="4659" ht="15.75" customHeight="1">
      <c r="A4659" s="2">
        <v>4661.0</v>
      </c>
      <c r="B4659" s="5" t="s">
        <v>8541</v>
      </c>
      <c r="C4659" s="6">
        <v>1.0</v>
      </c>
      <c r="D4659" s="7" t="s">
        <v>8541</v>
      </c>
      <c r="E4659" s="8" t="str">
        <f>IFERROR(__xludf.DUMMYFUNCTION("googletranslate(D4659,""id"",""en"")"),"BB rises again because of the ppkm eating continues to take it")</f>
        <v>BB rises again because of the ppkm eating continues to take it</v>
      </c>
    </row>
    <row r="4660" ht="15.75" customHeight="1">
      <c r="A4660" s="2">
        <v>4662.0</v>
      </c>
      <c r="B4660" s="5" t="s">
        <v>8542</v>
      </c>
      <c r="C4660" s="6">
        <v>1.0</v>
      </c>
      <c r="D4660" s="7" t="s">
        <v>8543</v>
      </c>
      <c r="E4660" s="8" t="str">
        <f>IFERROR(__xludf.DUMMYFUNCTION("googletranslate(D4660,""id"",""en"")"),"Don't work still PPKM: ')")</f>
        <v>Don't work still PPKM: ')</v>
      </c>
    </row>
    <row r="4661" ht="15.75" customHeight="1">
      <c r="A4661" s="2">
        <v>4663.0</v>
      </c>
      <c r="B4661" s="5" t="s">
        <v>8544</v>
      </c>
      <c r="C4661" s="6">
        <v>1.0</v>
      </c>
      <c r="D4661" s="9" t="s">
        <v>8545</v>
      </c>
      <c r="E4661" s="8" t="str">
        <f>IFERROR(__xludf.DUMMYFUNCTION("googletranslate(D4661,""id"",""en"")"),"I see it even though the ppkm is still there, it's just the one who came out, I wanted to want you what it was")</f>
        <v>I see it even though the ppkm is still there, it's just the one who came out, I wanted to want you what it was</v>
      </c>
    </row>
    <row r="4662" ht="15.75" customHeight="1">
      <c r="A4662" s="2">
        <v>4664.0</v>
      </c>
      <c r="B4662" s="5" t="s">
        <v>8546</v>
      </c>
      <c r="C4662" s="6">
        <v>2.0</v>
      </c>
      <c r="D4662" s="7" t="s">
        <v>8547</v>
      </c>
      <c r="E4662" s="8" t="str">
        <f>IFERROR(__xludf.DUMMYFUNCTION("googletranslate(D4662,""id"",""en"")"),"PPKM Kangen Kangen Weakers")</f>
        <v>PPKM Kangen Kangen Weakers</v>
      </c>
    </row>
    <row r="4663" ht="15.75" customHeight="1">
      <c r="A4663" s="2">
        <v>4665.0</v>
      </c>
      <c r="B4663" s="5" t="s">
        <v>8548</v>
      </c>
      <c r="C4663" s="6">
        <v>2.0</v>
      </c>
      <c r="D4663" s="7" t="s">
        <v>8549</v>
      </c>
      <c r="E4663" s="8" t="str">
        <f>IFERROR(__xludf.DUMMYFUNCTION("googletranslate(D4663,""id"",""en"")"),"We will see more days when we finish, or continue to the Season this PPKM")</f>
        <v>We will see more days when we finish, or continue to the Season this PPKM</v>
      </c>
    </row>
    <row r="4664" ht="15.75" customHeight="1">
      <c r="A4664" s="2">
        <v>4666.0</v>
      </c>
      <c r="B4664" s="5" t="s">
        <v>8550</v>
      </c>
      <c r="C4664" s="6">
        <v>1.0</v>
      </c>
      <c r="D4664" s="9" t="s">
        <v>8550</v>
      </c>
      <c r="E4664" s="8" t="str">
        <f>IFERROR(__xludf.DUMMYFUNCTION("googletranslate(D4664,""id"",""en"")"),"Oiyaa he also invited me to play myself a.m. PDRit LG PPKM, want to play at home and then he said he wanted to permit to the mother, I knew my mother ... it's not a pandemic, it's not honest, surely he wants to play it, I'm going back?")</f>
        <v>Oiyaa he also invited me to play myself a.m. PDRit LG PPKM, want to play at home and then he said he wanted to permit to the mother, I knew my mother ... it's not a pandemic, it's not honest, surely he wants to play it, I'm going back?</v>
      </c>
    </row>
    <row r="4665" ht="15.75" customHeight="1">
      <c r="A4665" s="2">
        <v>4667.0</v>
      </c>
      <c r="B4665" s="5" t="s">
        <v>8551</v>
      </c>
      <c r="C4665" s="6">
        <v>3.0</v>
      </c>
      <c r="D4665" s="7" t="s">
        <v>8552</v>
      </c>
      <c r="E4665" s="8" t="str">
        <f>IFERROR(__xludf.DUMMYFUNCTION("googletranslate(D4665,""id"",""en"")"),"oalaahh, it means that later it will run out, it can just go to school offline, well, good, the spirit of learning is Yya Ashaa, just sorry the rep")</f>
        <v>oalaahh, it means that later it will run out, it can just go to school offline, well, good, the spirit of learning is Yya Ashaa, just sorry the rep</v>
      </c>
    </row>
    <row r="4666" ht="15.75" customHeight="1">
      <c r="A4666" s="2">
        <v>4668.0</v>
      </c>
      <c r="B4666" s="5" t="s">
        <v>8553</v>
      </c>
      <c r="C4666" s="6">
        <v>1.0</v>
      </c>
      <c r="D4666" s="9" t="s">
        <v>8554</v>
      </c>
      <c r="E4666" s="8" t="str">
        <f>IFERROR(__xludf.DUMMYFUNCTION("googletranslate(D4666,""id"",""en"")"),"The indicator is clearly the number of covid sufferers who are increasing and the deaths of covid, if this can fall definitely PPKM is revoked or relaxed, it is easy for PPKM not extended and can go to New Normal")</f>
        <v>The indicator is clearly the number of covid sufferers who are increasing and the deaths of covid, if this can fall definitely PPKM is revoked or relaxed, it is easy for PPKM not extended and can go to New Normal</v>
      </c>
    </row>
    <row r="4667" ht="15.75" customHeight="1">
      <c r="A4667" s="2">
        <v>4669.0</v>
      </c>
      <c r="B4667" s="5" t="s">
        <v>8555</v>
      </c>
      <c r="C4667" s="6">
        <v>2.0</v>
      </c>
      <c r="D4667" s="7" t="s">
        <v>8556</v>
      </c>
      <c r="E4667" s="8" t="str">
        <f>IFERROR(__xludf.DUMMYFUNCTION("googletranslate(D4667,""id"",""en"")"),"Awww ... Yok discussed PPKM")</f>
        <v>Awww ... Yok discussed PPKM</v>
      </c>
    </row>
    <row r="4668" ht="15.75" customHeight="1">
      <c r="A4668" s="2">
        <v>4670.0</v>
      </c>
      <c r="B4668" s="5" t="s">
        <v>8557</v>
      </c>
      <c r="C4668" s="6">
        <v>1.0</v>
      </c>
      <c r="D4668" s="9" t="s">
        <v>8558</v>
      </c>
      <c r="E4668" s="8" t="str">
        <f>IFERROR(__xludf.DUMMYFUNCTION("googletranslate(D4668,""id"",""en"")"),"the year is talking again now ... just ppkm hasn't been done ... what do you eat today ... jae already ... think about the year again ... don't die ...")</f>
        <v>the year is talking again now ... just ppkm hasn't been done ... what do you eat today ... jae already ... think about the year again ... don't die ...</v>
      </c>
    </row>
    <row r="4669" ht="15.75" customHeight="1">
      <c r="A4669" s="2">
        <v>4671.0</v>
      </c>
      <c r="B4669" s="5" t="s">
        <v>8559</v>
      </c>
      <c r="C4669" s="6">
        <v>2.0</v>
      </c>
      <c r="D4669" s="10" t="s">
        <v>8560</v>
      </c>
      <c r="E4669" s="8" t="str">
        <f>IFERROR(__xludf.DUMMYFUNCTION("googletranslate(D4669,""id"",""en"")"),"Ppkm vs psbb.")</f>
        <v>Ppkm vs psbb.</v>
      </c>
    </row>
    <row r="4670" ht="15.75" customHeight="1">
      <c r="A4670" s="2">
        <v>4672.0</v>
      </c>
      <c r="B4670" s="5" t="s">
        <v>8561</v>
      </c>
      <c r="C4670" s="6">
        <v>1.0</v>
      </c>
      <c r="D4670" s="7" t="s">
        <v>8562</v>
      </c>
      <c r="E4670" s="8" t="str">
        <f>IFERROR(__xludf.DUMMYFUNCTION("googletranslate(D4670,""id"",""en"")"),"PPKM the youth returned by the Metre")</f>
        <v>PPKM the youth returned by the Metre</v>
      </c>
    </row>
    <row r="4671" ht="15.75" customHeight="1">
      <c r="A4671" s="2">
        <v>4673.0</v>
      </c>
      <c r="B4671" s="5" t="s">
        <v>8563</v>
      </c>
      <c r="C4671" s="6">
        <v>2.0</v>
      </c>
      <c r="D4671" s="7" t="s">
        <v>8564</v>
      </c>
      <c r="E4671" s="8" t="str">
        <f>IFERROR(__xludf.DUMMYFUNCTION("googletranslate(D4671,""id"",""en"")"),"Ppkm = go home karep you")</f>
        <v>Ppkm = go home karep you</v>
      </c>
    </row>
    <row r="4672" ht="15.75" customHeight="1">
      <c r="A4672" s="2">
        <v>4674.0</v>
      </c>
      <c r="B4672" s="5" t="s">
        <v>8565</v>
      </c>
      <c r="C4672" s="6">
        <v>2.0</v>
      </c>
      <c r="D4672" s="7" t="s">
        <v>8565</v>
      </c>
      <c r="E4672" s="8" t="str">
        <f>IFERROR(__xludf.DUMMYFUNCTION("googletranslate(D4672,""id"",""en"")"),"And it should lead the PPKM, the president and not Luhut, so that people consider the president's ability to deal with this crisis.")</f>
        <v>And it should lead the PPKM, the president and not Luhut, so that people consider the president's ability to deal with this crisis.</v>
      </c>
    </row>
    <row r="4673" ht="15.75" customHeight="1">
      <c r="A4673" s="2">
        <v>4675.0</v>
      </c>
      <c r="B4673" s="5" t="s">
        <v>8566</v>
      </c>
      <c r="C4673" s="6">
        <v>1.0</v>
      </c>
      <c r="D4673" s="9" t="s">
        <v>8567</v>
      </c>
      <c r="E4673" s="8" t="str">
        <f>IFERROR(__xludf.DUMMYFUNCTION("googletranslate(D4673,""id"",""en"")"),"Maybe because my PPKM is limited mobility")</f>
        <v>Maybe because my PPKM is limited mobility</v>
      </c>
    </row>
    <row r="4674" ht="15.75" customHeight="1">
      <c r="A4674" s="2">
        <v>4676.0</v>
      </c>
      <c r="B4674" s="5" t="s">
        <v>8568</v>
      </c>
      <c r="C4674" s="6">
        <v>2.0</v>
      </c>
      <c r="D4674" s="9" t="s">
        <v>8569</v>
      </c>
      <c r="E4674" s="8" t="str">
        <f>IFERROR(__xludf.DUMMYFUNCTION("googletranslate(D4674,""id"",""en"")"),"Don't forget to bring the comics for reading during the PPKM")</f>
        <v>Don't forget to bring the comics for reading during the PPKM</v>
      </c>
    </row>
    <row r="4675" ht="15.75" customHeight="1">
      <c r="A4675" s="2">
        <v>4677.0</v>
      </c>
      <c r="B4675" s="5" t="s">
        <v>8570</v>
      </c>
      <c r="C4675" s="6">
        <v>1.0</v>
      </c>
      <c r="D4675" s="7" t="s">
        <v>8571</v>
      </c>
      <c r="E4675" s="8" t="str">
        <f>IFERROR(__xludf.DUMMYFUNCTION("googletranslate(D4675,""id"",""en"")"),"Owaaalah sir ... the people below in difficult, selling in sweeping then, don't want to twit like this, sir, Mr. Mahh, it's good to want PPKM throughout the year too, it wong the salary ngealir continues")</f>
        <v>Owaaalah sir ... the people below in difficult, selling in sweeping then, don't want to twit like this, sir, Mr. Mahh, it's good to want PPKM throughout the year too, it wong the salary ngealir continues</v>
      </c>
    </row>
    <row r="4676" ht="15.75" customHeight="1">
      <c r="A4676" s="2">
        <v>4678.0</v>
      </c>
      <c r="B4676" s="5" t="s">
        <v>8572</v>
      </c>
      <c r="C4676" s="6">
        <v>1.0</v>
      </c>
      <c r="D4676" s="7" t="s">
        <v>8572</v>
      </c>
      <c r="E4676" s="8" t="str">
        <f>IFERROR(__xludf.DUMMYFUNCTION("googletranslate(D4676,""id"",""en"")"),"PPKM and Liane restrictions in the end of money and extortion. Is this what makes Indonesia not improvement even more painful?")</f>
        <v>PPKM and Liane restrictions in the end of money and extortion. Is this what makes Indonesia not improvement even more painful?</v>
      </c>
    </row>
    <row r="4677" ht="15.75" customHeight="1">
      <c r="A4677" s="2">
        <v>4679.0</v>
      </c>
      <c r="B4677" s="5" t="s">
        <v>8573</v>
      </c>
      <c r="C4677" s="6">
        <v>2.0</v>
      </c>
      <c r="D4677" s="9" t="s">
        <v>8574</v>
      </c>
      <c r="E4677" s="8" t="str">
        <f>IFERROR(__xludf.DUMMYFUNCTION("googletranslate(D4677,""id"",""en"")"),"PPKM, cheekers again wrote")</f>
        <v>PPKM, cheekers again wrote</v>
      </c>
    </row>
    <row r="4678" ht="15.75" customHeight="1">
      <c r="A4678" s="2">
        <v>4680.0</v>
      </c>
      <c r="B4678" s="5" t="s">
        <v>8575</v>
      </c>
      <c r="C4678" s="6">
        <v>2.0</v>
      </c>
      <c r="D4678" s="7" t="s">
        <v>8576</v>
      </c>
      <c r="E4678" s="8" t="str">
        <f>IFERROR(__xludf.DUMMYFUNCTION("googletranslate(D4678,""id"",""en"")"),"Ibumer Tide on the status of a photo in the mosque with your friends, Lgsg Suddenly Keep the distance of Budee Lgsg Delete, Next to the photo mosque again then say it doesn't not install the status of the Epkm e")</f>
        <v>Ibumer Tide on the status of a photo in the mosque with your friends, Lgsg Suddenly Keep the distance of Budee Lgsg Delete, Next to the photo mosque again then say it doesn't not install the status of the Epkm e</v>
      </c>
    </row>
    <row r="4679" ht="15.75" customHeight="1">
      <c r="A4679" s="2">
        <v>4681.0</v>
      </c>
      <c r="B4679" s="5" t="s">
        <v>8577</v>
      </c>
      <c r="C4679" s="6">
        <v>1.0</v>
      </c>
      <c r="D4679" s="7" t="s">
        <v>8578</v>
      </c>
      <c r="E4679" s="8" t="str">
        <f>IFERROR(__xludf.DUMMYFUNCTION("googletranslate(D4679,""id"",""en"")"),"So with the painting of this PPKM it is not effective so far right")</f>
        <v>So with the painting of this PPKM it is not effective so far right</v>
      </c>
    </row>
    <row r="4680" ht="15.75" customHeight="1">
      <c r="A4680" s="2">
        <v>4682.0</v>
      </c>
      <c r="B4680" s="5" t="s">
        <v>8579</v>
      </c>
      <c r="C4680" s="6">
        <v>1.0</v>
      </c>
      <c r="D4680" s="7" t="s">
        <v>8580</v>
      </c>
      <c r="E4680" s="8" t="str">
        <f>IFERROR(__xludf.DUMMYFUNCTION("googletranslate(D4680,""id"",""en"")"),"People don't matter if PPKM again provided the money everyday needs fulfilled NJR ..... but if there is money everyday needs there must be someone who ngekorupsiin -_- all wrong")</f>
        <v>People don't matter if PPKM again provided the money everyday needs fulfilled NJR ..... but if there is money everyday needs there must be someone who ngekorupsiin -_- all wrong</v>
      </c>
    </row>
    <row r="4681" ht="15.75" customHeight="1">
      <c r="A4681" s="2">
        <v>4683.0</v>
      </c>
      <c r="B4681" s="5" t="s">
        <v>8581</v>
      </c>
      <c r="C4681" s="6">
        <v>1.0</v>
      </c>
      <c r="D4681" s="7" t="s">
        <v>8582</v>
      </c>
      <c r="E4681" s="8" t="str">
        <f>IFERROR(__xludf.DUMMYFUNCTION("googletranslate(D4681,""id"",""en"")"),"This PPKM 3ritives Officer Added Nakes GTU, Razia All Injection Vaksin Avoid Usually Cuman Gebugin")</f>
        <v>This PPKM 3ritives Officer Added Nakes GTU, Razia All Injection Vaksin Avoid Usually Cuman Gebugin</v>
      </c>
    </row>
    <row r="4682" ht="15.75" customHeight="1">
      <c r="A4682" s="2">
        <v>4684.0</v>
      </c>
      <c r="B4682" s="5" t="s">
        <v>8583</v>
      </c>
      <c r="C4682" s="6">
        <v>2.0</v>
      </c>
      <c r="D4682" s="7" t="s">
        <v>8584</v>
      </c>
      <c r="E4682" s="8" t="str">
        <f>IFERROR(__xludf.DUMMYFUNCTION("googletranslate(D4682,""id"",""en"")"),"Doc want to ask, what's the same PPKM connection turned off? Weve virus can't see in the dark? The problem is in parts of Southwestern Uganda, when the PPKM lights are turned off, please enlighten")</f>
        <v>Doc want to ask, what's the same PPKM connection turned off? Weve virus can't see in the dark? The problem is in parts of Southwestern Uganda, when the PPKM lights are turned off, please enlighten</v>
      </c>
    </row>
    <row r="4683" ht="15.75" customHeight="1">
      <c r="A4683" s="2">
        <v>4685.0</v>
      </c>
      <c r="B4683" s="5" t="s">
        <v>8585</v>
      </c>
      <c r="C4683" s="6">
        <v>1.0</v>
      </c>
      <c r="D4683" s="9" t="s">
        <v>8586</v>
      </c>
      <c r="E4683" s="8" t="str">
        <f>IFERROR(__xludf.DUMMYFUNCTION("googletranslate(D4683,""id"",""en"")"),"New terrain? Isn't the location of the emergency PPKM right? It's more understanding")</f>
        <v>New terrain? Isn't the location of the emergency PPKM right? It's more understanding</v>
      </c>
    </row>
    <row r="4684" ht="15.75" customHeight="1">
      <c r="A4684" s="2">
        <v>4686.0</v>
      </c>
      <c r="B4684" s="5" t="s">
        <v>8587</v>
      </c>
      <c r="C4684" s="6">
        <v>1.0</v>
      </c>
      <c r="D4684" s="9" t="s">
        <v>8587</v>
      </c>
      <c r="E4684" s="8" t="str">
        <f>IFERROR(__xludf.DUMMYFUNCTION("googletranslate(D4684,""id"",""en"")"),"The era of ppkm ga functions, there are those who give the idea of ​​romatism, right now. Is this idea? Want a campaign for the UN Secretary General?")</f>
        <v>The era of ppkm ga functions, there are those who give the idea of ​​romatism, right now. Is this idea? Want a campaign for the UN Secretary General?</v>
      </c>
    </row>
    <row r="4685" ht="15.75" customHeight="1">
      <c r="A4685" s="2">
        <v>4687.0</v>
      </c>
      <c r="B4685" s="5" t="s">
        <v>8588</v>
      </c>
      <c r="C4685" s="6">
        <v>2.0</v>
      </c>
      <c r="D4685" s="10" t="s">
        <v>8589</v>
      </c>
      <c r="E4685" s="8" t="str">
        <f>IFERROR(__xludf.DUMMYFUNCTION("googletranslate(D4685,""id"",""en"")"),"But LG PPKM.")</f>
        <v>But LG PPKM.</v>
      </c>
    </row>
    <row r="4686" ht="15.75" customHeight="1">
      <c r="A4686" s="2">
        <v>4688.0</v>
      </c>
      <c r="B4686" s="5" t="s">
        <v>8590</v>
      </c>
      <c r="C4686" s="6">
        <v>2.0</v>
      </c>
      <c r="D4686" s="9" t="s">
        <v>8591</v>
      </c>
      <c r="E4686" s="8" t="str">
        <f>IFERROR(__xludf.DUMMYFUNCTION("googletranslate(D4686,""id"",""en"")"),"The book otewe pekalongan today yes mia, hopefully not jammed by ppkm")</f>
        <v>The book otewe pekalongan today yes mia, hopefully not jammed by ppkm</v>
      </c>
    </row>
    <row r="4687" ht="15.75" customHeight="1">
      <c r="A4687" s="2">
        <v>4689.0</v>
      </c>
      <c r="B4687" s="5" t="s">
        <v>8592</v>
      </c>
      <c r="C4687" s="6">
        <v>2.0</v>
      </c>
      <c r="D4687" s="7" t="s">
        <v>8593</v>
      </c>
      <c r="E4687" s="8" t="str">
        <f>IFERROR(__xludf.DUMMYFUNCTION("googletranslate(D4687,""id"",""en"")"),"Ppkm brp week, month, or even annual, gk problem. The important thing is the love bond of the road trs. Not so prof?")</f>
        <v>Ppkm brp week, month, or even annual, gk problem. The important thing is the love bond of the road trs. Not so prof?</v>
      </c>
    </row>
    <row r="4688" ht="15.75" customHeight="1">
      <c r="A4688" s="2">
        <v>4690.0</v>
      </c>
      <c r="B4688" s="5" t="s">
        <v>8594</v>
      </c>
      <c r="C4688" s="6">
        <v>2.0</v>
      </c>
      <c r="D4688" s="7" t="s">
        <v>8595</v>
      </c>
      <c r="E4688" s="8" t="str">
        <f>IFERROR(__xludf.DUMMYFUNCTION("googletranslate(D4688,""id"",""en"")"),"KLW PPKM Wants Effectively, Limit the Supply / Stop of Fuel Supply to Gas Station Does U Limit Human Mobility, BBM Sales Only BS is Served by Urgent Hal2. Food Foods for the People During the PPKM Time ... sure !!? This pandemic will slide.")</f>
        <v>KLW PPKM Wants Effectively, Limit the Supply / Stop of Fuel Supply to Gas Station Does U Limit Human Mobility, BBM Sales Only BS is Served by Urgent Hal2. Food Foods for the People During the PPKM Time ... sure !!? This pandemic will slide.</v>
      </c>
    </row>
    <row r="4689" ht="15.75" customHeight="1">
      <c r="A4689" s="2">
        <v>4691.0</v>
      </c>
      <c r="B4689" s="5" t="s">
        <v>8596</v>
      </c>
      <c r="C4689" s="6">
        <v>1.0</v>
      </c>
      <c r="D4689" s="7" t="s">
        <v>8597</v>
      </c>
      <c r="E4689" s="8" t="str">
        <f>IFERROR(__xludf.DUMMYFUNCTION("googletranslate(D4689,""id"",""en"")"),"The smell of PPKM will be extended")</f>
        <v>The smell of PPKM will be extended</v>
      </c>
    </row>
    <row r="4690" ht="15.75" customHeight="1">
      <c r="A4690" s="2">
        <v>4692.0</v>
      </c>
      <c r="B4690" s="5" t="s">
        <v>8598</v>
      </c>
      <c r="C4690" s="6">
        <v>1.0</v>
      </c>
      <c r="D4690" s="9" t="s">
        <v>8599</v>
      </c>
      <c r="E4690" s="8" t="str">
        <f>IFERROR(__xludf.DUMMYFUNCTION("googletranslate(D4690,""id"",""en"")"),"That's what the minister already knows ppkm but instead honeymoon to jpg wkwkterus directly close acc dong so it's not relatively mediabasi bgt")</f>
        <v>That's what the minister already knows ppkm but instead honeymoon to jpg wkwkterus directly close acc dong so it's not relatively mediabasi bgt</v>
      </c>
    </row>
    <row r="4691" ht="15.75" customHeight="1">
      <c r="A4691" s="2">
        <v>4693.0</v>
      </c>
      <c r="B4691" s="5" t="s">
        <v>8600</v>
      </c>
      <c r="C4691" s="6">
        <v>1.0</v>
      </c>
      <c r="D4691" s="7" t="s">
        <v>8601</v>
      </c>
      <c r="E4691" s="8" t="str">
        <f>IFERROR(__xludf.DUMMYFUNCTION("googletranslate(D4691,""id"",""en"")"),"- Depok Rejects PPKM Mosque Detuction! - People Sweeping Chinese TKA! - Proven statement of Dr. Louis about vaccines! - PPKM Chinese strategy n traitors of the PKI for Jajah Indonesia! - Covid used as a tool for the murder project for Islamic scholars? As"&amp;"tagfirullah!")</f>
        <v>- Depok Rejects PPKM Mosque Detuction! - People Sweeping Chinese TKA! - Proven statement of Dr. Louis about vaccines! - PPKM Chinese strategy n traitors of the PKI for Jajah Indonesia! - Covid used as a tool for the murder project for Islamic scholars? Astagfirullah!</v>
      </c>
    </row>
    <row r="4692" ht="15.75" customHeight="1">
      <c r="A4692" s="2">
        <v>4694.0</v>
      </c>
      <c r="B4692" s="5" t="s">
        <v>8602</v>
      </c>
      <c r="C4692" s="6">
        <v>2.0</v>
      </c>
      <c r="D4692" s="7" t="s">
        <v>8603</v>
      </c>
      <c r="E4692" s="8" t="str">
        <f>IFERROR(__xludf.DUMMYFUNCTION("googletranslate(D4692,""id"",""en"")"),"Ppkm = police officer where my moist")</f>
        <v>Ppkm = police officer where my moist</v>
      </c>
    </row>
    <row r="4693" ht="15.75" customHeight="1">
      <c r="A4693" s="2">
        <v>4695.0</v>
      </c>
      <c r="B4693" s="5" t="s">
        <v>8604</v>
      </c>
      <c r="C4693" s="6">
        <v>1.0</v>
      </c>
      <c r="D4693" s="7" t="s">
        <v>8605</v>
      </c>
      <c r="E4693" s="8" t="str">
        <f>IFERROR(__xludf.DUMMYFUNCTION("googletranslate(D4693,""id"",""en"")"),"MFUD doesn't have morals not sensitive to the condition of the people who suffer with him there is a pandemic plus the PPKM policy")</f>
        <v>MFUD doesn't have morals not sensitive to the condition of the people who suffer with him there is a pandemic plus the PPKM policy</v>
      </c>
    </row>
    <row r="4694" ht="15.75" customHeight="1">
      <c r="A4694" s="2">
        <v>4696.0</v>
      </c>
      <c r="B4694" s="5" t="s">
        <v>8606</v>
      </c>
      <c r="C4694" s="6">
        <v>2.0</v>
      </c>
      <c r="D4694" s="7" t="s">
        <v>8607</v>
      </c>
      <c r="E4694" s="8" t="str">
        <f>IFERROR(__xludf.DUMMYFUNCTION("googletranslate(D4694,""id"",""en"")"),"When to finish the PPKM")</f>
        <v>When to finish the PPKM</v>
      </c>
    </row>
    <row r="4695" ht="15.75" customHeight="1">
      <c r="A4695" s="2">
        <v>4697.0</v>
      </c>
      <c r="B4695" s="5" t="s">
        <v>8608</v>
      </c>
      <c r="C4695" s="6">
        <v>1.0</v>
      </c>
      <c r="D4695" s="7" t="s">
        <v>8609</v>
      </c>
      <c r="E4695" s="8" t="str">
        <f>IFERROR(__xludf.DUMMYFUNCTION("googletranslate(D4695,""id"",""en"")"),"Sumpaa PPKM doesn't have an impact on Covid, until + the case yesterday. But it has a really impact on whose producer is mediocre")</f>
        <v>Sumpaa PPKM doesn't have an impact on Covid, until + the case yesterday. But it has a really impact on whose producer is mediocre</v>
      </c>
    </row>
    <row r="4696" ht="15.75" customHeight="1">
      <c r="A4696" s="2">
        <v>4698.0</v>
      </c>
      <c r="B4696" s="5" t="s">
        <v>8610</v>
      </c>
      <c r="C4696" s="6">
        <v>2.0</v>
      </c>
      <c r="D4696" s="10" t="s">
        <v>8611</v>
      </c>
      <c r="E4696" s="8" t="str">
        <f>IFERROR(__xludf.DUMMYFUNCTION("googletranslate(D4696,""id"",""en"")"),"PPKM cum.")</f>
        <v>PPKM cum.</v>
      </c>
    </row>
    <row r="4697" ht="15.75" customHeight="1">
      <c r="A4697" s="2">
        <v>4699.0</v>
      </c>
      <c r="B4697" s="5" t="s">
        <v>8612</v>
      </c>
      <c r="C4697" s="6">
        <v>1.0</v>
      </c>
      <c r="D4697" s="7" t="s">
        <v>8613</v>
      </c>
      <c r="E4697" s="8" t="str">
        <f>IFERROR(__xludf.DUMMYFUNCTION("googletranslate(D4697,""id"",""en"")"),"When people are dizzy thinking about the strategy so that it survives during the PPKM, it actually ngetweet like this.")</f>
        <v>When people are dizzy thinking about the strategy so that it survives during the PPKM, it actually ngetweet like this.</v>
      </c>
    </row>
    <row r="4698" ht="15.75" customHeight="1">
      <c r="A4698" s="2">
        <v>4700.0</v>
      </c>
      <c r="B4698" s="5" t="s">
        <v>8614</v>
      </c>
      <c r="C4698" s="6">
        <v>1.0</v>
      </c>
      <c r="D4698" s="9" t="s">
        <v>8615</v>
      </c>
      <c r="E4698" s="8" t="str">
        <f>IFERROR(__xludf.DUMMYFUNCTION("googletranslate(D4698,""id"",""en"")"),"I think there is no urgency, sir raises the topic of SMCM when it becomes episentrum covid in the world; and some of the small people are confused tomorrow what to eat at this PPKM")</f>
        <v>I think there is no urgency, sir raises the topic of SMCM when it becomes episentrum covid in the world; and some of the small people are confused tomorrow what to eat at this PPKM</v>
      </c>
    </row>
    <row r="4699" ht="15.75" customHeight="1">
      <c r="A4699" s="2">
        <v>4701.0</v>
      </c>
      <c r="B4699" s="5" t="s">
        <v>8616</v>
      </c>
      <c r="C4699" s="6">
        <v>2.0</v>
      </c>
      <c r="D4699" s="9" t="s">
        <v>8617</v>
      </c>
      <c r="E4699" s="8" t="str">
        <f>IFERROR(__xludf.DUMMYFUNCTION("googletranslate(D4699,""id"",""en"")"),"Healing is quite early in the morning around the clock, Muterin Jogja Sisih Lor Kidul smpe while enjoying the quiet street because of PPKM ~")</f>
        <v>Healing is quite early in the morning around the clock, Muterin Jogja Sisih Lor Kidul smpe while enjoying the quiet street because of PPKM ~</v>
      </c>
    </row>
    <row r="4700" ht="15.75" customHeight="1">
      <c r="A4700" s="2">
        <v>4702.0</v>
      </c>
      <c r="B4700" s="5" t="s">
        <v>8618</v>
      </c>
      <c r="C4700" s="6">
        <v>3.0</v>
      </c>
      <c r="D4700" s="7" t="s">
        <v>8619</v>
      </c>
      <c r="E4700" s="8" t="str">
        <f>IFERROR(__xludf.DUMMYFUNCTION("googletranslate(D4700,""id"",""en"")"),"In the middle of the PPKM to the productivity increase WK")</f>
        <v>In the middle of the PPKM to the productivity increase WK</v>
      </c>
    </row>
    <row r="4701" ht="15.75" customHeight="1">
      <c r="A4701" s="2">
        <v>4703.0</v>
      </c>
      <c r="B4701" s="5" t="s">
        <v>8620</v>
      </c>
      <c r="C4701" s="6">
        <v>1.0</v>
      </c>
      <c r="D4701" s="9" t="s">
        <v>8621</v>
      </c>
      <c r="E4701" s="8" t="str">
        <f>IFERROR(__xludf.DUMMYFUNCTION("googletranslate(D4701,""id"",""en"")"),"Chinese TKA if you want to enter Indon when Emergency PPKM must be plastic surgery. You don't know Luhut says it's under control? Ask to luhut")</f>
        <v>Chinese TKA if you want to enter Indon when Emergency PPKM must be plastic surgery. You don't know Luhut says it's under control? Ask to luhut</v>
      </c>
    </row>
    <row r="4702" ht="15.75" customHeight="1">
      <c r="A4702" s="2">
        <v>4704.0</v>
      </c>
      <c r="B4702" s="5" t="s">
        <v>8622</v>
      </c>
      <c r="C4702" s="6">
        <v>1.0</v>
      </c>
      <c r="D4702" s="7" t="s">
        <v>8623</v>
      </c>
      <c r="E4702" s="8" t="str">
        <f>IFERROR(__xludf.DUMMYFUNCTION("googletranslate(D4702,""id"",""en"")"),"Government counter community (PPKM) .- + like Syahrini's song")</f>
        <v>Government counter community (PPKM) .- + like Syahrini's song</v>
      </c>
    </row>
    <row r="4703" ht="15.75" customHeight="1">
      <c r="A4703" s="2">
        <v>4705.0</v>
      </c>
      <c r="B4703" s="5" t="s">
        <v>8624</v>
      </c>
      <c r="C4703" s="6">
        <v>1.0</v>
      </c>
      <c r="D4703" s="7" t="s">
        <v>8625</v>
      </c>
      <c r="E4703" s="8" t="str">
        <f>IFERROR(__xludf.DUMMYFUNCTION("googletranslate(D4703,""id"",""en"")"),"PPKM Logic Be Like: - The queue of vaccines is not a crowd - congestion is also not a crowd - Pol PP Disbanding Traders Not the Kerumunanuman is Holy in the Mosque in Mosque, face-to-face schools, and traditional markets Always staying common sense")</f>
        <v>PPKM Logic Be Like: - The queue of vaccines is not a crowd - congestion is also not a crowd - Pol PP Disbanding Traders Not the Kerumunanuman is Holy in the Mosque in Mosque, face-to-face schools, and traditional markets Always staying common sense</v>
      </c>
    </row>
    <row r="4704" ht="15.75" customHeight="1">
      <c r="A4704" s="2">
        <v>4706.0</v>
      </c>
      <c r="B4704" s="5" t="s">
        <v>8626</v>
      </c>
      <c r="C4704" s="6">
        <v>1.0</v>
      </c>
      <c r="D4704" s="9" t="s">
        <v>8627</v>
      </c>
      <c r="E4704" s="8" t="str">
        <f>IFERROR(__xludf.DUMMYFUNCTION("googletranslate(D4704,""id"",""en"")"),"Paid a large pk of people's money is even delicious to watch soap operas. It doesn't think about the fate of the people who are difficult because of PPKM, it's hard to get medicine and O2.Ga has shame")</f>
        <v>Paid a large pk of people's money is even delicious to watch soap operas. It doesn't think about the fate of the people who are difficult because of PPKM, it's hard to get medicine and O2.Ga has shame</v>
      </c>
    </row>
    <row r="4705" ht="15.75" customHeight="1">
      <c r="A4705" s="2">
        <v>4707.0</v>
      </c>
      <c r="B4705" s="5" t="s">
        <v>8628</v>
      </c>
      <c r="C4705" s="6">
        <v>1.0</v>
      </c>
      <c r="D4705" s="9" t="s">
        <v>8629</v>
      </c>
      <c r="E4705" s="8" t="str">
        <f>IFERROR(__xludf.DUMMYFUNCTION("googletranslate(D4705,""id"",""en"")"),"PPKM only if there is a supervisor or media. the rest, people's awareness is still minimal")</f>
        <v>PPKM only if there is a supervisor or media. the rest, people's awareness is still minimal</v>
      </c>
    </row>
    <row r="4706" ht="15.75" customHeight="1">
      <c r="A4706" s="2">
        <v>4708.0</v>
      </c>
      <c r="B4706" s="5" t="s">
        <v>8630</v>
      </c>
      <c r="C4706" s="6">
        <v>2.0</v>
      </c>
      <c r="D4706" s="7" t="s">
        <v>8631</v>
      </c>
      <c r="E4706" s="8" t="str">
        <f>IFERROR(__xludf.DUMMYFUNCTION("googletranslate(D4706,""id"",""en"")"),"Because PPKM Without PP")</f>
        <v>Because PPKM Without PP</v>
      </c>
    </row>
    <row r="4707" ht="15.75" customHeight="1">
      <c r="A4707" s="2">
        <v>4709.0</v>
      </c>
      <c r="B4707" s="5" t="s">
        <v>8632</v>
      </c>
      <c r="C4707" s="6">
        <v>1.0</v>
      </c>
      <c r="D4707" s="9" t="s">
        <v>8633</v>
      </c>
      <c r="E4707" s="8" t="str">
        <f>IFERROR(__xludf.DUMMYFUNCTION("googletranslate(D4707,""id"",""en"")"),"This is arrogant again .. ppkm not solution, old people suffer.")</f>
        <v>This is arrogant again .. ppkm not solution, old people suffer.</v>
      </c>
    </row>
    <row r="4708" ht="15.75" customHeight="1">
      <c r="A4708" s="2">
        <v>4710.0</v>
      </c>
      <c r="B4708" s="5" t="s">
        <v>8634</v>
      </c>
      <c r="C4708" s="6">
        <v>2.0</v>
      </c>
      <c r="D4708" s="9" t="s">
        <v>8635</v>
      </c>
      <c r="E4708" s="8" t="str">
        <f>IFERROR(__xludf.DUMMYFUNCTION("googletranslate(D4708,""id"",""en"")"),"Want to ask to and bok ... Does the City Government Employees enter all during the Emergency PPKM ??? Please answer CC")</f>
        <v>Want to ask to and bok ... Does the City Government Employees enter all during the Emergency PPKM ??? Please answer CC</v>
      </c>
    </row>
    <row r="4709" ht="15.75" customHeight="1">
      <c r="A4709" s="2">
        <v>4711.0</v>
      </c>
      <c r="B4709" s="5" t="s">
        <v>8636</v>
      </c>
      <c r="C4709" s="6">
        <v>2.0</v>
      </c>
      <c r="D4709" s="9" t="s">
        <v>8637</v>
      </c>
      <c r="E4709" s="8" t="str">
        <f>IFERROR(__xludf.DUMMYFUNCTION("googletranslate(D4709,""id"",""en"")"),"Masiama Ma'am Militan Sorry Yesterday just stopped by for a while, Understandably, Emergency PPKM")</f>
        <v>Masiama Ma'am Militan Sorry Yesterday just stopped by for a while, Understandably, Emergency PPKM</v>
      </c>
    </row>
    <row r="4710" ht="15.75" customHeight="1">
      <c r="A4710" s="2">
        <v>4712.0</v>
      </c>
      <c r="B4710" s="5" t="s">
        <v>8638</v>
      </c>
      <c r="C4710" s="6">
        <v>1.0</v>
      </c>
      <c r="D4710" s="9" t="s">
        <v>8639</v>
      </c>
      <c r="E4710" s="8" t="str">
        <f>IFERROR(__xludf.DUMMYFUNCTION("googletranslate(D4710,""id"",""en"")"),"Again returned home Koh, instead got a covid family, gada place isan must go to the hotel, for days with money drained, look for flights home difficult, the condition is a lot because of the ppkm, yes, really mentally")</f>
        <v>Again returned home Koh, instead got a covid family, gada place isan must go to the hotel, for days with money drained, look for flights home difficult, the condition is a lot because of the ppkm, yes, really mentally</v>
      </c>
    </row>
    <row r="4711" ht="15.75" customHeight="1">
      <c r="A4711" s="2">
        <v>4713.0</v>
      </c>
      <c r="B4711" s="5" t="s">
        <v>8640</v>
      </c>
      <c r="C4711" s="6">
        <v>1.0</v>
      </c>
      <c r="D4711" s="9" t="s">
        <v>8641</v>
      </c>
      <c r="E4711" s="8" t="str">
        <f>IFERROR(__xludf.DUMMYFUNCTION("googletranslate(D4711,""id"",""en"")"),"Q even glad there was a PPKM, if it could be the end! The problem is living more comfortable, not Kemrungsung!")</f>
        <v>Q even glad there was a PPKM, if it could be the end! The problem is living more comfortable, not Kemrungsung!</v>
      </c>
    </row>
    <row r="4712" ht="15.75" customHeight="1">
      <c r="A4712" s="2">
        <v>4714.0</v>
      </c>
      <c r="B4712" s="5" t="s">
        <v>8642</v>
      </c>
      <c r="C4712" s="6">
        <v>1.0</v>
      </c>
      <c r="D4712" s="7" t="s">
        <v>8642</v>
      </c>
      <c r="E4712" s="8" t="str">
        <f>IFERROR(__xludf.DUMMYFUNCTION("googletranslate(D4712,""id"",""en"")"),"PPKM is not prohibited from selling but is forbidden poor")</f>
        <v>PPKM is not prohibited from selling but is forbidden poor</v>
      </c>
    </row>
    <row r="4713" ht="15.75" customHeight="1">
      <c r="A4713" s="2">
        <v>4715.0</v>
      </c>
      <c r="B4713" s="5" t="s">
        <v>8643</v>
      </c>
      <c r="C4713" s="6">
        <v>2.0</v>
      </c>
      <c r="D4713" s="10" t="s">
        <v>8644</v>
      </c>
      <c r="E4713" s="8" t="str">
        <f>IFERROR(__xludf.DUMMYFUNCTION("googletranslate(D4713,""id"",""en"")"),"PPKM Tau")</f>
        <v>PPKM Tau</v>
      </c>
    </row>
    <row r="4714" ht="15.75" customHeight="1">
      <c r="A4714" s="2">
        <v>4716.0</v>
      </c>
      <c r="B4714" s="5" t="s">
        <v>8645</v>
      </c>
      <c r="C4714" s="6">
        <v>1.0</v>
      </c>
      <c r="D4714" s="7" t="s">
        <v>8645</v>
      </c>
      <c r="E4714" s="8" t="str">
        <f>IFERROR(__xludf.DUMMYFUNCTION("googletranslate(D4714,""id"",""en"")"),"In the morning all ... even though the ppkm remains crowded ...")</f>
        <v>In the morning all ... even though the ppkm remains crowded ...</v>
      </c>
    </row>
    <row r="4715" ht="15.75" customHeight="1">
      <c r="A4715" s="2">
        <v>4717.0</v>
      </c>
      <c r="B4715" s="5" t="s">
        <v>8646</v>
      </c>
      <c r="C4715" s="6">
        <v>2.0</v>
      </c>
      <c r="D4715" s="7" t="s">
        <v>8647</v>
      </c>
      <c r="E4715" s="8" t="str">
        <f>IFERROR(__xludf.DUMMYFUNCTION("googletranslate(D4715,""id"",""en"")"),"Ppkmpagi kangen morning")</f>
        <v>Ppkmpagi kangen morning</v>
      </c>
    </row>
    <row r="4716" ht="15.75" customHeight="1">
      <c r="A4716" s="2">
        <v>4718.0</v>
      </c>
      <c r="B4716" s="5" t="s">
        <v>8648</v>
      </c>
      <c r="C4716" s="6">
        <v>1.0</v>
      </c>
      <c r="D4716" s="7" t="s">
        <v>8649</v>
      </c>
      <c r="E4716" s="8" t="str">
        <f>IFERROR(__xludf.DUMMYFUNCTION("googletranslate(D4716,""id"",""en"")"),"PPKM plan to date. 20 more days are complete. Si Cipeng Baru Eggs Ngebacot PPKM Without Social Assistance!")</f>
        <v>PPKM plan to date. 20 more days are complete. Si Cipeng Baru Eggs Ngebacot PPKM Without Social Assistance!</v>
      </c>
    </row>
    <row r="4717" ht="15.75" customHeight="1">
      <c r="A4717" s="2">
        <v>4719.0</v>
      </c>
      <c r="B4717" s="5" t="s">
        <v>8650</v>
      </c>
      <c r="C4717" s="6">
        <v>1.0</v>
      </c>
      <c r="D4717" s="7" t="s">
        <v>8651</v>
      </c>
      <c r="E4717" s="8" t="str">
        <f>IFERROR(__xludf.DUMMYFUNCTION("googletranslate(D4717,""id"",""en"")"),"Halahhh, in Daan Mogot PPKM Post, BS Passes. Cm queuing brake brake doan dah gt lwt")</f>
        <v>Halahhh, in Daan Mogot PPKM Post, BS Passes. Cm queuing brake brake doan dah gt lwt</v>
      </c>
    </row>
    <row r="4718" ht="15.75" customHeight="1">
      <c r="A4718" s="2">
        <v>4720.0</v>
      </c>
      <c r="B4718" s="5" t="s">
        <v>8652</v>
      </c>
      <c r="C4718" s="6">
        <v>2.0</v>
      </c>
      <c r="D4718" s="7" t="s">
        <v>8653</v>
      </c>
      <c r="E4718" s="8" t="str">
        <f>IFERROR(__xludf.DUMMYFUNCTION("googletranslate(D4718,""id"",""en"")"),"I hope the PPKM is tomorrow, the problem is that the Jungkook is already Live ~")</f>
        <v>I hope the PPKM is tomorrow, the problem is that the Jungkook is already Live ~</v>
      </c>
    </row>
    <row r="4719" ht="15.75" customHeight="1">
      <c r="A4719" s="2">
        <v>4721.0</v>
      </c>
      <c r="B4719" s="5" t="s">
        <v>8654</v>
      </c>
      <c r="C4719" s="6">
        <v>1.0</v>
      </c>
      <c r="D4719" s="7" t="s">
        <v>8655</v>
      </c>
      <c r="E4719" s="8" t="str">
        <f>IFERROR(__xludf.DUMMYFUNCTION("googletranslate(D4719,""id"",""en"")"),"Lockdown rules: given a PPKM regulation: restricted to eating, without being fed")</f>
        <v>Lockdown rules: given a PPKM regulation: restricted to eating, without being fed</v>
      </c>
    </row>
    <row r="4720" ht="15.75" customHeight="1">
      <c r="A4720" s="2">
        <v>4722.0</v>
      </c>
      <c r="B4720" s="5" t="s">
        <v>8656</v>
      </c>
      <c r="C4720" s="6">
        <v>2.0</v>
      </c>
      <c r="D4720" s="10" t="s">
        <v>8657</v>
      </c>
      <c r="E4720" s="8" t="str">
        <f>IFERROR(__xludf.DUMMYFUNCTION("googletranslate(D4720,""id"",""en"")"),"TP LG PPKM.")</f>
        <v>TP LG PPKM.</v>
      </c>
    </row>
    <row r="4721" ht="15.75" customHeight="1">
      <c r="A4721" s="2">
        <v>4723.0</v>
      </c>
      <c r="B4721" s="5" t="s">
        <v>8658</v>
      </c>
      <c r="C4721" s="6">
        <v>2.0</v>
      </c>
      <c r="D4721" s="7" t="s">
        <v>8659</v>
      </c>
      <c r="E4721" s="8" t="str">
        <f>IFERROR(__xludf.DUMMYFUNCTION("googletranslate(D4721,""id"",""en"")"),"Hands of PPKM fighters")</f>
        <v>Hands of PPKM fighters</v>
      </c>
    </row>
    <row r="4722" ht="15.75" customHeight="1">
      <c r="A4722" s="2">
        <v>4724.0</v>
      </c>
      <c r="B4722" s="5" t="s">
        <v>8660</v>
      </c>
      <c r="C4722" s="6">
        <v>2.0</v>
      </c>
      <c r="D4722" s="7" t="s">
        <v>8661</v>
      </c>
      <c r="E4722" s="8" t="str">
        <f>IFERROR(__xludf.DUMMYFUNCTION("googletranslate(D4722,""id"",""en"")"),"Here the ppkm is not tight.")</f>
        <v>Here the ppkm is not tight.</v>
      </c>
    </row>
    <row r="4723" ht="15.75" customHeight="1">
      <c r="A4723" s="2">
        <v>4725.0</v>
      </c>
      <c r="B4723" s="5" t="s">
        <v>8662</v>
      </c>
      <c r="C4723" s="6">
        <v>1.0</v>
      </c>
      <c r="D4723" s="7" t="s">
        <v>8663</v>
      </c>
      <c r="E4723" s="8" t="str">
        <f>IFERROR(__xludf.DUMMYFUNCTION("googletranslate(D4723,""id"",""en"")"),"What does the state think about seriously with his PPKM policy, about the basic needs and the basis of citizens? For many people to eat it is difficult, it hasn't contracted the house, paying electricity, vehicle installments? How come if you have to pay "&amp;"yourself.")</f>
        <v>What does the state think about seriously with his PPKM policy, about the basic needs and the basis of citizens? For many people to eat it is difficult, it hasn't contracted the house, paying electricity, vehicle installments? How come if you have to pay yourself.</v>
      </c>
    </row>
    <row r="4724" ht="15.75" customHeight="1">
      <c r="A4724" s="2">
        <v>4726.0</v>
      </c>
      <c r="B4724" s="5" t="s">
        <v>8664</v>
      </c>
      <c r="C4724" s="6">
        <v>2.0</v>
      </c>
      <c r="D4724" s="7" t="s">
        <v>8665</v>
      </c>
      <c r="E4724" s="8" t="str">
        <f>IFERROR(__xludf.DUMMYFUNCTION("googletranslate(D4724,""id"",""en"")"),"... lack of work, mending sports ala ppkm ...")</f>
        <v>... lack of work, mending sports ala ppkm ...</v>
      </c>
    </row>
    <row r="4725" ht="15.75" customHeight="1">
      <c r="A4725" s="2">
        <v>4727.0</v>
      </c>
      <c r="B4725" s="5" t="s">
        <v>8666</v>
      </c>
      <c r="C4725" s="6">
        <v>1.0</v>
      </c>
      <c r="D4725" s="7" t="s">
        <v>8667</v>
      </c>
      <c r="E4725" s="8" t="str">
        <f>IFERROR(__xludf.DUMMYFUNCTION("googletranslate(D4725,""id"",""en"")"),"You can even visit Haters' house instead, accompanied by the police too. strange.")</f>
        <v>You can even visit Haters' house instead, accompanied by the police too. strange.</v>
      </c>
    </row>
    <row r="4726" ht="15.75" customHeight="1">
      <c r="A4726" s="2">
        <v>4728.0</v>
      </c>
      <c r="B4726" s="5" t="s">
        <v>8668</v>
      </c>
      <c r="C4726" s="6">
        <v>1.0</v>
      </c>
      <c r="D4726" s="7" t="s">
        <v>8669</v>
      </c>
      <c r="E4726" s="8" t="str">
        <f>IFERROR(__xludf.DUMMYFUNCTION("googletranslate(D4726,""id"",""en"")"),"PPKM can be silent no")</f>
        <v>PPKM can be silent no</v>
      </c>
    </row>
    <row r="4727" ht="15.75" customHeight="1">
      <c r="A4727" s="2">
        <v>4729.0</v>
      </c>
      <c r="B4727" s="5" t="s">
        <v>8670</v>
      </c>
      <c r="C4727" s="6">
        <v>2.0</v>
      </c>
      <c r="D4727" s="10" t="s">
        <v>3179</v>
      </c>
      <c r="E4727" s="8" t="str">
        <f>IFERROR(__xludf.DUMMYFUNCTION("googletranslate(D4727,""id"",""en"")"),"PPKM effect")</f>
        <v>PPKM effect</v>
      </c>
    </row>
    <row r="4728" ht="15.75" customHeight="1">
      <c r="A4728" s="2">
        <v>4730.0</v>
      </c>
      <c r="B4728" s="5" t="s">
        <v>8671</v>
      </c>
      <c r="C4728" s="6">
        <v>2.0</v>
      </c>
      <c r="D4728" s="10" t="s">
        <v>8672</v>
      </c>
      <c r="E4728" s="8" t="str">
        <f>IFERROR(__xludf.DUMMYFUNCTION("googletranslate(D4728,""id"",""en"")"),"Msh ppkm.")</f>
        <v>Msh ppkm.</v>
      </c>
    </row>
    <row r="4729" ht="15.75" customHeight="1">
      <c r="A4729" s="2">
        <v>4731.0</v>
      </c>
      <c r="B4729" s="5" t="s">
        <v>8673</v>
      </c>
      <c r="C4729" s="6">
        <v>2.0</v>
      </c>
      <c r="D4729" s="9" t="s">
        <v>8674</v>
      </c>
      <c r="E4729" s="8" t="str">
        <f>IFERROR(__xludf.DUMMYFUNCTION("googletranslate(D4729,""id"",""en"")"),"Dr. First, so it's been aware ... it's just a ppkm, my office lights are off at the clock.")</f>
        <v>Dr. First, so it's been aware ... it's just a ppkm, my office lights are off at the clock.</v>
      </c>
    </row>
    <row r="4730" ht="15.75" customHeight="1">
      <c r="A4730" s="2">
        <v>4732.0</v>
      </c>
      <c r="B4730" s="5" t="s">
        <v>8675</v>
      </c>
      <c r="C4730" s="6">
        <v>2.0</v>
      </c>
      <c r="D4730" s="10" t="s">
        <v>8676</v>
      </c>
      <c r="E4730" s="8" t="str">
        <f>IFERROR(__xludf.DUMMYFUNCTION("googletranslate(D4730,""id"",""en"")"),"What is PPKM")</f>
        <v>What is PPKM</v>
      </c>
    </row>
    <row r="4731" ht="15.75" customHeight="1">
      <c r="A4731" s="2">
        <v>4733.0</v>
      </c>
      <c r="B4731" s="5" t="s">
        <v>8677</v>
      </c>
      <c r="C4731" s="6">
        <v>2.0</v>
      </c>
      <c r="D4731" s="9" t="s">
        <v>8678</v>
      </c>
      <c r="E4731" s="8" t="str">
        <f>IFERROR(__xludf.DUMMYFUNCTION("googletranslate(D4731,""id"",""en"")"),"After ppkm yes ... just baek first there")</f>
        <v>After ppkm yes ... just baek first there</v>
      </c>
    </row>
    <row r="4732" ht="15.75" customHeight="1">
      <c r="A4732" s="2">
        <v>4734.0</v>
      </c>
      <c r="B4732" s="5" t="s">
        <v>8679</v>
      </c>
      <c r="C4732" s="6">
        <v>2.0</v>
      </c>
      <c r="D4732" s="7" t="s">
        <v>8680</v>
      </c>
      <c r="E4732" s="8" t="str">
        <f>IFERROR(__xludf.DUMMYFUNCTION("googletranslate(D4732,""id"",""en"")"),"It was in the first sentence the same second he was discussing the haters, just in the next sentence he was a PPKM problem.")</f>
        <v>It was in the first sentence the same second he was discussing the haters, just in the next sentence he was a PPKM problem.</v>
      </c>
    </row>
    <row r="4733" ht="15.75" customHeight="1">
      <c r="A4733" s="2">
        <v>4735.0</v>
      </c>
      <c r="B4733" s="5" t="s">
        <v>8681</v>
      </c>
      <c r="C4733" s="6">
        <v>2.0</v>
      </c>
      <c r="D4733" s="7" t="s">
        <v>8682</v>
      </c>
      <c r="E4733" s="8" t="str">
        <f>IFERROR(__xludf.DUMMYFUNCTION("googletranslate(D4733,""id"",""en"")"),"Still PPKM, wkwkwk")</f>
        <v>Still PPKM, wkwkwk</v>
      </c>
    </row>
    <row r="4734" ht="15.75" customHeight="1">
      <c r="A4734" s="2">
        <v>4736.0</v>
      </c>
      <c r="B4734" s="5" t="s">
        <v>8683</v>
      </c>
      <c r="C4734" s="6">
        <v>1.0</v>
      </c>
      <c r="D4734" s="9" t="s">
        <v>8684</v>
      </c>
      <c r="E4734" s="8" t="str">
        <f>IFERROR(__xludf.DUMMYFUNCTION("googletranslate(D4734,""id"",""en"")"),"The country's disaster if death every day still above people per day, yesterday, did PPKM effectively reduce death? Help our brother Hi the rulers of this country.")</f>
        <v>The country's disaster if death every day still above people per day, yesterday, did PPKM effectively reduce death? Help our brother Hi the rulers of this country.</v>
      </c>
    </row>
    <row r="4735" ht="15.75" customHeight="1">
      <c r="A4735" s="2">
        <v>4737.0</v>
      </c>
      <c r="B4735" s="5" t="s">
        <v>8685</v>
      </c>
      <c r="C4735" s="6">
        <v>1.0</v>
      </c>
      <c r="D4735" s="7" t="s">
        <v>8686</v>
      </c>
      <c r="E4735" s="8" t="str">
        <f>IFERROR(__xludf.DUMMYFUNCTION("googletranslate(D4735,""id"",""en"")"),"Get Well Soon, Mbak Zang Beiwen. Later we will play again on the UB Sport Center after the pandemic subsides and there is no PPKM Ala Richeesse Factory using Level Levelan.")</f>
        <v>Get Well Soon, Mbak Zang Beiwen. Later we will play again on the UB Sport Center after the pandemic subsides and there is no PPKM Ala Richeesse Factory using Level Levelan.</v>
      </c>
    </row>
    <row r="4736" ht="15.75" customHeight="1">
      <c r="A4736" s="2">
        <v>4738.0</v>
      </c>
      <c r="B4736" s="5" t="s">
        <v>8687</v>
      </c>
      <c r="C4736" s="6">
        <v>1.0</v>
      </c>
      <c r="D4736" s="7" t="s">
        <v>8687</v>
      </c>
      <c r="E4736" s="8" t="str">
        <f>IFERROR(__xludf.DUMMYFUNCTION("googletranslate(D4736,""id"",""en"")"),"Ppkm = slowly we slowly spine")</f>
        <v>Ppkm = slowly we slowly spine</v>
      </c>
    </row>
    <row r="4737" ht="15.75" customHeight="1">
      <c r="A4737" s="2">
        <v>4739.0</v>
      </c>
      <c r="B4737" s="5" t="s">
        <v>8688</v>
      </c>
      <c r="C4737" s="6">
        <v>1.0</v>
      </c>
      <c r="D4737" s="7" t="s">
        <v>8689</v>
      </c>
      <c r="E4737" s="8" t="str">
        <f>IFERROR(__xludf.DUMMYFUNCTION("googletranslate(D4737,""id"",""en"")"),"Ppkm sense ""to oppress the people")</f>
        <v>Ppkm sense "to oppress the people</v>
      </c>
    </row>
    <row r="4738" ht="15.75" customHeight="1">
      <c r="A4738" s="2">
        <v>4740.0</v>
      </c>
      <c r="B4738" s="5" t="s">
        <v>8690</v>
      </c>
      <c r="C4738" s="6">
        <v>2.0</v>
      </c>
      <c r="D4738" s="10" t="s">
        <v>8691</v>
      </c>
      <c r="E4738" s="8" t="str">
        <f>IFERROR(__xludf.DUMMYFUNCTION("googletranslate(D4738,""id"",""en"")"),"Still PPKM Da.")</f>
        <v>Still PPKM Da.</v>
      </c>
    </row>
    <row r="4739" ht="15.75" customHeight="1">
      <c r="A4739" s="2">
        <v>4741.0</v>
      </c>
      <c r="B4739" s="5" t="s">
        <v>8692</v>
      </c>
      <c r="C4739" s="6">
        <v>2.0</v>
      </c>
      <c r="D4739" s="9" t="s">
        <v>8693</v>
      </c>
      <c r="E4739" s="8" t="str">
        <f>IFERROR(__xludf.DUMMYFUNCTION("googletranslate(D4739,""id"",""en"")"),"If you first, if you want to take a package book, yeah, you first go to the guardian of the library, you want to book, then we will just take it, it's simple, sometimes we are told to be independent in all things because now again the ppmm is not able to "&amp;"go to the library")</f>
        <v>If you first, if you want to take a package book, yeah, you first go to the guardian of the library, you want to book, then we will just take it, it's simple, sometimes we are told to be independent in all things because now again the ppmm is not able to go to the library</v>
      </c>
    </row>
    <row r="4740" ht="15.75" customHeight="1">
      <c r="A4740" s="2">
        <v>4742.0</v>
      </c>
      <c r="B4740" s="5" t="s">
        <v>8694</v>
      </c>
      <c r="C4740" s="6">
        <v>2.0</v>
      </c>
      <c r="D4740" s="10" t="s">
        <v>8695</v>
      </c>
      <c r="E4740" s="8" t="str">
        <f>IFERROR(__xludf.DUMMYFUNCTION("googletranslate(D4740,""id"",""en"")"),"Hemmm ... ppkm.")</f>
        <v>Hemmm ... ppkm.</v>
      </c>
    </row>
    <row r="4741" ht="15.75" customHeight="1">
      <c r="A4741" s="2">
        <v>4743.0</v>
      </c>
      <c r="B4741" s="5" t="s">
        <v>8696</v>
      </c>
      <c r="C4741" s="6">
        <v>2.0</v>
      </c>
      <c r="D4741" s="7" t="s">
        <v>8696</v>
      </c>
      <c r="E4741" s="8" t="str">
        <f>IFERROR(__xludf.DUMMYFUNCTION("googletranslate(D4741,""id"",""en"")"),"Kira2 ppkm extended lg gasiiii?")</f>
        <v>Kira2 ppkm extended lg gasiiii?</v>
      </c>
    </row>
    <row r="4742" ht="15.75" customHeight="1">
      <c r="A4742" s="2">
        <v>4744.0</v>
      </c>
      <c r="B4742" s="5" t="s">
        <v>8697</v>
      </c>
      <c r="C4742" s="6">
        <v>2.0</v>
      </c>
      <c r="D4742" s="7" t="s">
        <v>8698</v>
      </c>
      <c r="E4742" s="8" t="str">
        <f>IFERROR(__xludf.DUMMYFUNCTION("googletranslate(D4742,""id"",""en"")"),"Sok tweet like this. Where the demo rejects PPKM in Bandung, how come there is no sound?")</f>
        <v>Sok tweet like this. Where the demo rejects PPKM in Bandung, how come there is no sound?</v>
      </c>
    </row>
    <row r="4743" ht="15.75" customHeight="1">
      <c r="A4743" s="2">
        <v>4745.0</v>
      </c>
      <c r="B4743" s="5" t="s">
        <v>8699</v>
      </c>
      <c r="C4743" s="6">
        <v>1.0</v>
      </c>
      <c r="D4743" s="7" t="s">
        <v>8700</v>
      </c>
      <c r="E4743" s="8" t="str">
        <f>IFERROR(__xludf.DUMMYFUNCTION("googletranslate(D4743,""id"",""en"")"),"Playing Victim as if the victim of the PPKM ...")</f>
        <v>Playing Victim as if the victim of the PPKM ...</v>
      </c>
    </row>
    <row r="4744" ht="15.75" customHeight="1">
      <c r="A4744" s="2">
        <v>4746.0</v>
      </c>
      <c r="B4744" s="5" t="s">
        <v>8701</v>
      </c>
      <c r="C4744" s="6">
        <v>1.0</v>
      </c>
      <c r="D4744" s="7" t="s">
        <v>8702</v>
      </c>
      <c r="E4744" s="8" t="str">
        <f>IFERROR(__xludf.DUMMYFUNCTION("googletranslate(D4744,""id"",""en"")"),"Ppkm ppkm w tu mo jogging anjrit")</f>
        <v>Ppkm ppkm w tu mo jogging anjrit</v>
      </c>
    </row>
    <row r="4745" ht="15.75" customHeight="1">
      <c r="A4745" s="2">
        <v>4747.0</v>
      </c>
      <c r="B4745" s="5" t="s">
        <v>8703</v>
      </c>
      <c r="C4745" s="6">
        <v>1.0</v>
      </c>
      <c r="D4745" s="9" t="s">
        <v>8703</v>
      </c>
      <c r="E4745" s="8" t="str">
        <f>IFERROR(__xludf.DUMMYFUNCTION("googletranslate(D4745,""id"",""en"")"),"The prayer of pilgrims in the mosque ""SDH took place since last Wednesday, the taste"" did not be extended because Agustusan could fall apart. Today's jumatan is held. PPKM is needed to stay away from the ummah of DR Iedhul Adha and the sacrificial routi"&amp;"ne. No more. Can read right!")</f>
        <v>The prayer of pilgrims in the mosque "SDH took place since last Wednesday, the taste" did not be extended because Agustusan could fall apart. Today's jumatan is held. PPKM is needed to stay away from the ummah of DR Iedhul Adha and the sacrificial routine. No more. Can read right!</v>
      </c>
    </row>
    <row r="4746" ht="15.75" customHeight="1">
      <c r="A4746" s="2">
        <v>4748.0</v>
      </c>
      <c r="B4746" s="5" t="s">
        <v>8704</v>
      </c>
      <c r="C4746" s="6">
        <v>1.0</v>
      </c>
      <c r="D4746" s="9" t="s">
        <v>8705</v>
      </c>
      <c r="E4746" s="8" t="str">
        <f>IFERROR(__xludf.DUMMYFUNCTION("googletranslate(D4746,""id"",""en"")"),"Mr. Jokowi continued the infrastructure. Free all from PPKM. Let the nature determine who was first and who was later.")</f>
        <v>Mr. Jokowi continued the infrastructure. Free all from PPKM. Let the nature determine who was first and who was later.</v>
      </c>
    </row>
    <row r="4747" ht="15.75" customHeight="1">
      <c r="A4747" s="2">
        <v>4749.0</v>
      </c>
      <c r="B4747" s="5" t="s">
        <v>8706</v>
      </c>
      <c r="C4747" s="6">
        <v>1.0</v>
      </c>
      <c r="D4747" s="7" t="s">
        <v>8707</v>
      </c>
      <c r="E4747" s="8" t="str">
        <f>IFERROR(__xludf.DUMMYFUNCTION("googletranslate(D4747,""id"",""en"")"),"Mr. Mr. Government ... sir, sir, sorry !! Actually, we have late if you have to do this PPKM, sir, the one even worsens the situation. The purpose of the PPKM if I am not wrong is to minimize the level of people's mobility, sir? But what happened? Solid c"&amp;"reep! Carry on..")</f>
        <v>Mr. Mr. Government ... sir, sir, sorry !! Actually, we have late if you have to do this PPKM, sir, the one even worsens the situation. The purpose of the PPKM if I am not wrong is to minimize the level of people's mobility, sir? But what happened? Solid creep! Carry on..</v>
      </c>
    </row>
    <row r="4748" ht="15.75" customHeight="1">
      <c r="A4748" s="2">
        <v>4750.0</v>
      </c>
      <c r="B4748" s="5" t="s">
        <v>8708</v>
      </c>
      <c r="C4748" s="6">
        <v>1.0</v>
      </c>
      <c r="D4748" s="7" t="s">
        <v>8709</v>
      </c>
      <c r="E4748" s="8" t="str">
        <f>IFERROR(__xludf.DUMMYFUNCTION("googletranslate(D4748,""id"",""en"")"),"Want to Teller; __; because the quota is recommended by PPKM gini")</f>
        <v>Want to Teller; __; because the quota is recommended by PPKM gini</v>
      </c>
    </row>
    <row r="4749" ht="15.75" customHeight="1">
      <c r="A4749" s="2">
        <v>4751.0</v>
      </c>
      <c r="B4749" s="5" t="s">
        <v>8710</v>
      </c>
      <c r="C4749" s="6">
        <v>1.0</v>
      </c>
      <c r="D4749" s="9" t="s">
        <v>8711</v>
      </c>
      <c r="E4749" s="8" t="str">
        <f>IFERROR(__xludf.DUMMYFUNCTION("googletranslate(D4749,""id"",""en"")"),"ppkm instead of cohesive jak rojak, look for what sensation is what?")</f>
        <v>ppkm instead of cohesive jak rojak, look for what sensation is what?</v>
      </c>
    </row>
    <row r="4750" ht="15.75" customHeight="1">
      <c r="A4750" s="2">
        <v>4752.0</v>
      </c>
      <c r="B4750" s="5" t="s">
        <v>8712</v>
      </c>
      <c r="C4750" s="6">
        <v>1.0</v>
      </c>
      <c r="D4750" s="7" t="s">
        <v>8712</v>
      </c>
      <c r="E4750" s="8" t="str">
        <f>IFERROR(__xludf.DUMMYFUNCTION("googletranslate(D4750,""id"",""en"")"),"Ppkm: morning morning getting mentally")</f>
        <v>Ppkm: morning morning getting mentally</v>
      </c>
    </row>
    <row r="4751" ht="15.75" customHeight="1">
      <c r="A4751" s="2">
        <v>4753.0</v>
      </c>
      <c r="B4751" s="5" t="s">
        <v>8713</v>
      </c>
      <c r="C4751" s="6">
        <v>1.0</v>
      </c>
      <c r="D4751" s="7" t="s">
        <v>8714</v>
      </c>
      <c r="E4751" s="8" t="str">
        <f>IFERROR(__xludf.DUMMYFUNCTION("googletranslate(D4751,""id"",""en"")"),"Already LDR, he asked at the Ponpes, PPKM again.")</f>
        <v>Already LDR, he asked at the Ponpes, PPKM again.</v>
      </c>
    </row>
    <row r="4752" ht="15.75" customHeight="1">
      <c r="A4752" s="2">
        <v>4754.0</v>
      </c>
      <c r="B4752" s="5" t="s">
        <v>8715</v>
      </c>
      <c r="C4752" s="6">
        <v>2.0</v>
      </c>
      <c r="D4752" s="7" t="s">
        <v>8716</v>
      </c>
      <c r="E4752" s="8" t="str">
        <f>IFERROR(__xludf.DUMMYFUNCTION("googletranslate(D4752,""id"",""en"")"),"Wow, change the name of the oblet on again, psbb, ppkm esteity, ........ ??")</f>
        <v>Wow, change the name of the oblet on again, psbb, ppkm esteity, ........ ??</v>
      </c>
    </row>
    <row r="4753" ht="15.75" customHeight="1">
      <c r="A4753" s="2">
        <v>4755.0</v>
      </c>
      <c r="B4753" s="5" t="s">
        <v>8717</v>
      </c>
      <c r="C4753" s="6">
        <v>2.0</v>
      </c>
      <c r="D4753" s="7" t="s">
        <v>8718</v>
      </c>
      <c r="E4753" s="8" t="str">
        <f>IFERROR(__xludf.DUMMYFUNCTION("googletranslate(D4753,""id"",""en"")"),"Minus in broke up sm ppkm who made a lot of work schedule in cut aj si, but the scraper is not directly on the cut schedule maybe it's productive time")</f>
        <v>Minus in broke up sm ppkm who made a lot of work schedule in cut aj si, but the scraper is not directly on the cut schedule maybe it's productive time</v>
      </c>
    </row>
    <row r="4754" ht="15.75" customHeight="1">
      <c r="A4754" s="2">
        <v>4756.0</v>
      </c>
      <c r="B4754" s="5" t="s">
        <v>8719</v>
      </c>
      <c r="C4754" s="6">
        <v>1.0</v>
      </c>
      <c r="D4754" s="7" t="s">
        <v>8720</v>
      </c>
      <c r="E4754" s="8" t="str">
        <f>IFERROR(__xludf.DUMMYFUNCTION("googletranslate(D4754,""id"",""en"")"),"Even though again PPKM.")</f>
        <v>Even though again PPKM.</v>
      </c>
    </row>
    <row r="4755" ht="15.75" customHeight="1">
      <c r="A4755" s="2">
        <v>4757.0</v>
      </c>
      <c r="B4755" s="5" t="s">
        <v>8721</v>
      </c>
      <c r="C4755" s="6">
        <v>2.0</v>
      </c>
      <c r="D4755" s="7" t="s">
        <v>8722</v>
      </c>
      <c r="E4755" s="8" t="str">
        <f>IFERROR(__xludf.DUMMYFUNCTION("googletranslate(D4755,""id"",""en"")"),"The PPKM is not yet distanting me from you Kez, I'm syg, Km Knp, let's kiss")</f>
        <v>The PPKM is not yet distanting me from you Kez, I'm syg, Km Knp, let's kiss</v>
      </c>
    </row>
    <row r="4756" ht="15.75" customHeight="1">
      <c r="A4756" s="2">
        <v>4758.0</v>
      </c>
      <c r="B4756" s="5" t="s">
        <v>8723</v>
      </c>
      <c r="C4756" s="6">
        <v>2.0</v>
      </c>
      <c r="D4756" s="9" t="s">
        <v>8724</v>
      </c>
      <c r="E4756" s="8" t="str">
        <f>IFERROR(__xludf.DUMMYFUNCTION("googletranslate(D4756,""id"",""en"")"),"In Santika BSD before the PPKM has been buffet. But there are staff who take TIRE SIEP STALL NYADI QUBIKA BSD also has been buffet, the prokes are the most distance of TIRE TEIK TAIK, so, so doang")</f>
        <v>In Santika BSD before the PPKM has been buffet. But there are staff who take TIRE SIEP STALL NYADI QUBIKA BSD also has been buffet, the prokes are the most distance of TIRE TEIK TAIK, so, so doang</v>
      </c>
    </row>
    <row r="4757" ht="15.75" customHeight="1">
      <c r="A4757" s="2">
        <v>4759.0</v>
      </c>
      <c r="B4757" s="5" t="s">
        <v>8725</v>
      </c>
      <c r="C4757" s="6">
        <v>1.0</v>
      </c>
      <c r="D4757" s="7" t="s">
        <v>8725</v>
      </c>
      <c r="E4757" s="8" t="str">
        <f>IFERROR(__xludf.DUMMYFUNCTION("googletranslate(D4757,""id"",""en"")"),"Ppkm when to stop jingan")</f>
        <v>Ppkm when to stop jingan</v>
      </c>
    </row>
    <row r="4758" ht="15.75" customHeight="1">
      <c r="A4758" s="2">
        <v>4760.0</v>
      </c>
      <c r="B4758" s="5" t="s">
        <v>8726</v>
      </c>
      <c r="C4758" s="6">
        <v>1.0</v>
      </c>
      <c r="D4758" s="7" t="s">
        <v>8727</v>
      </c>
      <c r="E4758" s="8" t="str">
        <f>IFERROR(__xludf.DUMMYFUNCTION("googletranslate(D4758,""id"",""en"")"),"I just want to watch the Tokyo Olympics, it's just that. Gabut, a lot of money, PPKM level doesn't have chili.")</f>
        <v>I just want to watch the Tokyo Olympics, it's just that. Gabut, a lot of money, PPKM level doesn't have chili.</v>
      </c>
    </row>
    <row r="4759" ht="15.75" customHeight="1">
      <c r="A4759" s="2">
        <v>4761.0</v>
      </c>
      <c r="B4759" s="5" t="s">
        <v>8728</v>
      </c>
      <c r="C4759" s="6">
        <v>1.0</v>
      </c>
      <c r="D4759" s="7" t="s">
        <v>8729</v>
      </c>
      <c r="E4759" s="8" t="str">
        <f>IFERROR(__xludf.DUMMYFUNCTION("googletranslate(D4759,""id"",""en"")"),"Let's move samperin abangnya, uh but ppkm")</f>
        <v>Let's move samperin abangnya, uh but ppkm</v>
      </c>
    </row>
    <row r="4760" ht="15.75" customHeight="1">
      <c r="A4760" s="2">
        <v>4762.0</v>
      </c>
      <c r="B4760" s="5" t="s">
        <v>8730</v>
      </c>
      <c r="C4760" s="6">
        <v>2.0</v>
      </c>
      <c r="D4760" s="9" t="s">
        <v>8731</v>
      </c>
      <c r="E4760" s="8" t="str">
        <f>IFERROR(__xludf.DUMMYFUNCTION("googletranslate(D4760,""id"",""en"")"),"Wihhh date old ni sob ... in the Emergency Emergency of this level extension, how do you expends bro ...? What's more ngirit even wasteful ...?")</f>
        <v>Wihhh date old ni sob ... in the Emergency Emergency of this level extension, how do you expends bro ...? What's more ngirit even wasteful ...?</v>
      </c>
    </row>
    <row r="4761" ht="15.75" customHeight="1">
      <c r="A4761" s="2">
        <v>4763.0</v>
      </c>
      <c r="B4761" s="5" t="s">
        <v>8732</v>
      </c>
      <c r="C4761" s="6">
        <v>1.0</v>
      </c>
      <c r="D4761" s="7" t="s">
        <v>8733</v>
      </c>
      <c r="E4761" s="8" t="str">
        <f>IFERROR(__xludf.DUMMYFUNCTION("googletranslate(D4761,""id"",""en"")"),"""Lots of trans women are boro-boro screaming, just eat it already gratitude"" This is really really, I'm experiencing it. Lamar jobs here and there are often rejected. Sempet accepted so domestic workers, but must stop because of emergency ppkm. Finally "&amp;"now look for money through the task jockey.")</f>
        <v>"Lots of trans women are boro-boro screaming, just eat it already gratitude" This is really really, I'm experiencing it. Lamar jobs here and there are often rejected. Sempet accepted so domestic workers, but must stop because of emergency ppkm. Finally now look for money through the task jockey.</v>
      </c>
    </row>
    <row r="4762" ht="15.75" customHeight="1">
      <c r="A4762" s="2">
        <v>4764.0</v>
      </c>
      <c r="B4762" s="5" t="s">
        <v>8734</v>
      </c>
      <c r="C4762" s="6">
        <v>3.0</v>
      </c>
      <c r="D4762" s="7" t="s">
        <v>8735</v>
      </c>
      <c r="E4762" s="8" t="str">
        <f>IFERROR(__xludf.DUMMYFUNCTION("googletranslate(D4762,""id"",""en"")"),"For the sake of the safety of the people, Deputy Speaker of the House Support PPKM extended with Jokowi")</f>
        <v>For the sake of the safety of the people, Deputy Speaker of the House Support PPKM extended with Jokowi</v>
      </c>
    </row>
    <row r="4763" ht="15.75" customHeight="1">
      <c r="A4763" s="2">
        <v>4765.0</v>
      </c>
      <c r="B4763" s="5" t="s">
        <v>8736</v>
      </c>
      <c r="C4763" s="6">
        <v>1.0</v>
      </c>
      <c r="D4763" s="9" t="s">
        <v>8737</v>
      </c>
      <c r="E4763" s="8" t="str">
        <f>IFERROR(__xludf.DUMMYFUNCTION("googletranslate(D4763,""id"",""en"")"),"Idihh just asking for the PPKM, what can I come out, right, bro, for a covid destination, if it's not important, it's not very important to leave the house. Don't selfish Lahh we all also bored, actually the same as PPKM, but what do you want, he's becaus"&amp;"e of the problem of Hatters until you come out -")</f>
        <v>Idihh just asking for the PPKM, what can I come out, right, bro, for a covid destination, if it's not important, it's not very important to leave the house. Don't selfish Lahh we all also bored, actually the same as PPKM, but what do you want, he's because of the problem of Hatters until you come out -</v>
      </c>
    </row>
    <row r="4764" ht="15.75" customHeight="1">
      <c r="A4764" s="2">
        <v>4766.0</v>
      </c>
      <c r="B4764" s="5" t="s">
        <v>8738</v>
      </c>
      <c r="C4764" s="6">
        <v>1.0</v>
      </c>
      <c r="D4764" s="7" t="s">
        <v>8739</v>
      </c>
      <c r="E4764" s="8" t="str">
        <f>IFERROR(__xludf.DUMMYFUNCTION("googletranslate(D4764,""id"",""en"")"),"PPKM Marai Issle.")</f>
        <v>PPKM Marai Issle.</v>
      </c>
    </row>
    <row r="4765" ht="15.75" customHeight="1">
      <c r="A4765" s="2">
        <v>4767.0</v>
      </c>
      <c r="B4765" s="5" t="s">
        <v>8740</v>
      </c>
      <c r="C4765" s="6">
        <v>1.0</v>
      </c>
      <c r="D4765" s="9" t="s">
        <v>8741</v>
      </c>
      <c r="E4765" s="8" t="str">
        <f>IFERROR(__xludf.DUMMYFUNCTION("googletranslate(D4765,""id"",""en"")"),"What is Lokdon? Ppkm just stupid right")</f>
        <v>What is Lokdon? Ppkm just stupid right</v>
      </c>
    </row>
    <row r="4766" ht="15.75" customHeight="1">
      <c r="A4766" s="2">
        <v>4768.0</v>
      </c>
      <c r="B4766" s="5" t="s">
        <v>8742</v>
      </c>
      <c r="C4766" s="6">
        <v>2.0</v>
      </c>
      <c r="D4766" s="7" t="s">
        <v>8743</v>
      </c>
      <c r="E4766" s="8" t="str">
        <f>IFERROR(__xludf.DUMMYFUNCTION("googletranslate(D4766,""id"",""en"")"),"Instead of a few buildings have rules even before the ppkm clock at that time the lights are monitored?")</f>
        <v>Instead of a few buildings have rules even before the ppkm clock at that time the lights are monitored?</v>
      </c>
    </row>
    <row r="4767" ht="15.75" customHeight="1">
      <c r="A4767" s="2">
        <v>4769.0</v>
      </c>
      <c r="B4767" s="5" t="s">
        <v>8744</v>
      </c>
      <c r="C4767" s="6">
        <v>1.0</v>
      </c>
      <c r="D4767" s="7" t="s">
        <v>8745</v>
      </c>
      <c r="E4767" s="8" t="str">
        <f>IFERROR(__xludf.DUMMYFUNCTION("googletranslate(D4767,""id"",""en"")"),"The more the government talks (Jokowi) more and more people's deaths mean the meaning of PPKM, 1,2,3,4 not news of death exposed Covid reaching RB of the people of Indonesia, PPKM ""PLONGO PLONGO less than thinking""")</f>
        <v>The more the government talks (Jokowi) more and more people's deaths mean the meaning of PPKM, 1,2,3,4 not news of death exposed Covid reaching RB of the people of Indonesia, PPKM "PLONGO PLONGO less than thinking"</v>
      </c>
    </row>
    <row r="4768" ht="15.75" customHeight="1">
      <c r="A4768" s="2">
        <v>4770.0</v>
      </c>
      <c r="B4768" s="5" t="s">
        <v>8746</v>
      </c>
      <c r="C4768" s="6">
        <v>3.0</v>
      </c>
      <c r="D4768" s="7" t="s">
        <v>8747</v>
      </c>
      <c r="E4768" s="8" t="str">
        <f>IFERROR(__xludf.DUMMYFUNCTION("googletranslate(D4768,""id"",""en"")"),"Happy to hear, there are additional funds for work. At least this can relieve their hearts when affected by PPKM.")</f>
        <v>Happy to hear, there are additional funds for work. At least this can relieve their hearts when affected by PPKM.</v>
      </c>
    </row>
    <row r="4769" ht="15.75" customHeight="1">
      <c r="A4769" s="2">
        <v>4771.0</v>
      </c>
      <c r="B4769" s="5" t="s">
        <v>8748</v>
      </c>
      <c r="C4769" s="6">
        <v>3.0</v>
      </c>
      <c r="D4769" s="7" t="s">
        <v>8749</v>
      </c>
      <c r="E4769" s="8" t="str">
        <f>IFERROR(__xludf.DUMMYFUNCTION("googletranslate(D4769,""id"",""en"")"),"Moved PPKM Paid Full")</f>
        <v>Moved PPKM Paid Full</v>
      </c>
    </row>
    <row r="4770" ht="15.75" customHeight="1">
      <c r="A4770" s="2">
        <v>4772.0</v>
      </c>
      <c r="B4770" s="5" t="s">
        <v>8750</v>
      </c>
      <c r="C4770" s="6">
        <v>1.0</v>
      </c>
      <c r="D4770" s="7" t="s">
        <v>8751</v>
      </c>
      <c r="E4770" s="8" t="str">
        <f>IFERROR(__xludf.DUMMYFUNCTION("googletranslate(D4770,""id"",""en"")"),"I am not sure people can be given this news. Covid numbers down, the zone improves, etc ... Seruusss ... not long ago PPKM finished, all on the holiday again .. sure dehhh")</f>
        <v>I am not sure people can be given this news. Covid numbers down, the zone improves, etc ... Seruusss ... not long ago PPKM finished, all on the holiday again .. sure dehhh</v>
      </c>
    </row>
    <row r="4771" ht="15.75" customHeight="1">
      <c r="A4771" s="2">
        <v>4773.0</v>
      </c>
      <c r="B4771" s="5" t="s">
        <v>8752</v>
      </c>
      <c r="C4771" s="6">
        <v>1.0</v>
      </c>
      <c r="D4771" s="9" t="s">
        <v>8753</v>
      </c>
      <c r="E4771" s="8" t="str">
        <f>IFERROR(__xludf.DUMMYFUNCTION("googletranslate(D4771,""id"",""en"")"),"PPKM makes a brutal mind, need to be a really short trip")</f>
        <v>PPKM makes a brutal mind, need to be a really short trip</v>
      </c>
    </row>
    <row r="4772" ht="15.75" customHeight="1">
      <c r="A4772" s="2">
        <v>4774.0</v>
      </c>
      <c r="B4772" s="5" t="s">
        <v>8754</v>
      </c>
      <c r="C4772" s="6">
        <v>3.0</v>
      </c>
      <c r="D4772" s="7" t="s">
        <v>8755</v>
      </c>
      <c r="E4772" s="8" t="str">
        <f>IFERROR(__xludf.DUMMYFUNCTION("googletranslate(D4772,""id"",""en"")"),"Alhamdulillah, this is good news for PPKM's affected workers. Hopefully it can be used as needed.")</f>
        <v>Alhamdulillah, this is good news for PPKM's affected workers. Hopefully it can be used as needed.</v>
      </c>
    </row>
    <row r="4773" ht="15.75" customHeight="1">
      <c r="A4773" s="2">
        <v>4775.0</v>
      </c>
      <c r="B4773" s="5" t="s">
        <v>8756</v>
      </c>
      <c r="C4773" s="6">
        <v>3.0</v>
      </c>
      <c r="D4773" s="9" t="s">
        <v>8757</v>
      </c>
      <c r="E4773" s="8" t="str">
        <f>IFERROR(__xludf.DUMMYFUNCTION("googletranslate(D4773,""id"",""en"")"),"Alhamdulillah, me. Already swab negative times. Even though from the beginning of March it was always full of work until the PPKM. Alhamdulillah is very grateful.")</f>
        <v>Alhamdulillah, me. Already swab negative times. Even though from the beginning of March it was always full of work until the PPKM. Alhamdulillah is very grateful.</v>
      </c>
    </row>
    <row r="4774" ht="15.75" customHeight="1">
      <c r="A4774" s="2">
        <v>4776.0</v>
      </c>
      <c r="B4774" s="5" t="s">
        <v>8758</v>
      </c>
      <c r="C4774" s="6">
        <v>2.0</v>
      </c>
      <c r="D4774" s="7" t="s">
        <v>8759</v>
      </c>
      <c r="E4774" s="8" t="str">
        <f>IFERROR(__xludf.DUMMYFUNCTION("googletranslate(D4774,""id"",""en"")"),"Ppkm aka my morning morning mleyot")</f>
        <v>Ppkm aka my morning morning mleyot</v>
      </c>
    </row>
    <row r="4775" ht="15.75" customHeight="1">
      <c r="A4775" s="2">
        <v>4777.0</v>
      </c>
      <c r="B4775" s="5" t="s">
        <v>8760</v>
      </c>
      <c r="C4775" s="6">
        <v>1.0</v>
      </c>
      <c r="D4775" s="9" t="s">
        <v>8761</v>
      </c>
      <c r="E4775" s="8" t="str">
        <f>IFERROR(__xludf.DUMMYFUNCTION("googletranslate(D4775,""id"",""en"")"),"O students, continue to continue your PPKM demo, so that you can spread more more viruses, it's really yourself, you just want to be controlled by someone who only gives rice wrap and a little transport, sorry to embarrass your alma mater. It's better to "&amp;"help Nakes heroes.")</f>
        <v>O students, continue to continue your PPKM demo, so that you can spread more more viruses, it's really yourself, you just want to be controlled by someone who only gives rice wrap and a little transport, sorry to embarrass your alma mater. It's better to help Nakes heroes.</v>
      </c>
    </row>
    <row r="4776" ht="15.75" customHeight="1">
      <c r="A4776" s="2">
        <v>4778.0</v>
      </c>
      <c r="B4776" s="5" t="s">
        <v>8762</v>
      </c>
      <c r="C4776" s="6">
        <v>2.0</v>
      </c>
      <c r="D4776" s="7" t="s">
        <v>8763</v>
      </c>
      <c r="E4776" s="8" t="str">
        <f>IFERROR(__xludf.DUMMYFUNCTION("googletranslate(D4776,""id"",""en"")"),"The area is meaning? I'll just take a ppkm to the chocolate village")</f>
        <v>The area is meaning? I'll just take a ppkm to the chocolate village</v>
      </c>
    </row>
    <row r="4777" ht="15.75" customHeight="1">
      <c r="A4777" s="2">
        <v>4779.0</v>
      </c>
      <c r="B4777" s="5" t="s">
        <v>8764</v>
      </c>
      <c r="C4777" s="6">
        <v>1.0</v>
      </c>
      <c r="D4777" s="9" t="s">
        <v>8765</v>
      </c>
      <c r="E4777" s="8" t="str">
        <f>IFERROR(__xludf.DUMMYFUNCTION("googletranslate(D4777,""id"",""en"")"),"Aaron Mosiku disappeared somewhere, KM seemed to stop his prosecution and only sacrificed people who had not yet been detained, the people were made PSBB and PPKM rules that were located while TKA continued to arrive, the people were angry limited to the "&amp;"governing room trying to go down the protest path")</f>
        <v>Aaron Mosiku disappeared somewhere, KM seemed to stop his prosecution and only sacrificed people who had not yet been detained, the people were made PSBB and PPKM rules that were located while TKA continued to arrive, the people were angry limited to the governing room trying to go down the protest path</v>
      </c>
    </row>
    <row r="4778" ht="15.75" customHeight="1">
      <c r="A4778" s="2">
        <v>4780.0</v>
      </c>
      <c r="B4778" s="5" t="s">
        <v>8766</v>
      </c>
      <c r="C4778" s="6">
        <v>2.0</v>
      </c>
      <c r="D4778" s="7" t="s">
        <v>8767</v>
      </c>
      <c r="E4778" s="8" t="str">
        <f>IFERROR(__xludf.DUMMYFUNCTION("googletranslate(D4778,""id"",""en"")"),"Work in a company that gave a full salary even though it was a day off the day holiday because the isoman was fortune, yes, the expector of my salary was cut, but Alhamdulillah, it was given a fullfyi, I got the work of the PPKM and had to close try")</f>
        <v>Work in a company that gave a full salary even though it was a day off the day holiday because the isoman was fortune, yes, the expector of my salary was cut, but Alhamdulillah, it was given a fullfyi, I got the work of the PPKM and had to close try</v>
      </c>
    </row>
    <row r="4779" ht="15.75" customHeight="1">
      <c r="A4779" s="2">
        <v>4781.0</v>
      </c>
      <c r="B4779" s="5" t="s">
        <v>8768</v>
      </c>
      <c r="C4779" s="6">
        <v>1.0</v>
      </c>
      <c r="D4779" s="7" t="s">
        <v>8768</v>
      </c>
      <c r="E4779" s="8" t="str">
        <f>IFERROR(__xludf.DUMMYFUNCTION("googletranslate(D4779,""id"",""en"")"),"anying and ppkm the same day the normal krl just the same ram it turns out")</f>
        <v>anying and ppkm the same day the normal krl just the same ram it turns out</v>
      </c>
    </row>
    <row r="4780" ht="15.75" customHeight="1">
      <c r="A4780" s="2">
        <v>4782.0</v>
      </c>
      <c r="B4780" s="5" t="s">
        <v>8769</v>
      </c>
      <c r="C4780" s="6">
        <v>2.0</v>
      </c>
      <c r="D4780" s="7" t="s">
        <v>8769</v>
      </c>
      <c r="E4780" s="8" t="str">
        <f>IFERROR(__xludf.DUMMYFUNCTION("googletranslate(D4780,""id"",""en"")"),"Yaampun Monday, I finished PPKM")</f>
        <v>Yaampun Monday, I finished PPKM</v>
      </c>
    </row>
    <row r="4781" ht="15.75" customHeight="1">
      <c r="A4781" s="2">
        <v>4783.0</v>
      </c>
      <c r="B4781" s="5" t="s">
        <v>8770</v>
      </c>
      <c r="C4781" s="6">
        <v>1.0</v>
      </c>
      <c r="D4781" s="7" t="s">
        <v>8771</v>
      </c>
      <c r="E4781" s="8" t="str">
        <f>IFERROR(__xludf.DUMMYFUNCTION("googletranslate(D4781,""id"",""en"")"),"I can't, but don't admit it. Yes my era elementary school, what is the name is already there? It was thought that the PSBB changed PPKM changed level. Make Geli")</f>
        <v>I can't, but don't admit it. Yes my era elementary school, what is the name is already there? It was thought that the PSBB changed PPKM changed level. Make Geli</v>
      </c>
    </row>
    <row r="4782" ht="15.75" customHeight="1">
      <c r="A4782" s="2">
        <v>4784.0</v>
      </c>
      <c r="B4782" s="5" t="s">
        <v>8772</v>
      </c>
      <c r="C4782" s="6">
        <v>1.0</v>
      </c>
      <c r="D4782" s="9" t="s">
        <v>8773</v>
      </c>
      <c r="E4782" s="8" t="str">
        <f>IFERROR(__xludf.DUMMYFUNCTION("googletranslate(D4782,""id"",""en"")"),"Yes, if you think about the information on the extension of the PPKM must be H-so many hours of gituh. Dilabrok Naujubilee")</f>
        <v>Yes, if you think about the information on the extension of the PPKM must be H-so many hours of gituh. Dilabrok Naujubilee</v>
      </c>
    </row>
    <row r="4783" ht="15.75" customHeight="1">
      <c r="A4783" s="2">
        <v>4785.0</v>
      </c>
      <c r="B4783" s="5" t="s">
        <v>8774</v>
      </c>
      <c r="C4783" s="6">
        <v>1.0</v>
      </c>
      <c r="D4783" s="7" t="s">
        <v>8775</v>
      </c>
      <c r="E4783" s="8" t="str">
        <f>IFERROR(__xludf.DUMMYFUNCTION("googletranslate(D4783,""id"",""en"")"),"His name is confidence. If we believe God can be found in the place, what is wrong with praying on Twitter? Yes no one ?? And this is justified, what is the urgency of the refusal of construction of worship houses? What urgency of refusing worship at home"&amp;" slm ppkm ??")</f>
        <v>His name is confidence. If we believe God can be found in the place, what is wrong with praying on Twitter? Yes no one ?? And this is justified, what is the urgency of the refusal of construction of worship houses? What urgency of refusing worship at home slm ppkm ??</v>
      </c>
    </row>
    <row r="4784" ht="15.75" customHeight="1">
      <c r="A4784" s="2">
        <v>4786.0</v>
      </c>
      <c r="B4784" s="5" t="s">
        <v>8776</v>
      </c>
      <c r="C4784" s="6">
        <v>1.0</v>
      </c>
      <c r="D4784" s="9" t="s">
        <v>8777</v>
      </c>
      <c r="E4784" s="8" t="str">
        <f>IFERROR(__xludf.DUMMYFUNCTION("googletranslate(D4784,""id"",""en"")"),"It's great like this family official, the PPKM condition can only go to the suspect's house")</f>
        <v>It's great like this family official, the PPKM condition can only go to the suspect's house</v>
      </c>
    </row>
    <row r="4785" ht="15.75" customHeight="1">
      <c r="A4785" s="2">
        <v>4787.0</v>
      </c>
      <c r="B4785" s="5" t="s">
        <v>8778</v>
      </c>
      <c r="C4785" s="6">
        <v>1.0</v>
      </c>
      <c r="D4785" s="7" t="s">
        <v>8779</v>
      </c>
      <c r="E4785" s="8" t="str">
        <f>IFERROR(__xludf.DUMMYFUNCTION("googletranslate(D4785,""id"",""en"")"),"Huhu still ppkm zinc can't run dlu")</f>
        <v>Huhu still ppkm zinc can't run dlu</v>
      </c>
    </row>
    <row r="4786" ht="15.75" customHeight="1">
      <c r="A4786" s="2">
        <v>4788.0</v>
      </c>
      <c r="B4786" s="5" t="s">
        <v>8780</v>
      </c>
      <c r="C4786" s="6">
        <v>2.0</v>
      </c>
      <c r="D4786" s="7" t="s">
        <v>8780</v>
      </c>
      <c r="E4786" s="8" t="str">
        <f>IFERROR(__xludf.DUMMYFUNCTION("googletranslate(D4786,""id"",""en"")"),"PPKM Mo Meet PCR Must Use PCR HHHH")</f>
        <v>PPKM Mo Meet PCR Must Use PCR HHHH</v>
      </c>
    </row>
    <row r="4787" ht="15.75" customHeight="1">
      <c r="A4787" s="2">
        <v>4789.0</v>
      </c>
      <c r="B4787" s="5" t="s">
        <v>8781</v>
      </c>
      <c r="C4787" s="6">
        <v>2.0</v>
      </c>
      <c r="D4787" s="7" t="s">
        <v>8782</v>
      </c>
      <c r="E4787" s="8" t="str">
        <f>IFERROR(__xludf.DUMMYFUNCTION("googletranslate(D4787,""id"",""en"")"),"Already responsible. Later after the PPKM times, it really is")</f>
        <v>Already responsible. Later after the PPKM times, it really is</v>
      </c>
    </row>
    <row r="4788" ht="15.75" customHeight="1">
      <c r="A4788" s="2">
        <v>4790.0</v>
      </c>
      <c r="B4788" s="5" t="s">
        <v>8783</v>
      </c>
      <c r="C4788" s="6">
        <v>1.0</v>
      </c>
      <c r="D4788" s="9" t="s">
        <v>8784</v>
      </c>
      <c r="E4788" s="8" t="str">
        <f>IFERROR(__xludf.DUMMYFUNCTION("googletranslate(D4788,""id"",""en"")"),"The PPKM level only applies to street vendors ... UPS so the apparatus can be freezing out of the city ... with a vaccine and negative covid hmmmmm")</f>
        <v>The PPKM level only applies to street vendors ... UPS so the apparatus can be freezing out of the city ... with a vaccine and negative covid hmmmmm</v>
      </c>
    </row>
    <row r="4789" ht="15.75" customHeight="1">
      <c r="A4789" s="2">
        <v>4791.0</v>
      </c>
      <c r="B4789" s="5" t="s">
        <v>8785</v>
      </c>
      <c r="C4789" s="6">
        <v>1.0</v>
      </c>
      <c r="D4789" s="7" t="s">
        <v>8786</v>
      </c>
      <c r="E4789" s="8" t="str">
        <f>IFERROR(__xludf.DUMMYFUNCTION("googletranslate(D4789,""id"",""en"")"),"Very concerned !!!!! Let's .... Leave n Share ""overweight"" to the people who Strealize N forced to fasten Krn Sikon PPKM. It doesn't need weight scales, because PST shrinks in the life of life.")</f>
        <v>Very concerned !!!!! Let's .... Leave n Share "overweight" to the people who Strealize N forced to fasten Krn Sikon PPKM. It doesn't need weight scales, because PST shrinks in the life of life.</v>
      </c>
    </row>
    <row r="4790" ht="15.75" customHeight="1">
      <c r="A4790" s="2">
        <v>4792.0</v>
      </c>
      <c r="B4790" s="5" t="s">
        <v>8787</v>
      </c>
      <c r="C4790" s="6">
        <v>2.0</v>
      </c>
      <c r="D4790" s="7" t="s">
        <v>8788</v>
      </c>
      <c r="E4790" s="8" t="str">
        <f>IFERROR(__xludf.DUMMYFUNCTION("googletranslate(D4790,""id"",""en"")"),"lg ppkm gini mkn tupat ??? ga lepel ah ..")</f>
        <v>lg ppkm gini mkn tupat ??? ga lepel ah ..</v>
      </c>
    </row>
    <row r="4791" ht="15.75" customHeight="1">
      <c r="A4791" s="2">
        <v>4793.0</v>
      </c>
      <c r="B4791" s="5" t="s">
        <v>8789</v>
      </c>
      <c r="C4791" s="6">
        <v>2.0</v>
      </c>
      <c r="D4791" s="9" t="s">
        <v>8790</v>
      </c>
      <c r="E4791" s="8" t="str">
        <f>IFERROR(__xludf.DUMMYFUNCTION("googletranslate(D4791,""id"",""en"")"),". Exit Once / 2 Weeks (SBLM PPKM) After PPKM at Full House. After coming out also in the anter pick up the car often, the scope of the house too. Gapernah Bukber, Gapernah said, gapernah ride a public vehicle other than MRT (once, and empty BGT).")</f>
        <v>. Exit Once / 2 Weeks (SBLM PPKM) After PPKM at Full House. After coming out also in the anter pick up the car often, the scope of the house too. Gapernah Bukber, Gapernah said, gapernah ride a public vehicle other than MRT (once, and empty BGT).</v>
      </c>
    </row>
    <row r="4792" ht="15.75" customHeight="1">
      <c r="A4792" s="2">
        <v>4794.0</v>
      </c>
      <c r="B4792" s="5" t="s">
        <v>8791</v>
      </c>
      <c r="C4792" s="6">
        <v>2.0</v>
      </c>
      <c r="D4792" s="9" t="s">
        <v>8792</v>
      </c>
      <c r="E4792" s="8" t="str">
        <f>IFERROR(__xludf.DUMMYFUNCTION("googletranslate(D4792,""id"",""en"")"),"Meeee. Swab many times, any sick swab, there is even a family cluster that is in a house and the contact is really close but Alhamdulillah didn't get hit. Even though WFO, Commuting Everyday Back Then. If the PPKM pas is shuttered and ngekost.")</f>
        <v>Meeee. Swab many times, any sick swab, there is even a family cluster that is in a house and the contact is really close but Alhamdulillah didn't get hit. Even though WFO, Commuting Everyday Back Then. If the PPKM pas is shuttered and ngekost.</v>
      </c>
    </row>
    <row r="4793" ht="15.75" customHeight="1">
      <c r="A4793" s="2">
        <v>4795.0</v>
      </c>
      <c r="B4793" s="5" t="s">
        <v>8793</v>
      </c>
      <c r="C4793" s="6">
        <v>1.0</v>
      </c>
      <c r="D4793" s="7" t="s">
        <v>8794</v>
      </c>
      <c r="E4793" s="8" t="str">
        <f>IFERROR(__xludf.DUMMYFUNCTION("googletranslate(D4793,""id"",""en"")"),"Waaoo as the Buzerrp is increasingly aware of a little by little because if I see many mukidi worshipers who are held because of PPKMP.akpesidenk.apanm.undur")</f>
        <v>Waaoo as the Buzerrp is increasingly aware of a little by little because if I see many mukidi worshipers who are held because of PPKMP.akpesidenk.apanm.undur</v>
      </c>
    </row>
    <row r="4794" ht="15.75" customHeight="1">
      <c r="A4794" s="2">
        <v>4796.0</v>
      </c>
      <c r="B4794" s="5" t="s">
        <v>8795</v>
      </c>
      <c r="C4794" s="6">
        <v>1.0</v>
      </c>
      <c r="D4794" s="7" t="s">
        <v>8796</v>
      </c>
      <c r="E4794" s="8" t="str">
        <f>IFERROR(__xludf.DUMMYFUNCTION("googletranslate(D4794,""id"",""en"")"),"Either Lahh ... the puffs on the mattress doank ,, while raping, the problem is still blocked ...")</f>
        <v>Either Lahh ... the puffs on the mattress doank ,, while raping, the problem is still blocked ...</v>
      </c>
    </row>
    <row r="4795" ht="15.75" customHeight="1">
      <c r="A4795" s="2">
        <v>4797.0</v>
      </c>
      <c r="B4795" s="5" t="s">
        <v>8797</v>
      </c>
      <c r="C4795" s="6">
        <v>3.0</v>
      </c>
      <c r="D4795" s="7" t="s">
        <v>8798</v>
      </c>
      <c r="E4795" s="8" t="str">
        <f>IFERROR(__xludf.DUMMYFUNCTION("googletranslate(D4795,""id"",""en"")"),"Support the PPKM extension. We are with Jokowi")</f>
        <v>Support the PPKM extension. We are with Jokowi</v>
      </c>
    </row>
    <row r="4796" ht="15.75" customHeight="1">
      <c r="A4796" s="2">
        <v>4798.0</v>
      </c>
      <c r="B4796" s="5" t="s">
        <v>8799</v>
      </c>
      <c r="C4796" s="6">
        <v>3.0</v>
      </c>
      <c r="D4796" s="7" t="s">
        <v>8798</v>
      </c>
      <c r="E4796" s="8" t="str">
        <f>IFERROR(__xludf.DUMMYFUNCTION("googletranslate(D4796,""id"",""en"")"),"Support the PPKM extension. We are with Jokowi")</f>
        <v>Support the PPKM extension. We are with Jokowi</v>
      </c>
    </row>
    <row r="4797" ht="15.75" customHeight="1">
      <c r="A4797" s="2">
        <v>4799.0</v>
      </c>
      <c r="B4797" s="5" t="s">
        <v>8800</v>
      </c>
      <c r="C4797" s="6">
        <v>1.0</v>
      </c>
      <c r="D4797" s="9" t="s">
        <v>8801</v>
      </c>
      <c r="E4797" s="8" t="str">
        <f>IFERROR(__xludf.DUMMYFUNCTION("googletranslate(D4797,""id"",""en"")"),"if you want to go to the guardian but gabole yes ppkm gini")</f>
        <v>if you want to go to the guardian but gabole yes ppkm gini</v>
      </c>
    </row>
    <row r="4798" ht="15.75" customHeight="1">
      <c r="A4798" s="2">
        <v>4800.0</v>
      </c>
      <c r="B4798" s="5" t="s">
        <v>8802</v>
      </c>
      <c r="C4798" s="6">
        <v>2.0</v>
      </c>
      <c r="D4798" s="9" t="s">
        <v>8803</v>
      </c>
      <c r="E4798" s="8" t="str">
        <f>IFERROR(__xludf.DUMMYFUNCTION("googletranslate(D4798,""id"",""en"")"),"To this..elama him behind me I've never asked him when back here. Because I know it's important when he is to accompany the mamak and gathering of the family. I'm listening to someone else if he wants to go back, then I'm desperate to ask ""Km back here t"&amp;"his month? Still ppkm.""")</f>
        <v>To this..elama him behind me I've never asked him when back here. Because I know it's important when he is to accompany the mamak and gathering of the family. I'm listening to someone else if he wants to go back, then I'm desperate to ask "Km back here this month? Still ppkm."</v>
      </c>
    </row>
    <row r="4799" ht="15.75" customHeight="1">
      <c r="A4799" s="2">
        <v>4801.0</v>
      </c>
      <c r="B4799" s="5" t="s">
        <v>8804</v>
      </c>
      <c r="C4799" s="6">
        <v>3.0</v>
      </c>
      <c r="D4799" s="7" t="s">
        <v>8798</v>
      </c>
      <c r="E4799" s="8" t="str">
        <f>IFERROR(__xludf.DUMMYFUNCTION("googletranslate(D4799,""id"",""en"")"),"Support the PPKM extension. We are with Jokowi")</f>
        <v>Support the PPKM extension. We are with Jokowi</v>
      </c>
    </row>
    <row r="4800" ht="15.75" customHeight="1">
      <c r="A4800" s="2">
        <v>4802.0</v>
      </c>
      <c r="B4800" s="5" t="s">
        <v>8805</v>
      </c>
      <c r="C4800" s="6">
        <v>3.0</v>
      </c>
      <c r="D4800" s="7" t="s">
        <v>8798</v>
      </c>
      <c r="E4800" s="8" t="str">
        <f>IFERROR(__xludf.DUMMYFUNCTION("googletranslate(D4800,""id"",""en"")"),"Support the PPKM extension. We are with Jokowi")</f>
        <v>Support the PPKM extension. We are with Jokowi</v>
      </c>
    </row>
    <row r="4801" ht="15.75" customHeight="1">
      <c r="A4801" s="2">
        <v>4803.0</v>
      </c>
      <c r="B4801" s="5" t="s">
        <v>8806</v>
      </c>
      <c r="C4801" s="6">
        <v>1.0</v>
      </c>
      <c r="D4801" s="9" t="s">
        <v>8806</v>
      </c>
      <c r="E4801" s="8" t="str">
        <f>IFERROR(__xludf.DUMMYFUNCTION("googletranslate(D4801,""id"",""en"")"),"long time ago I thought of this ppkm was made so that the police would only work")</f>
        <v>long time ago I thought of this ppkm was made so that the police would only work</v>
      </c>
    </row>
    <row r="4802" ht="15.75" customHeight="1">
      <c r="A4802" s="2">
        <v>4804.0</v>
      </c>
      <c r="B4802" s="5" t="s">
        <v>8807</v>
      </c>
      <c r="C4802" s="6">
        <v>3.0</v>
      </c>
      <c r="D4802" s="7" t="s">
        <v>8798</v>
      </c>
      <c r="E4802" s="8" t="str">
        <f>IFERROR(__xludf.DUMMYFUNCTION("googletranslate(D4802,""id"",""en"")"),"Support the PPKM extension. We are with Jokowi")</f>
        <v>Support the PPKM extension. We are with Jokowi</v>
      </c>
    </row>
    <row r="4803" ht="15.75" customHeight="1">
      <c r="A4803" s="2">
        <v>4805.0</v>
      </c>
      <c r="B4803" s="5" t="s">
        <v>8808</v>
      </c>
      <c r="C4803" s="6">
        <v>2.0</v>
      </c>
      <c r="D4803" s="9" t="s">
        <v>8809</v>
      </c>
      <c r="E4803" s="8" t="str">
        <f>IFERROR(__xludf.DUMMYFUNCTION("googletranslate(D4803,""id"",""en"")"),"Ever, because he was told or cover songs. That's all, after that we are online. But anyway, it's a task before PPKM if it's more independent assignments")</f>
        <v>Ever, because he was told or cover songs. That's all, after that we are online. But anyway, it's a task before PPKM if it's more independent assignments</v>
      </c>
    </row>
    <row r="4804" ht="15.75" customHeight="1">
      <c r="A4804" s="2">
        <v>4806.0</v>
      </c>
      <c r="B4804" s="5" t="s">
        <v>8810</v>
      </c>
      <c r="C4804" s="6">
        <v>1.0</v>
      </c>
      <c r="D4804" s="9" t="s">
        <v>8811</v>
      </c>
      <c r="E4804" s="8" t="str">
        <f>IFERROR(__xludf.DUMMYFUNCTION("googletranslate(D4804,""id"",""en"")"),"Mager comes out again PPKM gini tea")</f>
        <v>Mager comes out again PPKM gini tea</v>
      </c>
    </row>
    <row r="4805" ht="15.75" customHeight="1">
      <c r="A4805" s="2">
        <v>4807.0</v>
      </c>
      <c r="B4805" s="5" t="s">
        <v>8812</v>
      </c>
      <c r="C4805" s="6">
        <v>1.0</v>
      </c>
      <c r="D4805" s="7" t="s">
        <v>8812</v>
      </c>
      <c r="E4805" s="8" t="str">
        <f>IFERROR(__xludf.DUMMYFUNCTION("googletranslate(D4805,""id"",""en"")"),"Ppkm also do you go to swamp anjir ??? Clay crocodiles ?? Hah setdah mending at home")</f>
        <v>Ppkm also do you go to swamp anjir ??? Clay crocodiles ?? Hah setdah mending at home</v>
      </c>
    </row>
    <row r="4806" ht="15.75" customHeight="1">
      <c r="A4806" s="2">
        <v>4808.0</v>
      </c>
      <c r="B4806" s="5" t="s">
        <v>8813</v>
      </c>
      <c r="C4806" s="6">
        <v>2.0</v>
      </c>
      <c r="D4806" s="9" t="s">
        <v>8814</v>
      </c>
      <c r="E4806" s="8" t="str">
        <f>IFERROR(__xludf.DUMMYFUNCTION("googletranslate(D4806,""id"",""en"")"),"If you want to be disamperin one, why? If his actions are outrageous, I'm samperin. Patience is the limit of the boss. mo ppkm or not but I'm looking for someone who saves my family")</f>
        <v>If you want to be disamperin one, why? If his actions are outrageous, I'm samperin. Patience is the limit of the boss. mo ppkm or not but I'm looking for someone who saves my family</v>
      </c>
    </row>
    <row r="4807" ht="15.75" customHeight="1">
      <c r="A4807" s="2">
        <v>4809.0</v>
      </c>
      <c r="B4807" s="5" t="s">
        <v>8815</v>
      </c>
      <c r="C4807" s="6">
        <v>3.0</v>
      </c>
      <c r="D4807" s="7" t="s">
        <v>8816</v>
      </c>
      <c r="E4807" s="8" t="str">
        <f>IFERROR(__xludf.DUMMYFUNCTION("googletranslate(D4807,""id"",""en"")"),"Slowly gathering minigold in this PPKM")</f>
        <v>Slowly gathering minigold in this PPKM</v>
      </c>
    </row>
    <row r="4808" ht="15.75" customHeight="1">
      <c r="A4808" s="2">
        <v>4810.0</v>
      </c>
      <c r="B4808" s="5" t="s">
        <v>8817</v>
      </c>
      <c r="C4808" s="6">
        <v>2.0</v>
      </c>
      <c r="D4808" s="9" t="s">
        <v>8818</v>
      </c>
      <c r="E4808" s="8" t="str">
        <f>IFERROR(__xludf.DUMMYFUNCTION("googletranslate(D4808,""id"",""en"")"),"min during the PPKM letter brought need to print or may only be shown the file")</f>
        <v>min during the PPKM letter brought need to print or may only be shown the file</v>
      </c>
    </row>
    <row r="4809" ht="15.75" customHeight="1">
      <c r="A4809" s="2">
        <v>4811.0</v>
      </c>
      <c r="B4809" s="5" t="s">
        <v>8819</v>
      </c>
      <c r="C4809" s="6">
        <v>3.0</v>
      </c>
      <c r="D4809" s="7" t="s">
        <v>8819</v>
      </c>
      <c r="E4809" s="8" t="str">
        <f>IFERROR(__xludf.DUMMYFUNCTION("googletranslate(D4809,""id"",""en"")"),"Governor Khofifah said, the East Java Provincial Government tried to ease the burden of the community during the implementation of the PPKM in the middle of the Covid-19 pandemic")</f>
        <v>Governor Khofifah said, the East Java Provincial Government tried to ease the burden of the community during the implementation of the PPKM in the middle of the Covid-19 pandemic</v>
      </c>
    </row>
    <row r="4810" ht="15.75" customHeight="1">
      <c r="A4810" s="2">
        <v>4812.0</v>
      </c>
      <c r="B4810" s="5" t="s">
        <v>8820</v>
      </c>
      <c r="C4810" s="6">
        <v>2.0</v>
      </c>
      <c r="D4810" s="9" t="s">
        <v>8820</v>
      </c>
      <c r="E4810" s="8" t="str">
        <f>IFERROR(__xludf.DUMMYFUNCTION("googletranslate(D4810,""id"",""en"")"),"SCH! Are you given a group work assignment that requires me to meet? even though PPKM gini again")</f>
        <v>SCH! Are you given a group work assignment that requires me to meet? even though PPKM gini again</v>
      </c>
    </row>
    <row r="4811" ht="15.75" customHeight="1">
      <c r="A4811" s="2">
        <v>4813.0</v>
      </c>
      <c r="B4811" s="5" t="s">
        <v>8821</v>
      </c>
      <c r="C4811" s="6">
        <v>3.0</v>
      </c>
      <c r="D4811" s="7" t="s">
        <v>8822</v>
      </c>
      <c r="E4811" s="8" t="str">
        <f>IFERROR(__xludf.DUMMYFUNCTION("googletranslate(D4811,""id"",""en"")"),"You are still enthusiastic! Gift ppkm extended until January")</f>
        <v>You are still enthusiastic! Gift ppkm extended until January</v>
      </c>
    </row>
    <row r="4812" ht="15.75" customHeight="1">
      <c r="A4812" s="2">
        <v>4814.0</v>
      </c>
      <c r="B4812" s="5" t="s">
        <v>8823</v>
      </c>
      <c r="C4812" s="6">
        <v>1.0</v>
      </c>
      <c r="D4812" s="9" t="s">
        <v>8823</v>
      </c>
      <c r="E4812" s="8" t="str">
        <f>IFERROR(__xludf.DUMMYFUNCTION("googletranslate(D4812,""id"",""en"")"),"Efficient Efficient Mebswer (even though income exists) the psychological effects of consumers of the PPKM season.")</f>
        <v>Efficient Efficient Mebswer (even though income exists) the psychological effects of consumers of the PPKM season.</v>
      </c>
    </row>
    <row r="4813" ht="15.75" customHeight="1">
      <c r="A4813" s="2">
        <v>4815.0</v>
      </c>
      <c r="B4813" s="5" t="s">
        <v>8824</v>
      </c>
      <c r="C4813" s="6">
        <v>1.0</v>
      </c>
      <c r="D4813" s="9" t="s">
        <v>8825</v>
      </c>
      <c r="E4813" s="8" t="str">
        <f>IFERROR(__xludf.DUMMYFUNCTION("googletranslate(D4813,""id"",""en"")"),"That's right but in essence: Lha Wong Government appealed at home when PPKM, then gave me money to get out shopping ... right? How ? Contrary right?")</f>
        <v>That's right but in essence: Lha Wong Government appealed at home when PPKM, then gave me money to get out shopping ... right? How ? Contrary right?</v>
      </c>
    </row>
    <row r="4814" ht="15.75" customHeight="1">
      <c r="A4814" s="2">
        <v>4816.0</v>
      </c>
      <c r="B4814" s="5" t="s">
        <v>8826</v>
      </c>
      <c r="C4814" s="6">
        <v>3.0</v>
      </c>
      <c r="D4814" s="7" t="s">
        <v>8827</v>
      </c>
      <c r="E4814" s="8" t="str">
        <f>IFERROR(__xludf.DUMMYFUNCTION("googletranslate(D4814,""id"",""en"")"),"Forgiveness, I obey the PPKM.")</f>
        <v>Forgiveness, I obey the PPKM.</v>
      </c>
    </row>
    <row r="4815" ht="15.75" customHeight="1">
      <c r="A4815" s="2">
        <v>4817.0</v>
      </c>
      <c r="B4815" s="5" t="s">
        <v>8828</v>
      </c>
      <c r="C4815" s="6">
        <v>1.0</v>
      </c>
      <c r="D4815" s="9" t="s">
        <v>8828</v>
      </c>
      <c r="E4815" s="8" t="str">
        <f>IFERROR(__xludf.DUMMYFUNCTION("googletranslate(D4815,""id"",""en"")"),"Selfish is the person who questioned why wFH continued? How come I never entered the office? Then I don't understand that it means PPKM &amp; amp; The risk of contracting is high in the office with the condition of the room that is not adequate? After all, if"&amp;" we get sick, you care about us? Pay RS? Give us our meal? Kzl")</f>
        <v>Selfish is the person who questioned why wFH continued? How come I never entered the office? Then I don't understand that it means PPKM &amp; amp; The risk of contracting is high in the office with the condition of the room that is not adequate? After all, if we get sick, you care about us? Pay RS? Give us our meal? Kzl</v>
      </c>
    </row>
    <row r="4816" ht="15.75" customHeight="1">
      <c r="A4816" s="2">
        <v>4818.0</v>
      </c>
      <c r="B4816" s="5" t="s">
        <v>8829</v>
      </c>
      <c r="C4816" s="6">
        <v>1.0</v>
      </c>
      <c r="D4816" s="9" t="s">
        <v>8830</v>
      </c>
      <c r="E4816" s="8" t="str">
        <f>IFERROR(__xludf.DUMMYFUNCTION("googletranslate(D4816,""id"",""en"")"),"As a father, I supported Ayu Tingting's parents who defended the child and his grandson. WANT TO PPKM or PPK or MMK Kek Gw Datengin Tu Bocah.")</f>
        <v>As a father, I supported Ayu Tingting's parents who defended the child and his grandson. WANT TO PPKM or PPK or MMK Kek Gw Datengin Tu Bocah.</v>
      </c>
    </row>
    <row r="4817" ht="15.75" customHeight="1">
      <c r="A4817" s="2">
        <v>4819.0</v>
      </c>
      <c r="B4817" s="5" t="s">
        <v>8831</v>
      </c>
      <c r="C4817" s="6">
        <v>1.0</v>
      </c>
      <c r="D4817" s="7" t="s">
        <v>8832</v>
      </c>
      <c r="E4817" s="8" t="str">
        <f>IFERROR(__xludf.DUMMYFUNCTION("googletranslate(D4817,""id"",""en"")"),"-Dips! This is me what you want? Again, I dragged it very much because of PPKM")</f>
        <v>-Dips! This is me what you want? Again, I dragged it very much because of PPKM</v>
      </c>
    </row>
    <row r="4818" ht="15.75" customHeight="1">
      <c r="A4818" s="2">
        <v>4820.0</v>
      </c>
      <c r="B4818" s="5" t="s">
        <v>8833</v>
      </c>
      <c r="C4818" s="6">
        <v>2.0</v>
      </c>
      <c r="D4818" s="9" t="s">
        <v>8834</v>
      </c>
      <c r="E4818" s="8" t="str">
        <f>IFERROR(__xludf.DUMMYFUNCTION("googletranslate(D4818,""id"",""en"")"),"Yes, I mean waiting for the PPKM level down until the cinema can open, yes we don't know when")</f>
        <v>Yes, I mean waiting for the PPKM level down until the cinema can open, yes we don't know when</v>
      </c>
    </row>
    <row r="4819" ht="15.75" customHeight="1">
      <c r="A4819" s="2">
        <v>4821.0</v>
      </c>
      <c r="B4819" s="5" t="s">
        <v>8835</v>
      </c>
      <c r="C4819" s="6">
        <v>2.0</v>
      </c>
      <c r="D4819" s="7" t="s">
        <v>8836</v>
      </c>
      <c r="E4819" s="8" t="str">
        <f>IFERROR(__xludf.DUMMYFUNCTION("googletranslate(D4819,""id"",""en"")"),"It's easy for no new problems ... because Mr. Rojak can be a PPKM dispensation")</f>
        <v>It's easy for no new problems ... because Mr. Rojak can be a PPKM dispensation</v>
      </c>
    </row>
    <row r="4820" ht="15.75" customHeight="1">
      <c r="A4820" s="2">
        <v>4822.0</v>
      </c>
      <c r="B4820" s="5" t="s">
        <v>8837</v>
      </c>
      <c r="C4820" s="6">
        <v>1.0</v>
      </c>
      <c r="D4820" s="7" t="s">
        <v>8837</v>
      </c>
      <c r="E4820" s="8" t="str">
        <f>IFERROR(__xludf.DUMMYFUNCTION("googletranslate(D4820,""id"",""en"")"),"ppkm muk gawe hard haduhhh")</f>
        <v>ppkm muk gawe hard haduhhh</v>
      </c>
    </row>
    <row r="4821" ht="15.75" customHeight="1">
      <c r="A4821" s="2">
        <v>4823.0</v>
      </c>
      <c r="B4821" s="5" t="s">
        <v>8838</v>
      </c>
      <c r="C4821" s="6">
        <v>2.0</v>
      </c>
      <c r="D4821" s="7" t="s">
        <v>8839</v>
      </c>
      <c r="E4821" s="8" t="str">
        <f>IFERROR(__xludf.DUMMYFUNCTION("googletranslate(D4821,""id"",""en"")"),"Hopefully no ppkm ye")</f>
        <v>Hopefully no ppkm ye</v>
      </c>
    </row>
    <row r="4822" ht="15.75" customHeight="1">
      <c r="A4822" s="2">
        <v>4824.0</v>
      </c>
      <c r="B4822" s="5" t="s">
        <v>8840</v>
      </c>
      <c r="C4822" s="6">
        <v>1.0</v>
      </c>
      <c r="D4822" s="9" t="s">
        <v>8841</v>
      </c>
      <c r="E4822" s="8" t="str">
        <f>IFERROR(__xludf.DUMMYFUNCTION("googletranslate(D4822,""id"",""en"")"),"Other countries it seems that I started to get up from Covid .. Meanwhile the country alone back and forth PPKM, whose names always change hehe")</f>
        <v>Other countries it seems that I started to get up from Covid .. Meanwhile the country alone back and forth PPKM, whose names always change hehe</v>
      </c>
    </row>
    <row r="4823" ht="15.75" customHeight="1">
      <c r="A4823" s="2">
        <v>4825.0</v>
      </c>
      <c r="B4823" s="5" t="s">
        <v>8842</v>
      </c>
      <c r="C4823" s="6">
        <v>3.0</v>
      </c>
      <c r="D4823" s="7" t="s">
        <v>8843</v>
      </c>
      <c r="E4823" s="8" t="str">
        <f>IFERROR(__xludf.DUMMYFUNCTION("googletranslate(D4823,""id"",""en"")"),"Governor Khofifah stressed that his party had carried out a number of things that the economy of the community continue to run despite implementing Emergency PPKM to level")</f>
        <v>Governor Khofifah stressed that his party had carried out a number of things that the economy of the community continue to run despite implementing Emergency PPKM to level</v>
      </c>
    </row>
    <row r="4824" ht="15.75" customHeight="1">
      <c r="A4824" s="2">
        <v>4826.0</v>
      </c>
      <c r="B4824" s="5" t="s">
        <v>8844</v>
      </c>
      <c r="C4824" s="6">
        <v>2.0</v>
      </c>
      <c r="D4824" s="9" t="s">
        <v>8845</v>
      </c>
      <c r="E4824" s="8" t="str">
        <f>IFERROR(__xludf.DUMMYFUNCTION("googletranslate(D4824,""id"",""en"")"),"Meet later if the ppkm is loose")</f>
        <v>Meet later if the ppkm is loose</v>
      </c>
    </row>
    <row r="4825" ht="15.75" customHeight="1">
      <c r="A4825" s="2">
        <v>4827.0</v>
      </c>
      <c r="B4825" s="5" t="s">
        <v>8846</v>
      </c>
      <c r="C4825" s="6">
        <v>1.0</v>
      </c>
      <c r="D4825" s="9" t="s">
        <v>8847</v>
      </c>
      <c r="E4825" s="8" t="str">
        <f>IFERROR(__xludf.DUMMYFUNCTION("googletranslate(D4825,""id"",""en"")"),"Anyways if I get married now it can't invite you, right ppkm wkwkwkwkw")</f>
        <v>Anyways if I get married now it can't invite you, right ppkm wkwkwkwkw</v>
      </c>
    </row>
    <row r="4826" ht="15.75" customHeight="1">
      <c r="A4826" s="2">
        <v>4828.0</v>
      </c>
      <c r="B4826" s="5" t="s">
        <v>8848</v>
      </c>
      <c r="C4826" s="6">
        <v>2.0</v>
      </c>
      <c r="D4826" s="9" t="s">
        <v>8849</v>
      </c>
      <c r="E4826" s="8" t="str">
        <f>IFERROR(__xludf.DUMMYFUNCTION("googletranslate(D4826,""id"",""en"")"),"As far as I know, I'm still yesterday, but it can't. Just try it")</f>
        <v>As far as I know, I'm still yesterday, but it can't. Just try it</v>
      </c>
    </row>
    <row r="4827" ht="15.75" customHeight="1">
      <c r="A4827" s="2">
        <v>4829.0</v>
      </c>
      <c r="B4827" s="5" t="s">
        <v>8850</v>
      </c>
      <c r="C4827" s="6">
        <v>2.0</v>
      </c>
      <c r="D4827" s="9" t="s">
        <v>8851</v>
      </c>
      <c r="E4827" s="8" t="str">
        <f>IFERROR(__xludf.DUMMYFUNCTION("googletranslate(D4827,""id"",""en"")"),"I swab antigen there are times, PSBB mostly to JKT. Just ppkm betray wfh, full done vaccine. Ever a great shivering day at Hajar Habbtussauda + honey + Mor. Tomorrow no longer. It's just that day that really reminded Bgt. The wife of the child has been c1"&amp;"9, I'm a boarding house")</f>
        <v>I swab antigen there are times, PSBB mostly to JKT. Just ppkm betray wfh, full done vaccine. Ever a great shivering day at Hajar Habbtussauda + honey + Mor. Tomorrow no longer. It's just that day that really reminded Bgt. The wife of the child has been c19, I'm a boarding house</v>
      </c>
    </row>
    <row r="4828" ht="15.75" customHeight="1">
      <c r="A4828" s="2">
        <v>4830.0</v>
      </c>
      <c r="B4828" s="5" t="s">
        <v>8852</v>
      </c>
      <c r="C4828" s="6">
        <v>1.0</v>
      </c>
      <c r="D4828" s="7" t="s">
        <v>8852</v>
      </c>
      <c r="E4828" s="8" t="str">
        <f>IFERROR(__xludf.DUMMYFUNCTION("googletranslate(D4828,""id"",""en"")"),"Morning Vibes Victim of PPKM")</f>
        <v>Morning Vibes Victim of PPKM</v>
      </c>
    </row>
    <row r="4829" ht="15.75" customHeight="1">
      <c r="A4829" s="2">
        <v>4831.0</v>
      </c>
      <c r="B4829" s="5" t="s">
        <v>8853</v>
      </c>
      <c r="C4829" s="6">
        <v>1.0</v>
      </c>
      <c r="D4829" s="9" t="s">
        <v>8854</v>
      </c>
      <c r="E4829" s="8" t="str">
        <f>IFERROR(__xludf.DUMMYFUNCTION("googletranslate(D4829,""id"",""en"")"),"I have nder but it hasn't been a minjem because it's still ppkm, you can't go to school")</f>
        <v>I have nder but it hasn't been a minjem because it's still ppkm, you can't go to school</v>
      </c>
    </row>
    <row r="4830" ht="15.75" customHeight="1">
      <c r="A4830" s="2">
        <v>4832.0</v>
      </c>
      <c r="B4830" s="5" t="s">
        <v>8855</v>
      </c>
      <c r="C4830" s="6">
        <v>3.0</v>
      </c>
      <c r="D4830" s="9" t="s">
        <v>8855</v>
      </c>
      <c r="E4830" s="8" t="str">
        <f>IFERROR(__xludf.DUMMYFUNCTION("googletranslate(D4830,""id"",""en"")"),"if it's already a vaccine, it's good to have a letter, it's also the sans if it's already loose for the ppkm")</f>
        <v>if it's already a vaccine, it's good to have a letter, it's also the sans if it's already loose for the ppkm</v>
      </c>
    </row>
    <row r="4831" ht="15.75" customHeight="1">
      <c r="A4831" s="2">
        <v>4833.0</v>
      </c>
      <c r="B4831" s="5" t="s">
        <v>8856</v>
      </c>
      <c r="C4831" s="6">
        <v>2.0</v>
      </c>
      <c r="D4831" s="10" t="s">
        <v>8856</v>
      </c>
      <c r="E4831" s="8" t="str">
        <f>IFERROR(__xludf.DUMMYFUNCTION("googletranslate(D4831,""id"",""en"")"),"PPKM Period")</f>
        <v>PPKM Period</v>
      </c>
    </row>
    <row r="4832" ht="15.75" customHeight="1">
      <c r="A4832" s="2">
        <v>4834.0</v>
      </c>
      <c r="B4832" s="5" t="s">
        <v>8857</v>
      </c>
      <c r="C4832" s="6">
        <v>2.0</v>
      </c>
      <c r="D4832" s="7" t="s">
        <v>8858</v>
      </c>
      <c r="E4832" s="8" t="str">
        <f>IFERROR(__xludf.DUMMYFUNCTION("googletranslate(D4832,""id"",""en"")"),"I also brought it, but I waited for the PPKM to finish")</f>
        <v>I also brought it, but I waited for the PPKM to finish</v>
      </c>
    </row>
    <row r="4833" ht="15.75" customHeight="1">
      <c r="A4833" s="2">
        <v>4835.0</v>
      </c>
      <c r="B4833" s="5" t="s">
        <v>8859</v>
      </c>
      <c r="C4833" s="6">
        <v>1.0</v>
      </c>
      <c r="D4833" s="7" t="s">
        <v>8860</v>
      </c>
      <c r="E4833" s="8" t="str">
        <f>IFERROR(__xludf.DUMMYFUNCTION("googletranslate(D4833,""id"",""en"")"),"Yaampun want you mozaru zenbuuuuu hurry up ppkm finished plisss")</f>
        <v>Yaampun want you mozaru zenbuuuuu hurry up ppkm finished plisss</v>
      </c>
    </row>
    <row r="4834" ht="15.75" customHeight="1">
      <c r="A4834" s="2">
        <v>4836.0</v>
      </c>
      <c r="B4834" s="5" t="s">
        <v>8861</v>
      </c>
      <c r="C4834" s="6">
        <v>1.0</v>
      </c>
      <c r="D4834" s="7" t="s">
        <v>8862</v>
      </c>
      <c r="E4834" s="8" t="str">
        <f>IFERROR(__xludf.DUMMYFUNCTION("googletranslate(D4834,""id"",""en"")"),"it seems like the problem that he got a fine because of the pdhal party again ppkm")</f>
        <v>it seems like the problem that he got a fine because of the pdhal party again ppkm</v>
      </c>
    </row>
    <row r="4835" ht="15.75" customHeight="1">
      <c r="A4835" s="2">
        <v>4837.0</v>
      </c>
      <c r="B4835" s="5" t="s">
        <v>8863</v>
      </c>
      <c r="C4835" s="6">
        <v>1.0</v>
      </c>
      <c r="D4835" s="7" t="s">
        <v>8864</v>
      </c>
      <c r="E4835" s="8" t="str">
        <f>IFERROR(__xludf.DUMMYFUNCTION("googletranslate(D4835,""id"",""en"")"),"Then there will be PPKM LV +++++")</f>
        <v>Then there will be PPKM LV +++++</v>
      </c>
    </row>
    <row r="4836" ht="15.75" customHeight="1">
      <c r="A4836" s="2">
        <v>4838.0</v>
      </c>
      <c r="B4836" s="5" t="s">
        <v>8865</v>
      </c>
      <c r="C4836" s="6">
        <v>3.0</v>
      </c>
      <c r="D4836" s="7" t="s">
        <v>8866</v>
      </c>
      <c r="E4836" s="8" t="str">
        <f>IFERROR(__xludf.DUMMYFUNCTION("googletranslate(D4836,""id"",""en"")"),"His reply made immune rise in the period of PPKM told me, you were in Koplak")</f>
        <v>His reply made immune rise in the period of PPKM told me, you were in Koplak</v>
      </c>
    </row>
    <row r="4837" ht="15.75" customHeight="1">
      <c r="A4837" s="2">
        <v>4839.0</v>
      </c>
      <c r="B4837" s="5" t="s">
        <v>8867</v>
      </c>
      <c r="C4837" s="6">
        <v>2.0</v>
      </c>
      <c r="D4837" s="9" t="s">
        <v>8868</v>
      </c>
      <c r="E4837" s="8" t="str">
        <f>IFERROR(__xludf.DUMMYFUNCTION("googletranslate(D4837,""id"",""en"")"),"If the outdoor party later the dresscode uses plastic but the problem is still ppkm.")</f>
        <v>If the outdoor party later the dresscode uses plastic but the problem is still ppkm.</v>
      </c>
    </row>
    <row r="4838" ht="15.75" customHeight="1">
      <c r="A4838" s="2">
        <v>4840.0</v>
      </c>
      <c r="B4838" s="5" t="s">
        <v>8869</v>
      </c>
      <c r="C4838" s="6">
        <v>1.0</v>
      </c>
      <c r="D4838" s="7" t="s">
        <v>8870</v>
      </c>
      <c r="E4838" s="8" t="str">
        <f>IFERROR(__xludf.DUMMYFUNCTION("googletranslate(D4838,""id"",""en"")"),"Oalaaa PPKM Jancuk.")</f>
        <v>Oalaaa PPKM Jancuk.</v>
      </c>
    </row>
    <row r="4839" ht="15.75" customHeight="1">
      <c r="A4839" s="2">
        <v>4841.0</v>
      </c>
      <c r="B4839" s="5" t="s">
        <v>8871</v>
      </c>
      <c r="C4839" s="6">
        <v>1.0</v>
      </c>
      <c r="D4839" s="9" t="s">
        <v>8872</v>
      </c>
      <c r="E4839" s="8" t="str">
        <f>IFERROR(__xludf.DUMMYFUNCTION("googletranslate(D4839,""id"",""en"")"),"Yes? So if there is an artist out of town for the haters when the PPKM is okay it's okay? Continue to make a PPKM Anjeeeeng. Crazy crazy, the victim died just JD statistics for you on? There is no brain.")</f>
        <v>Yes? So if there is an artist out of town for the haters when the PPKM is okay it's okay? Continue to make a PPKM Anjeeeeng. Crazy crazy, the victim died just JD statistics for you on? There is no brain.</v>
      </c>
    </row>
    <row r="4840" ht="15.75" customHeight="1">
      <c r="A4840" s="2">
        <v>4842.0</v>
      </c>
      <c r="B4840" s="5" t="s">
        <v>8873</v>
      </c>
      <c r="C4840" s="6">
        <v>2.0</v>
      </c>
      <c r="D4840" s="7" t="s">
        <v>8874</v>
      </c>
      <c r="E4840" s="8" t="str">
        <f>IFERROR(__xludf.DUMMYFUNCTION("googletranslate(D4840,""id"",""en"")"),"Finished ppkm cus I paid")</f>
        <v>Finished ppkm cus I paid</v>
      </c>
    </row>
    <row r="4841" ht="15.75" customHeight="1">
      <c r="A4841" s="2">
        <v>4843.0</v>
      </c>
      <c r="B4841" s="5" t="s">
        <v>8875</v>
      </c>
      <c r="C4841" s="6">
        <v>1.0</v>
      </c>
      <c r="D4841" s="9" t="s">
        <v>8876</v>
      </c>
      <c r="E4841" s="8" t="str">
        <f>IFERROR(__xludf.DUMMYFUNCTION("googletranslate(D4841,""id"",""en"")"),"Regarding Prokes and PPKM, there are often chirpen2 judgment to individuals / lower economy classes. Funny thing is, he said, was born from the top circles that did not understand their condition.")</f>
        <v>Regarding Prokes and PPKM, there are often chirpen2 judgment to individuals / lower economy classes. Funny thing is, he said, was born from the top circles that did not understand their condition.</v>
      </c>
    </row>
    <row r="4842" ht="15.75" customHeight="1">
      <c r="A4842" s="2">
        <v>4844.0</v>
      </c>
      <c r="B4842" s="5" t="s">
        <v>8877</v>
      </c>
      <c r="C4842" s="6">
        <v>1.0</v>
      </c>
      <c r="D4842" s="7" t="s">
        <v>8878</v>
      </c>
      <c r="E4842" s="8" t="str">
        <f>IFERROR(__xludf.DUMMYFUNCTION("googletranslate(D4842,""id"",""en"")"),"O God, Goldar I A +, Bandung, but Dom Bekasi. There is a plan to want there but still PPKM")</f>
        <v>O God, Goldar I A +, Bandung, but Dom Bekasi. There is a plan to want there but still PPKM</v>
      </c>
    </row>
    <row r="4843" ht="15.75" customHeight="1">
      <c r="A4843" s="2">
        <v>4845.0</v>
      </c>
      <c r="B4843" s="5" t="s">
        <v>8879</v>
      </c>
      <c r="C4843" s="6">
        <v>2.0</v>
      </c>
      <c r="D4843" s="9" t="s">
        <v>8880</v>
      </c>
      <c r="E4843" s="8" t="str">
        <f>IFERROR(__xludf.DUMMYFUNCTION("googletranslate(D4843,""id"",""en"")"),"Aaaa Makasi, Fay. Even though even though our mood is just a friend onlen, we can get rid of because there is something efficient, there are those who understand the contents of our mind. Just make the content of HVMV then sharing it to the family (becaus"&amp;"e of the ppkm, you can find a friend), right, I'm dropped in KK, wkwkwk")</f>
        <v>Aaaa Makasi, Fay. Even though even though our mood is just a friend onlen, we can get rid of because there is something efficient, there are those who understand the contents of our mind. Just make the content of HVMV then sharing it to the family (because of the ppkm, you can find a friend), right, I'm dropped in KK, wkwkwk</v>
      </c>
    </row>
    <row r="4844" ht="15.75" customHeight="1">
      <c r="A4844" s="2">
        <v>4846.0</v>
      </c>
      <c r="B4844" s="5" t="s">
        <v>8881</v>
      </c>
      <c r="C4844" s="6">
        <v>1.0</v>
      </c>
      <c r="D4844" s="9" t="s">
        <v>8882</v>
      </c>
      <c r="E4844" s="8" t="str">
        <f>IFERROR(__xludf.DUMMYFUNCTION("googletranslate(D4844,""id"",""en"")"),"Tired of PPKM Muluuuu Sikambret")</f>
        <v>Tired of PPKM Muluuuu Sikambret</v>
      </c>
    </row>
    <row r="4845" ht="15.75" customHeight="1">
      <c r="A4845" s="2">
        <v>4847.0</v>
      </c>
      <c r="B4845" s="5" t="s">
        <v>8883</v>
      </c>
      <c r="C4845" s="6">
        <v>2.0</v>
      </c>
      <c r="D4845" s="7" t="s">
        <v>8883</v>
      </c>
      <c r="E4845" s="8" t="str">
        <f>IFERROR(__xludf.DUMMYFUNCTION("googletranslate(D4845,""id"",""en"")"),"It is certain that PPKM continues")</f>
        <v>It is certain that PPKM continues</v>
      </c>
    </row>
    <row r="4846" ht="15.75" customHeight="1">
      <c r="A4846" s="2">
        <v>4848.0</v>
      </c>
      <c r="B4846" s="5" t="s">
        <v>8884</v>
      </c>
      <c r="C4846" s="6">
        <v>1.0</v>
      </c>
      <c r="D4846" s="9" t="s">
        <v>8885</v>
      </c>
      <c r="E4846" s="8" t="str">
        <f>IFERROR(__xludf.DUMMYFUNCTION("googletranslate(D4846,""id"",""en"")"),"Please sir, in the district of Tegal, all the sub-district heads, it has gathered and takes pictures without using Prokes at the time of Emergency PPKM, must be given strict sanctions")</f>
        <v>Please sir, in the district of Tegal, all the sub-district heads, it has gathered and takes pictures without using Prokes at the time of Emergency PPKM, must be given strict sanctions</v>
      </c>
    </row>
    <row r="4847" ht="15.75" customHeight="1">
      <c r="A4847" s="2">
        <v>4849.0</v>
      </c>
      <c r="B4847" s="5" t="s">
        <v>8886</v>
      </c>
      <c r="C4847" s="6">
        <v>1.0</v>
      </c>
      <c r="D4847" s="7" t="s">
        <v>8886</v>
      </c>
      <c r="E4847" s="8" t="str">
        <f>IFERROR(__xludf.DUMMYFUNCTION("googletranslate(D4847,""id"",""en"")"),"I really can't meet because ""PPKM")</f>
        <v>I really can't meet because "PPKM</v>
      </c>
    </row>
    <row r="4848" ht="15.75" customHeight="1">
      <c r="A4848" s="2">
        <v>4850.0</v>
      </c>
      <c r="B4848" s="5" t="s">
        <v>8887</v>
      </c>
      <c r="C4848" s="6">
        <v>2.0</v>
      </c>
      <c r="D4848" s="12" t="s">
        <v>8888</v>
      </c>
      <c r="E4848" s="8" t="str">
        <f>IFERROR(__xludf.DUMMYFUNCTION("googletranslate(D4848,""id"",""en"")"),"forget if ppkm.")</f>
        <v>forget if ppkm.</v>
      </c>
    </row>
    <row r="4849" ht="15.75" customHeight="1">
      <c r="A4849" s="2">
        <v>4851.0</v>
      </c>
      <c r="B4849" s="5" t="s">
        <v>8889</v>
      </c>
      <c r="C4849" s="6">
        <v>2.0</v>
      </c>
      <c r="D4849" s="7" t="s">
        <v>8890</v>
      </c>
      <c r="E4849" s="8" t="str">
        <f>IFERROR(__xludf.DUMMYFUNCTION("googletranslate(D4849,""id"",""en"")"),"Amazing Masseges..ppkmpengen Polygamy Less Recognize ... QS At-Tahrim $ Number $")</f>
        <v>Amazing Masseges..ppkmpengen Polygamy Less Recognize ... QS At-Tahrim $ Number $</v>
      </c>
    </row>
    <row r="4850" ht="15.75" customHeight="1">
      <c r="A4850" s="2">
        <v>4852.0</v>
      </c>
      <c r="B4850" s="5" t="s">
        <v>8891</v>
      </c>
      <c r="C4850" s="6">
        <v>1.0</v>
      </c>
      <c r="D4850" s="9" t="s">
        <v>8892</v>
      </c>
      <c r="E4850" s="8" t="str">
        <f>IFERROR(__xludf.DUMMYFUNCTION("googletranslate(D4850,""id"",""en"")"),"Like the rules of lockdown, psbb, ppkm, etc. According to pov I also, in a scary covid if they don't have a kitchen problem maybe they will also ignore it. ""Bodo is very much, there will be a virus, what is not important, I still can work.""")</f>
        <v>Like the rules of lockdown, psbb, ppkm, etc. According to pov I also, in a scary covid if they don't have a kitchen problem maybe they will also ignore it. "Bodo is very much, there will be a virus, what is not important, I still can work."</v>
      </c>
    </row>
    <row r="4851" ht="15.75" customHeight="1">
      <c r="A4851" s="2">
        <v>4853.0</v>
      </c>
      <c r="B4851" s="5" t="s">
        <v>8893</v>
      </c>
      <c r="C4851" s="6">
        <v>2.0</v>
      </c>
      <c r="D4851" s="7" t="s">
        <v>8894</v>
      </c>
      <c r="E4851" s="8" t="str">
        <f>IFERROR(__xludf.DUMMYFUNCTION("googletranslate(D4851,""id"",""en"")"),"That afternoon Indonesia is still ppkm it seems ...")</f>
        <v>That afternoon Indonesia is still ppkm it seems ...</v>
      </c>
    </row>
    <row r="4852" ht="15.75" customHeight="1">
      <c r="A4852" s="2">
        <v>4854.0</v>
      </c>
      <c r="B4852" s="5" t="s">
        <v>8895</v>
      </c>
      <c r="C4852" s="6">
        <v>1.0</v>
      </c>
      <c r="D4852" s="9" t="s">
        <v>8896</v>
      </c>
      <c r="E4852" s="8" t="str">
        <f>IFERROR(__xludf.DUMMYFUNCTION("googletranslate(D4852,""id"",""en"")"),"PPKM signs are extended but ngeles there are kelosgaran, old songs tangled tapes")</f>
        <v>PPKM signs are extended but ngeles there are kelosgaran, old songs tangled tapes</v>
      </c>
    </row>
    <row r="4853" ht="15.75" customHeight="1">
      <c r="A4853" s="2">
        <v>4855.0</v>
      </c>
      <c r="B4853" s="5" t="s">
        <v>8897</v>
      </c>
      <c r="C4853" s="6">
        <v>2.0</v>
      </c>
      <c r="D4853" s="7" t="s">
        <v>8898</v>
      </c>
      <c r="E4853" s="8" t="str">
        <f>IFERROR(__xludf.DUMMYFUNCTION("googletranslate(D4853,""id"",""en"")"),"Asked by Putralik Kirain there was PPKM it turned out he was the same as another: v. Bang Punten Yes")</f>
        <v>Asked by Putralik Kirain there was PPKM it turned out he was the same as another: v. Bang Punten Yes</v>
      </c>
    </row>
    <row r="4854" ht="15.75" customHeight="1">
      <c r="A4854" s="2">
        <v>4856.0</v>
      </c>
      <c r="B4854" s="5" t="s">
        <v>8899</v>
      </c>
      <c r="C4854" s="6">
        <v>1.0</v>
      </c>
      <c r="D4854" s="9" t="s">
        <v>8900</v>
      </c>
      <c r="E4854" s="8" t="str">
        <f>IFERROR(__xludf.DUMMYFUNCTION("googletranslate(D4854,""id"",""en"")"),"Honestly, if I was scared, scared fraud ... if the ppkm is still a lot of fraud, bro, it's not?")</f>
        <v>Honestly, if I was scared, scared fraud ... if the ppkm is still a lot of fraud, bro, it's not?</v>
      </c>
    </row>
    <row r="4855" ht="15.75" customHeight="1">
      <c r="A4855" s="2">
        <v>4857.0</v>
      </c>
      <c r="B4855" s="5" t="s">
        <v>8901</v>
      </c>
      <c r="C4855" s="6">
        <v>3.0</v>
      </c>
      <c r="D4855" s="7" t="s">
        <v>8902</v>
      </c>
      <c r="E4855" s="8" t="str">
        <f>IFERROR(__xludf.DUMMYFUNCTION("googletranslate(D4855,""id"",""en"")"),"Wkwkwk the context is shaky, but it can't be done, right? PFFT. Thanks a lot, Jussie, again, my ppkm is a healing descent with a way to get happiness where else besides dumay, hhhh: ')")</f>
        <v>Wkwkwk the context is shaky, but it can't be done, right? PFFT. Thanks a lot, Jussie, again, my ppkm is a healing descent with a way to get happiness where else besides dumay, hhhh: ')</v>
      </c>
    </row>
    <row r="4856" ht="15.75" customHeight="1">
      <c r="A4856" s="2">
        <v>4858.0</v>
      </c>
      <c r="B4856" s="5" t="s">
        <v>8903</v>
      </c>
      <c r="C4856" s="6">
        <v>2.0</v>
      </c>
      <c r="D4856" s="7" t="s">
        <v>8904</v>
      </c>
      <c r="E4856" s="8" t="str">
        <f>IFERROR(__xludf.DUMMYFUNCTION("googletranslate(D4856,""id"",""en"")"),"The father of this PPKM level is still in Jabodetabek you know")</f>
        <v>The father of this PPKM level is still in Jabodetabek you know</v>
      </c>
    </row>
    <row r="4857" ht="15.75" customHeight="1">
      <c r="A4857" s="2">
        <v>4859.0</v>
      </c>
      <c r="B4857" s="5" t="s">
        <v>8905</v>
      </c>
      <c r="C4857" s="6">
        <v>1.0</v>
      </c>
      <c r="D4857" s="7" t="s">
        <v>8906</v>
      </c>
      <c r="E4857" s="8" t="str">
        <f>IFERROR(__xludf.DUMMYFUNCTION("googletranslate(D4857,""id"",""en"")"),"PPKM ... Government Regulation sacrificed the community")</f>
        <v>PPKM ... Government Regulation sacrificed the community</v>
      </c>
    </row>
    <row r="4858" ht="15.75" customHeight="1">
      <c r="A4858" s="2">
        <v>4860.0</v>
      </c>
      <c r="B4858" s="5" t="s">
        <v>8907</v>
      </c>
      <c r="C4858" s="6">
        <v>1.0</v>
      </c>
      <c r="D4858" s="7" t="s">
        <v>8907</v>
      </c>
      <c r="E4858" s="8" t="str">
        <f>IFERROR(__xludf.DUMMYFUNCTION("googletranslate(D4858,""id"",""en"")"),"Me-free from the irrationality of Java-Bali PPKM.")</f>
        <v>Me-free from the irrationality of Java-Bali PPKM.</v>
      </c>
    </row>
    <row r="4859" ht="15.75" customHeight="1">
      <c r="A4859" s="2">
        <v>4861.0</v>
      </c>
      <c r="B4859" s="5" t="s">
        <v>8908</v>
      </c>
      <c r="C4859" s="6">
        <v>3.0</v>
      </c>
      <c r="D4859" s="9" t="s">
        <v>8909</v>
      </c>
      <c r="E4859" s="8" t="str">
        <f>IFERROR(__xludf.DUMMYFUNCTION("googletranslate(D4859,""id"",""en"")"),"Amanyuuuu! Because the polll can be counted finger if it comes out. I've traveled anyway (bkn just lockdown / ppkm) so it must be told to antigen first, but because obey the proced alhamdulillah isn't why and hopefully it will not get!")</f>
        <v>Amanyuuuu! Because the polll can be counted finger if it comes out. I've traveled anyway (bkn just lockdown / ppkm) so it must be told to antigen first, but because obey the proced alhamdulillah isn't why and hopefully it will not get!</v>
      </c>
    </row>
    <row r="4860" ht="15.75" customHeight="1">
      <c r="A4860" s="2">
        <v>4862.0</v>
      </c>
      <c r="B4860" s="5" t="s">
        <v>8910</v>
      </c>
      <c r="C4860" s="6">
        <v>2.0</v>
      </c>
      <c r="D4860" s="7" t="s">
        <v>8911</v>
      </c>
      <c r="E4860" s="8" t="str">
        <f>IFERROR(__xludf.DUMMYFUNCTION("googletranslate(D4860,""id"",""en"")"),"The age of PPKM was limited to minutes?")</f>
        <v>The age of PPKM was limited to minutes?</v>
      </c>
    </row>
    <row r="4861" ht="15.75" customHeight="1">
      <c r="A4861" s="2">
        <v>4863.0</v>
      </c>
      <c r="B4861" s="5" t="s">
        <v>8912</v>
      </c>
      <c r="C4861" s="6">
        <v>1.0</v>
      </c>
      <c r="D4861" s="7" t="s">
        <v>8913</v>
      </c>
      <c r="E4861" s="8" t="str">
        <f>IFERROR(__xludf.DUMMYFUNCTION("googletranslate(D4861,""id"",""en"")"),"When will PPKM removed, want to walk ""Cherd")</f>
        <v>When will PPKM removed, want to walk "Cherd</v>
      </c>
    </row>
    <row r="4862" ht="15.75" customHeight="1">
      <c r="A4862" s="2">
        <v>4864.0</v>
      </c>
      <c r="B4862" s="5" t="s">
        <v>8914</v>
      </c>
      <c r="C4862" s="6">
        <v>2.0</v>
      </c>
      <c r="D4862" s="9" t="s">
        <v>8915</v>
      </c>
      <c r="E4862" s="8" t="str">
        <f>IFERROR(__xludf.DUMMYFUNCTION("googletranslate(D4862,""id"",""en"")"),"Mirak I get acquaintances, he said PPKM.")</f>
        <v>Mirak I get acquaintances, he said PPKM.</v>
      </c>
    </row>
    <row r="4863" ht="15.75" customHeight="1">
      <c r="A4863" s="2">
        <v>4865.0</v>
      </c>
      <c r="B4863" s="5" t="s">
        <v>8916</v>
      </c>
      <c r="C4863" s="6">
        <v>3.0</v>
      </c>
      <c r="D4863" s="9" t="s">
        <v>8917</v>
      </c>
      <c r="E4863" s="8" t="str">
        <f>IFERROR(__xludf.DUMMYFUNCTION("googletranslate(D4863,""id"",""en"")"),"Must be continued to continue the ppkm smpe which is still faintly will continue to continue to go to the date")</f>
        <v>Must be continued to continue the ppkm smpe which is still faintly will continue to continue to go to the date</v>
      </c>
    </row>
    <row r="4864" ht="15.75" customHeight="1">
      <c r="A4864" s="2">
        <v>4866.0</v>
      </c>
      <c r="B4864" s="5" t="s">
        <v>8918</v>
      </c>
      <c r="C4864" s="6">
        <v>1.0</v>
      </c>
      <c r="D4864" s="7" t="s">
        <v>8919</v>
      </c>
      <c r="E4864" s="8" t="str">
        <f>IFERROR(__xludf.DUMMYFUNCTION("googletranslate(D4864,""id"",""en"")"),"The Haters Gataau Apparently if it's now PPKM? In Sempet2in also hate people, it's really right?")</f>
        <v>The Haters Gataau Apparently if it's now PPKM? In Sempet2in also hate people, it's really right?</v>
      </c>
    </row>
    <row r="4865" ht="15.75" customHeight="1">
      <c r="A4865" s="2">
        <v>4867.0</v>
      </c>
      <c r="B4865" s="5" t="s">
        <v>8920</v>
      </c>
      <c r="C4865" s="6">
        <v>1.0</v>
      </c>
      <c r="D4865" s="7" t="s">
        <v>8921</v>
      </c>
      <c r="E4865" s="8" t="str">
        <f>IFERROR(__xludf.DUMMYFUNCTION("googletranslate(D4865,""id"",""en"")"),"Create Dinner. Because now LG PPKM. Jd cook yourself.")</f>
        <v>Create Dinner. Because now LG PPKM. Jd cook yourself.</v>
      </c>
    </row>
    <row r="4866" ht="15.75" customHeight="1">
      <c r="A4866" s="2">
        <v>4868.0</v>
      </c>
      <c r="B4866" s="5" t="s">
        <v>8922</v>
      </c>
      <c r="C4866" s="6">
        <v>1.0</v>
      </c>
      <c r="D4866" s="7" t="s">
        <v>8923</v>
      </c>
      <c r="E4866" s="8" t="str">
        <f>IFERROR(__xludf.DUMMYFUNCTION("googletranslate(D4866,""id"",""en"")"),"Hoo kirain has gabisa ngorotel ppkm gini")</f>
        <v>Hoo kirain has gabisa ngorotel ppkm gini</v>
      </c>
    </row>
    <row r="4867" ht="15.75" customHeight="1">
      <c r="A4867" s="2">
        <v>4869.0</v>
      </c>
      <c r="B4867" s="5" t="s">
        <v>8924</v>
      </c>
      <c r="C4867" s="6">
        <v>3.0</v>
      </c>
      <c r="D4867" s="7" t="s">
        <v>8925</v>
      </c>
      <c r="E4867" s="8" t="str">
        <f>IFERROR(__xludf.DUMMYFUNCTION("googletranslate(D4867,""id"",""en"")"),"For the sake of the safety of the Indonesian people, let's support President Joko Widodo's decision regarding the PPKM extension until August. We are with Jokowi")</f>
        <v>For the sake of the safety of the Indonesian people, let's support President Joko Widodo's decision regarding the PPKM extension until August. We are with Jokowi</v>
      </c>
    </row>
    <row r="4868" ht="15.75" customHeight="1">
      <c r="A4868" s="2">
        <v>4870.0</v>
      </c>
      <c r="B4868" s="5" t="s">
        <v>8926</v>
      </c>
      <c r="C4868" s="6">
        <v>2.0</v>
      </c>
      <c r="D4868" s="9" t="s">
        <v>8927</v>
      </c>
      <c r="E4868" s="8" t="str">
        <f>IFERROR(__xludf.DUMMYFUNCTION("googletranslate(D4868,""id"",""en"")"),"Every week Antigen in the office before PPKM, the closest people have positively positive for some of the positive positive people who sit next to the office, there are also many posts, there are also many posts, so I never got it, Thankfullyastrazeneca")</f>
        <v>Every week Antigen in the office before PPKM, the closest people have positively positive for some of the positive positive people who sit next to the office, there are also many posts, there are also many posts, so I never got it, Thankfullyastrazeneca</v>
      </c>
    </row>
    <row r="4869" ht="15.75" customHeight="1">
      <c r="A4869" s="2">
        <v>4871.0</v>
      </c>
      <c r="B4869" s="5" t="s">
        <v>8928</v>
      </c>
      <c r="C4869" s="6">
        <v>2.0</v>
      </c>
      <c r="D4869" s="9" t="s">
        <v>8929</v>
      </c>
      <c r="E4869" s="8" t="str">
        <f>IFERROR(__xludf.DUMMYFUNCTION("googletranslate(D4869,""id"",""en"")"),"Let's play bareeeng if it's not a ppkm! I arrived now if the road is always from squatting first, I just sway, I just stood up")</f>
        <v>Let's play bareeeng if it's not a ppkm! I arrived now if the road is always from squatting first, I just sway, I just stood up</v>
      </c>
    </row>
    <row r="4870" ht="15.75" customHeight="1">
      <c r="A4870" s="2">
        <v>4872.0</v>
      </c>
      <c r="B4870" s="5" t="s">
        <v>8930</v>
      </c>
      <c r="C4870" s="6">
        <v>1.0</v>
      </c>
      <c r="D4870" s="9" t="s">
        <v>8931</v>
      </c>
      <c r="E4870" s="8" t="str">
        <f>IFERROR(__xludf.DUMMYFUNCTION("googletranslate(D4870,""id"",""en"")"),"But I still did very passionately. It's just my tuh, there is a material. Where is now PPKM so books from school are also shared now")</f>
        <v>But I still did very passionately. It's just my tuh, there is a material. Where is now PPKM so books from school are also shared now</v>
      </c>
    </row>
    <row r="4871" ht="15.75" customHeight="1">
      <c r="A4871" s="2">
        <v>4873.0</v>
      </c>
      <c r="B4871" s="5" t="s">
        <v>8932</v>
      </c>
      <c r="C4871" s="6">
        <v>1.0</v>
      </c>
      <c r="D4871" s="7" t="s">
        <v>8932</v>
      </c>
      <c r="E4871" s="8" t="str">
        <f>IFERROR(__xludf.DUMMYFUNCTION("googletranslate(D4871,""id"",""en"")"),"pgn karoke but still ppkm kan bangszzzzzzzzzaat")</f>
        <v>pgn karoke but still ppkm kan bangszzzzzzzzzaat</v>
      </c>
    </row>
    <row r="4872" ht="15.75" customHeight="1">
      <c r="A4872" s="2">
        <v>4874.0</v>
      </c>
      <c r="B4872" s="5" t="s">
        <v>8933</v>
      </c>
      <c r="C4872" s="6">
        <v>1.0</v>
      </c>
      <c r="D4872" s="7" t="s">
        <v>8934</v>
      </c>
      <c r="E4872" s="8" t="str">
        <f>IFERROR(__xludf.DUMMYFUNCTION("googletranslate(D4872,""id"",""en"")"),"I predicted later when I gathered in Padang Mahsyar, Indonesians Gaada. Still a PPKM tressle.")</f>
        <v>I predicted later when I gathered in Padang Mahsyar, Indonesians Gaada. Still a PPKM tressle.</v>
      </c>
    </row>
    <row r="4873" ht="15.75" customHeight="1">
      <c r="A4873" s="2">
        <v>4875.0</v>
      </c>
      <c r="B4873" s="5" t="s">
        <v>8935</v>
      </c>
      <c r="C4873" s="6">
        <v>1.0</v>
      </c>
      <c r="D4873" s="7" t="s">
        <v>8936</v>
      </c>
      <c r="E4873" s="8" t="str">
        <f>IFERROR(__xludf.DUMMYFUNCTION("googletranslate(D4873,""id"",""en"")"),"close all ndah until it's picked up, open the beginning of August finished ppkm")</f>
        <v>close all ndah until it's picked up, open the beginning of August finished ppkm</v>
      </c>
    </row>
    <row r="4874" ht="15.75" customHeight="1">
      <c r="A4874" s="2">
        <v>4876.0</v>
      </c>
      <c r="B4874" s="5" t="s">
        <v>8937</v>
      </c>
      <c r="C4874" s="6">
        <v>1.0</v>
      </c>
      <c r="D4874" s="9" t="s">
        <v>8938</v>
      </c>
      <c r="E4874" s="8" t="str">
        <f>IFERROR(__xludf.DUMMYFUNCTION("googletranslate(D4874,""id"",""en"")"),"The problem is now since the PPKM last July, there was a thin inclusion of money because the road was closed by people who were afraid to come out the leasing of my services and now attacked by diseases in general, namely cangker (dry bag)")</f>
        <v>The problem is now since the PPKM last July, there was a thin inclusion of money because the road was closed by people who were afraid to come out the leasing of my services and now attacked by diseases in general, namely cangker (dry bag)</v>
      </c>
    </row>
    <row r="4875" ht="15.75" customHeight="1">
      <c r="A4875" s="2">
        <v>4877.0</v>
      </c>
      <c r="B4875" s="5" t="s">
        <v>8939</v>
      </c>
      <c r="C4875" s="6">
        <v>1.0</v>
      </c>
      <c r="D4875" s="9" t="s">
        <v>8939</v>
      </c>
      <c r="E4875" s="8" t="str">
        <f>IFERROR(__xludf.DUMMYFUNCTION("googletranslate(D4875,""id"",""en"")"),"I'm confused. Campus I urgent what I want to do the Turlap KKN. PPKM has not been made. The climit mortality rate is still high with a new variant cluster.")</f>
        <v>I'm confused. Campus I urgent what I want to do the Turlap KKN. PPKM has not been made. The climit mortality rate is still high with a new variant cluster.</v>
      </c>
    </row>
    <row r="4876" ht="15.75" customHeight="1">
      <c r="A4876" s="2">
        <v>4878.0</v>
      </c>
      <c r="B4876" s="5" t="s">
        <v>8940</v>
      </c>
      <c r="C4876" s="6">
        <v>1.0</v>
      </c>
      <c r="D4876" s="9" t="s">
        <v>8941</v>
      </c>
      <c r="E4876" s="8" t="str">
        <f>IFERROR(__xludf.DUMMYFUNCTION("googletranslate(D4876,""id"",""en"")"),"It's God, you like to joke with me ... every time I want to come out here, the one who has fixed it, it's still a plan ... eh tbtb ppkm kaga kaga kaga kaga ajrit it is moving ... yeah mengkapek with this life drama")</f>
        <v>It's God, you like to joke with me ... every time I want to come out here, the one who has fixed it, it's still a plan ... eh tbtb ppkm kaga kaga kaga kaga ajrit it is moving ... yeah mengkapek with this life drama</v>
      </c>
    </row>
    <row r="4877" ht="15.75" customHeight="1">
      <c r="A4877" s="2">
        <v>4879.0</v>
      </c>
      <c r="B4877" s="5" t="s">
        <v>8942</v>
      </c>
      <c r="C4877" s="6">
        <v>2.0</v>
      </c>
      <c r="D4877" s="10" t="s">
        <v>8943</v>
      </c>
      <c r="E4877" s="8" t="str">
        <f>IFERROR(__xludf.DUMMYFUNCTION("googletranslate(D4877,""id"",""en"")"),"PPKM (2)")</f>
        <v>PPKM (2)</v>
      </c>
    </row>
    <row r="4878" ht="15.75" customHeight="1">
      <c r="A4878" s="2">
        <v>4880.0</v>
      </c>
      <c r="B4878" s="5" t="s">
        <v>8944</v>
      </c>
      <c r="C4878" s="6">
        <v>1.0</v>
      </c>
      <c r="D4878" s="9" t="s">
        <v>8945</v>
      </c>
      <c r="E4878" s="8" t="str">
        <f>IFERROR(__xludf.DUMMYFUNCTION("googletranslate(D4878,""id"",""en"")"),"It entered it?")</f>
        <v>It entered it?</v>
      </c>
    </row>
    <row r="4879" ht="15.75" customHeight="1">
      <c r="A4879" s="2">
        <v>4881.0</v>
      </c>
      <c r="B4879" s="5" t="s">
        <v>8946</v>
      </c>
      <c r="C4879" s="6">
        <v>2.0</v>
      </c>
      <c r="D4879" s="7" t="s">
        <v>8947</v>
      </c>
      <c r="E4879" s="8" t="str">
        <f>IFERROR(__xludf.DUMMYFUNCTION("googletranslate(D4879,""id"",""en"")"),"Phenomenon at PPKM level")</f>
        <v>Phenomenon at PPKM level</v>
      </c>
    </row>
    <row r="4880" ht="15.75" customHeight="1">
      <c r="A4880" s="2">
        <v>4882.0</v>
      </c>
      <c r="B4880" s="5" t="s">
        <v>8948</v>
      </c>
      <c r="C4880" s="6">
        <v>1.0</v>
      </c>
      <c r="D4880" s="7" t="s">
        <v>8949</v>
      </c>
      <c r="E4880" s="8" t="str">
        <f>IFERROR(__xludf.DUMMYFUNCTION("googletranslate(D4880,""id"",""en"")"),"Suddenly want to swim. But the public pool is not open during the PPKM")</f>
        <v>Suddenly want to swim. But the public pool is not open during the PPKM</v>
      </c>
    </row>
    <row r="4881" ht="15.75" customHeight="1">
      <c r="A4881" s="2">
        <v>4883.0</v>
      </c>
      <c r="B4881" s="5" t="s">
        <v>8950</v>
      </c>
      <c r="C4881" s="6">
        <v>2.0</v>
      </c>
      <c r="D4881" s="10" t="s">
        <v>8951</v>
      </c>
      <c r="E4881" s="8" t="str">
        <f>IFERROR(__xludf.DUMMYFUNCTION("googletranslate(D4881,""id"",""en"")"),"Akhmad PPKM.")</f>
        <v>Akhmad PPKM.</v>
      </c>
    </row>
    <row r="4882" ht="15.75" customHeight="1">
      <c r="A4882" s="2">
        <v>4884.0</v>
      </c>
      <c r="B4882" s="5" t="s">
        <v>8952</v>
      </c>
      <c r="C4882" s="6">
        <v>2.0</v>
      </c>
      <c r="D4882" s="7" t="s">
        <v>8953</v>
      </c>
      <c r="E4882" s="8" t="str">
        <f>IFERROR(__xludf.DUMMYFUNCTION("googletranslate(D4882,""id"",""en"")"),"same kayak PPKM.")</f>
        <v>same kayak PPKM.</v>
      </c>
    </row>
    <row r="4883" ht="15.75" customHeight="1">
      <c r="A4883" s="2">
        <v>4885.0</v>
      </c>
      <c r="B4883" s="5" t="s">
        <v>8954</v>
      </c>
      <c r="C4883" s="6">
        <v>1.0</v>
      </c>
      <c r="D4883" s="7" t="s">
        <v>8955</v>
      </c>
      <c r="E4883" s="8" t="str">
        <f>IFERROR(__xludf.DUMMYFUNCTION("googletranslate(D4883,""id"",""en"")"),"Ppkm is there yo zinc nyediani where has a few minutes to relax? not during the PPKM it serves delivery &amp; amp; Kursine in the ...")</f>
        <v>Ppkm is there yo zinc nyediani where has a few minutes to relax? not during the PPKM it serves delivery &amp; amp; Kursine in the ...</v>
      </c>
    </row>
    <row r="4884" ht="15.75" customHeight="1">
      <c r="A4884" s="2">
        <v>4886.0</v>
      </c>
      <c r="B4884" s="5" t="s">
        <v>8956</v>
      </c>
      <c r="C4884" s="6">
        <v>2.0</v>
      </c>
      <c r="D4884" s="7" t="s">
        <v>8957</v>
      </c>
      <c r="E4884" s="8" t="str">
        <f>IFERROR(__xludf.DUMMYFUNCTION("googletranslate(D4884,""id"",""en"")"),"The PPKM is RA, so Hacep in the room is not in the pub wkwk")</f>
        <v>The PPKM is RA, so Hacep in the room is not in the pub wkwk</v>
      </c>
    </row>
    <row r="4885" ht="15.75" customHeight="1">
      <c r="A4885" s="2">
        <v>4887.0</v>
      </c>
      <c r="B4885" s="5" t="s">
        <v>8958</v>
      </c>
      <c r="C4885" s="6">
        <v>3.0</v>
      </c>
      <c r="D4885" s="7" t="s">
        <v>8959</v>
      </c>
      <c r="E4885" s="8" t="str">
        <f>IFERROR(__xludf.DUMMYFUNCTION("googletranslate(D4885,""id"",""en"")"),"Agree to agree just huh rather than covid rises the size of his ppkm can lightness")</f>
        <v>Agree to agree just huh rather than covid rises the size of his ppkm can lightness</v>
      </c>
    </row>
    <row r="4886" ht="15.75" customHeight="1">
      <c r="A4886" s="2">
        <v>4888.0</v>
      </c>
      <c r="B4886" s="5" t="s">
        <v>8960</v>
      </c>
      <c r="C4886" s="6">
        <v>1.0</v>
      </c>
      <c r="D4886" s="7" t="s">
        <v>8961</v>
      </c>
      <c r="E4886" s="8" t="str">
        <f>IFERROR(__xludf.DUMMYFUNCTION("googletranslate(D4886,""id"",""en"")"),". Please PPKM WANT TO LEVEL GPP, the important people need to eat, need adequacy, must be able to suffer the needs of all people, especially the lower people who can not be able to meet the needs of the people, preferably")</f>
        <v>. Please PPKM WANT TO LEVEL GPP, the important people need to eat, need adequacy, must be able to suffer the needs of all people, especially the lower people who can not be able to meet the needs of the people, preferably</v>
      </c>
    </row>
    <row r="4887" ht="15.75" customHeight="1">
      <c r="A4887" s="2">
        <v>4889.0</v>
      </c>
      <c r="B4887" s="5" t="s">
        <v>8962</v>
      </c>
      <c r="C4887" s="6">
        <v>1.0</v>
      </c>
      <c r="D4887" s="9" t="s">
        <v>8963</v>
      </c>
      <c r="E4887" s="8" t="str">
        <f>IFERROR(__xludf.DUMMYFUNCTION("googletranslate(D4887,""id"",""en"")"),"Given a day off, even confused about what to do, exercise is not exciting, because it's still PPKM")</f>
        <v>Given a day off, even confused about what to do, exercise is not exciting, because it's still PPKM</v>
      </c>
    </row>
    <row r="4888" ht="15.75" customHeight="1">
      <c r="A4888" s="2">
        <v>4890.0</v>
      </c>
      <c r="B4888" s="5" t="s">
        <v>8964</v>
      </c>
      <c r="C4888" s="6">
        <v>1.0</v>
      </c>
      <c r="D4888" s="7" t="s">
        <v>8964</v>
      </c>
      <c r="E4888" s="8" t="str">
        <f>IFERROR(__xludf.DUMMYFUNCTION("googletranslate(D4888,""id"",""en"")"),"PSBB with the difference, PSBB people still have money for snacks, the ppkm seems to be bokek")</f>
        <v>PSBB with the difference, PSBB people still have money for snacks, the ppkm seems to be bokek</v>
      </c>
    </row>
    <row r="4889" ht="15.75" customHeight="1">
      <c r="A4889" s="2">
        <v>4891.0</v>
      </c>
      <c r="B4889" s="5" t="s">
        <v>8965</v>
      </c>
      <c r="C4889" s="6">
        <v>1.0</v>
      </c>
      <c r="D4889" s="7" t="s">
        <v>8966</v>
      </c>
      <c r="E4889" s="8" t="str">
        <f>IFERROR(__xludf.DUMMYFUNCTION("googletranslate(D4889,""id"",""en"")"),"The PPKM slowly slowly")</f>
        <v>The PPKM slowly slowly</v>
      </c>
    </row>
    <row r="4890" ht="15.75" customHeight="1">
      <c r="A4890" s="2">
        <v>4892.0</v>
      </c>
      <c r="B4890" s="5" t="s">
        <v>8967</v>
      </c>
      <c r="C4890" s="6">
        <v>1.0</v>
      </c>
      <c r="D4890" s="7" t="s">
        <v>8967</v>
      </c>
      <c r="E4890" s="8" t="str">
        <f>IFERROR(__xludf.DUMMYFUNCTION("googletranslate(D4890,""id"",""en"")"),"How are you celebrity that holds a birthday in the PPKM period? How many million he got a fine? The time of the small people paid, he didn't?")</f>
        <v>How are you celebrity that holds a birthday in the PPKM period? How many million he got a fine? The time of the small people paid, he didn't?</v>
      </c>
    </row>
    <row r="4891" ht="15.75" customHeight="1">
      <c r="A4891" s="2">
        <v>4893.0</v>
      </c>
      <c r="B4891" s="5" t="s">
        <v>8968</v>
      </c>
      <c r="C4891" s="6">
        <v>1.0</v>
      </c>
      <c r="D4891" s="9" t="s">
        <v>8969</v>
      </c>
      <c r="E4891" s="8" t="str">
        <f>IFERROR(__xludf.DUMMYFUNCTION("googletranslate(D4891,""id"",""en"")"),"Please don't need to be extended. I became difficult if I want to really laptop the laptop to the mall that has a laptop service. normally just go there &amp; amp; Find the right shop. Gara2 ppkm can't really be a laptop until now")</f>
        <v>Please don't need to be extended. I became difficult if I want to really laptop the laptop to the mall that has a laptop service. normally just go there &amp; amp; Find the right shop. Gara2 ppkm can't really be a laptop until now</v>
      </c>
    </row>
    <row r="4892" ht="15.75" customHeight="1">
      <c r="A4892" s="2">
        <v>4894.0</v>
      </c>
      <c r="B4892" s="5" t="s">
        <v>8970</v>
      </c>
      <c r="C4892" s="6">
        <v>1.0</v>
      </c>
      <c r="D4892" s="9" t="s">
        <v>8971</v>
      </c>
      <c r="E4892" s="8" t="str">
        <f>IFERROR(__xludf.DUMMYFUNCTION("googletranslate(D4892,""id"",""en"")"),"From Probolinggo now in East Jakarta Gaesss ... the package is from West Jakarta, but to Probolinggo first now to East Jakarta. Losing me from the package, I diem2 at home Bae he even walked ppkm gini")</f>
        <v>From Probolinggo now in East Jakarta Gaesss ... the package is from West Jakarta, but to Probolinggo first now to East Jakarta. Losing me from the package, I diem2 at home Bae he even walked ppkm gini</v>
      </c>
    </row>
    <row r="4893" ht="15.75" customHeight="1">
      <c r="A4893" s="2">
        <v>4895.0</v>
      </c>
      <c r="B4893" s="5" t="s">
        <v>8972</v>
      </c>
      <c r="C4893" s="6">
        <v>1.0</v>
      </c>
      <c r="D4893" s="9" t="s">
        <v>8973</v>
      </c>
      <c r="E4893" s="8" t="str">
        <f>IFERROR(__xludf.DUMMYFUNCTION("googletranslate(D4893,""id"",""en"")"),"Maybe my section is to invite gathering ""even though it's just kls woi, don't know who"" already invited to collect it weird, it will be still a ppkm")</f>
        <v>Maybe my section is to invite gathering "even though it's just kls woi, don't know who" already invited to collect it weird, it will be still a ppkm</v>
      </c>
    </row>
    <row r="4894" ht="15.75" customHeight="1">
      <c r="A4894" s="2">
        <v>4896.0</v>
      </c>
      <c r="B4894" s="5" t="s">
        <v>8974</v>
      </c>
      <c r="C4894" s="6">
        <v>2.0</v>
      </c>
      <c r="D4894" s="7" t="s">
        <v>8975</v>
      </c>
      <c r="E4894" s="8" t="str">
        <f>IFERROR(__xludf.DUMMYFUNCTION("googletranslate(D4894,""id"",""en"")"),"Gegara PPKM holidays")</f>
        <v>Gegara PPKM holidays</v>
      </c>
    </row>
    <row r="4895" ht="15.75" customHeight="1">
      <c r="A4895" s="2">
        <v>4897.0</v>
      </c>
      <c r="B4895" s="5" t="s">
        <v>8976</v>
      </c>
      <c r="C4895" s="6">
        <v>1.0</v>
      </c>
      <c r="D4895" s="9" t="s">
        <v>8977</v>
      </c>
      <c r="E4895" s="8" t="str">
        <f>IFERROR(__xludf.DUMMYFUNCTION("googletranslate(D4895,""id"",""en"")"),"Already crying in my corner, Kag has a passport, wants to make it, must wait weeks, where else PPKM: ')")</f>
        <v>Already crying in my corner, Kag has a passport, wants to make it, must wait weeks, where else PPKM: ')</v>
      </c>
    </row>
    <row r="4896" ht="15.75" customHeight="1">
      <c r="A4896" s="2">
        <v>4898.0</v>
      </c>
      <c r="B4896" s="5" t="s">
        <v>8978</v>
      </c>
      <c r="C4896" s="6">
        <v>1.0</v>
      </c>
      <c r="D4896" s="9" t="s">
        <v>8979</v>
      </c>
      <c r="E4896" s="8" t="str">
        <f>IFERROR(__xludf.DUMMYFUNCTION("googletranslate(D4896,""id"",""en"")"),"The condition of the PPKM is still like it's out of town ... Is this virus submitting to those who bear ...")</f>
        <v>The condition of the PPKM is still like it's out of town ... Is this virus submitting to those who bear ...</v>
      </c>
    </row>
    <row r="4897" ht="15.75" customHeight="1">
      <c r="A4897" s="2">
        <v>4899.0</v>
      </c>
      <c r="B4897" s="5" t="s">
        <v>8980</v>
      </c>
      <c r="C4897" s="6">
        <v>1.0</v>
      </c>
      <c r="D4897" s="7" t="s">
        <v>8980</v>
      </c>
      <c r="E4897" s="8" t="str">
        <f>IFERROR(__xludf.DUMMYFUNCTION("googletranslate(D4897,""id"",""en"")"),"Ppkm when to stop the seat ... how come it continues ...")</f>
        <v>Ppkm when to stop the seat ... how come it continues ...</v>
      </c>
    </row>
    <row r="4898" ht="15.75" customHeight="1">
      <c r="A4898" s="2">
        <v>4900.0</v>
      </c>
      <c r="B4898" s="5" t="s">
        <v>8981</v>
      </c>
      <c r="C4898" s="6">
        <v>1.0</v>
      </c>
      <c r="D4898" s="7" t="s">
        <v>8982</v>
      </c>
      <c r="E4898" s="8" t="str">
        <f>IFERROR(__xludf.DUMMYFUNCTION("googletranslate(D4898,""id"",""en"")"),"PPKM NDER WAS BEFORE RAZIA")</f>
        <v>PPKM NDER WAS BEFORE RAZIA</v>
      </c>
    </row>
    <row r="4899" ht="15.75" customHeight="1">
      <c r="A4899" s="2">
        <v>4901.0</v>
      </c>
      <c r="B4899" s="5" t="s">
        <v>8983</v>
      </c>
      <c r="C4899" s="6">
        <v>2.0</v>
      </c>
      <c r="D4899" s="7" t="s">
        <v>8984</v>
      </c>
      <c r="E4899" s="8" t="str">
        <f>IFERROR(__xludf.DUMMYFUNCTION("googletranslate(D4899,""id"",""en"")"),"Because - because of PPKM or because of busy Drey?")</f>
        <v>Because - because of PPKM or because of busy Drey?</v>
      </c>
    </row>
    <row r="4900" ht="15.75" customHeight="1">
      <c r="A4900" s="2">
        <v>4902.0</v>
      </c>
      <c r="B4900" s="5" t="s">
        <v>8985</v>
      </c>
      <c r="C4900" s="6">
        <v>1.0</v>
      </c>
      <c r="D4900" s="7" t="s">
        <v>8986</v>
      </c>
      <c r="E4900" s="8" t="str">
        <f>IFERROR(__xludf.DUMMYFUNCTION("googletranslate(D4900,""id"",""en"")"),"pity the hotel has been affected by PPKM, still get a fine because of Garaian")</f>
        <v>pity the hotel has been affected by PPKM, still get a fine because of Garaian</v>
      </c>
    </row>
    <row r="4901" ht="15.75" customHeight="1">
      <c r="A4901" s="2">
        <v>4903.0</v>
      </c>
      <c r="B4901" s="5" t="s">
        <v>8987</v>
      </c>
      <c r="C4901" s="6">
        <v>1.0</v>
      </c>
      <c r="D4901" s="9" t="s">
        <v>8988</v>
      </c>
      <c r="E4901" s="8" t="str">
        <f>IFERROR(__xludf.DUMMYFUNCTION("googletranslate(D4901,""id"",""en"")"),"If we get together, even though obeying the proces, there are many people, there are a lot of ppkm, this is a shame, it's really good, it's worked on.")</f>
        <v>If we get together, even though obeying the proces, there are many people, there are a lot of ppkm, this is a shame, it's really good, it's worked on.</v>
      </c>
    </row>
    <row r="4902" ht="15.75" customHeight="1">
      <c r="A4902" s="2">
        <v>4904.0</v>
      </c>
      <c r="B4902" s="5" t="s">
        <v>8989</v>
      </c>
      <c r="C4902" s="6">
        <v>3.0</v>
      </c>
      <c r="D4902" s="9" t="s">
        <v>8990</v>
      </c>
      <c r="E4902" s="8" t="str">
        <f>IFERROR(__xludf.DUMMYFUNCTION("googletranslate(D4902,""id"",""en"")"),"the pokonya must first do not macem2 in this PPKM period")</f>
        <v>the pokonya must first do not macem2 in this PPKM period</v>
      </c>
    </row>
    <row r="4903" ht="15.75" customHeight="1">
      <c r="A4903" s="2">
        <v>4905.0</v>
      </c>
      <c r="B4903" s="5" t="s">
        <v>8991</v>
      </c>
      <c r="C4903" s="6">
        <v>2.0</v>
      </c>
      <c r="D4903" s="7" t="s">
        <v>8992</v>
      </c>
      <c r="E4903" s="8" t="str">
        <f>IFERROR(__xludf.DUMMYFUNCTION("googletranslate(D4903,""id"",""en"")"),"It can't be long, right again")</f>
        <v>It can't be long, right again</v>
      </c>
    </row>
    <row r="4904" ht="15.75" customHeight="1">
      <c r="A4904" s="2">
        <v>4906.0</v>
      </c>
      <c r="B4904" s="5" t="s">
        <v>8993</v>
      </c>
      <c r="C4904" s="6">
        <v>1.0</v>
      </c>
      <c r="D4904" s="7" t="s">
        <v>8994</v>
      </c>
      <c r="E4904" s="8" t="str">
        <f>IFERROR(__xludf.DUMMYFUNCTION("googletranslate(D4904,""id"",""en"")"),"now w confused gmn can go to the office lg ppkm gini")</f>
        <v>now w confused gmn can go to the office lg ppkm gini</v>
      </c>
    </row>
    <row r="4905" ht="15.75" customHeight="1">
      <c r="A4905" s="2">
        <v>4907.0</v>
      </c>
      <c r="B4905" s="5" t="s">
        <v>8995</v>
      </c>
      <c r="C4905" s="6">
        <v>2.0</v>
      </c>
      <c r="D4905" s="7" t="s">
        <v>8996</v>
      </c>
      <c r="E4905" s="8" t="str">
        <f>IFERROR(__xludf.DUMMYFUNCTION("googletranslate(D4905,""id"",""en"")"),"Is this cs anymore where ?? PPKM effect Well min ??")</f>
        <v>Is this cs anymore where ?? PPKM effect Well min ??</v>
      </c>
    </row>
    <row r="4906" ht="15.75" customHeight="1">
      <c r="A4906" s="2">
        <v>4908.0</v>
      </c>
      <c r="B4906" s="5" t="s">
        <v>8997</v>
      </c>
      <c r="C4906" s="6">
        <v>1.0</v>
      </c>
      <c r="D4906" s="7" t="s">
        <v>8998</v>
      </c>
      <c r="E4906" s="8" t="str">
        <f>IFERROR(__xludf.DUMMYFUNCTION("googletranslate(D4906,""id"",""en"")"),"Even though a few days the PPKM is finished, it will enter work again, but the body is even dropped this")</f>
        <v>Even though a few days the PPKM is finished, it will enter work again, but the body is even dropped this</v>
      </c>
    </row>
    <row r="4907" ht="15.75" customHeight="1">
      <c r="A4907" s="2">
        <v>4909.0</v>
      </c>
      <c r="B4907" s="5" t="s">
        <v>8999</v>
      </c>
      <c r="C4907" s="6">
        <v>1.0</v>
      </c>
      <c r="D4907" s="9" t="s">
        <v>9000</v>
      </c>
      <c r="E4907" s="8" t="str">
        <f>IFERROR(__xludf.DUMMYFUNCTION("googletranslate(D4907,""id"",""en"")"),"Report, enough ... No need to use it to his house, please help Indonesian Embassy in all ... PPKM Woooy ...")</f>
        <v>Report, enough ... No need to use it to his house, please help Indonesian Embassy in all ... PPKM Woooy ...</v>
      </c>
    </row>
    <row r="4908" ht="15.75" customHeight="1">
      <c r="A4908" s="2">
        <v>4910.0</v>
      </c>
      <c r="B4908" s="5" t="s">
        <v>9001</v>
      </c>
      <c r="C4908" s="6">
        <v>1.0</v>
      </c>
      <c r="D4908" s="7" t="s">
        <v>9002</v>
      </c>
      <c r="E4908" s="8" t="str">
        <f>IFERROR(__xludf.DUMMYFUNCTION("googletranslate(D4908,""id"",""en"")"),"Running out of shirts maybe, still in laundry. When I want to take the laundry, it's getting ppkm ~")</f>
        <v>Running out of shirts maybe, still in laundry. When I want to take the laundry, it's getting ppkm ~</v>
      </c>
    </row>
    <row r="4909" ht="15.75" customHeight="1">
      <c r="A4909" s="2">
        <v>4911.0</v>
      </c>
      <c r="B4909" s="5" t="s">
        <v>9003</v>
      </c>
      <c r="C4909" s="6">
        <v>1.0</v>
      </c>
      <c r="D4909" s="7" t="s">
        <v>9004</v>
      </c>
      <c r="E4909" s="8" t="str">
        <f>IFERROR(__xludf.DUMMYFUNCTION("googletranslate(D4909,""id"",""en"")"),"Duh Gara2 ppkm there is no photo stock")</f>
        <v>Duh Gara2 ppkm there is no photo stock</v>
      </c>
    </row>
    <row r="4910" ht="15.75" customHeight="1">
      <c r="A4910" s="2">
        <v>4912.0</v>
      </c>
      <c r="B4910" s="5" t="s">
        <v>9005</v>
      </c>
      <c r="C4910" s="6">
        <v>1.0</v>
      </c>
      <c r="D4910" s="9" t="s">
        <v>9006</v>
      </c>
      <c r="E4910" s="8" t="str">
        <f>IFERROR(__xludf.DUMMYFUNCTION("googletranslate(D4910,""id"",""en"")"),"yes if you want to lockdown mah lockdown aj, don't need to be ppkm lv, psbb lah, so it's not an obligation to help citizens? Out there, residents are the problem of dilockdown because of AD daily / weekly help? in Indonesia? you are told to die not lookin"&amp;"g for money and you will just number if positive")</f>
        <v>yes if you want to lockdown mah lockdown aj, don't need to be ppkm lv, psbb lah, so it's not an obligation to help citizens? Out there, residents are the problem of dilockdown because of AD daily / weekly help? in Indonesia? you are told to die not looking for money and you will just number if positive</v>
      </c>
    </row>
    <row r="4911" ht="15.75" customHeight="1">
      <c r="A4911" s="2">
        <v>4913.0</v>
      </c>
      <c r="B4911" s="5" t="s">
        <v>9007</v>
      </c>
      <c r="C4911" s="6">
        <v>2.0</v>
      </c>
      <c r="D4911" s="7" t="s">
        <v>9008</v>
      </c>
      <c r="E4911" s="8" t="str">
        <f>IFERROR(__xludf.DUMMYFUNCTION("googletranslate(D4911,""id"",""en"")"),"EVERYDAY EVERYDAY SAMPE PPKM LEVEL, 5.6 DST DISCL")</f>
        <v>EVERYDAY EVERYDAY SAMPE PPKM LEVEL, 5.6 DST DISCL</v>
      </c>
    </row>
    <row r="4912" ht="15.75" customHeight="1">
      <c r="A4912" s="2">
        <v>4914.0</v>
      </c>
      <c r="B4912" s="5" t="s">
        <v>9009</v>
      </c>
      <c r="C4912" s="6">
        <v>2.0</v>
      </c>
      <c r="D4912" s="7" t="s">
        <v>9010</v>
      </c>
      <c r="E4912" s="8" t="str">
        <f>IFERROR(__xludf.DUMMYFUNCTION("googletranslate(D4912,""id"",""en"")"),"Ready forpp ... but he said the cc ppkm")</f>
        <v>Ready forpp ... but he said the cc ppkm</v>
      </c>
    </row>
    <row r="4913" ht="15.75" customHeight="1">
      <c r="A4913" s="2">
        <v>4915.0</v>
      </c>
      <c r="B4913" s="5" t="s">
        <v>9011</v>
      </c>
      <c r="C4913" s="6">
        <v>1.0</v>
      </c>
      <c r="D4913" s="9" t="s">
        <v>9012</v>
      </c>
      <c r="E4913" s="8" t="str">
        <f>IFERROR(__xludf.DUMMYFUNCTION("googletranslate(D4913,""id"",""en"")"),"Please lockdown the entire Democrat office is really serious about the benefits of Lockdown, KL succeed in Democrats, can be considered PPKM Level.")</f>
        <v>Please lockdown the entire Democrat office is really serious about the benefits of Lockdown, KL succeed in Democrats, can be considered PPKM Level.</v>
      </c>
    </row>
    <row r="4914" ht="15.75" customHeight="1">
      <c r="A4914" s="2">
        <v>4916.0</v>
      </c>
      <c r="B4914" s="5" t="s">
        <v>9013</v>
      </c>
      <c r="C4914" s="6">
        <v>1.0</v>
      </c>
      <c r="D4914" s="7" t="s">
        <v>9014</v>
      </c>
      <c r="E4914" s="8" t="str">
        <f>IFERROR(__xludf.DUMMYFUNCTION("googletranslate(D4914,""id"",""en"")"),"How to do a massive tracing, if our lab is limited only in some cities? The new KDG Puskesmas can result a few days later it can be up to $ number $ HAVY.PPKM micro is effective if tracing can be carried out with massive. If the PCR test is free &amp; amp; Th"&amp;"e lab is available in WIL TSB.")</f>
        <v>How to do a massive tracing, if our lab is limited only in some cities? The new KDG Puskesmas can result a few days later it can be up to $ number $ HAVY.PPKM micro is effective if tracing can be carried out with massive. If the PCR test is free &amp; amp; The lab is available in WIL TSB.</v>
      </c>
    </row>
    <row r="4915" ht="15.75" customHeight="1">
      <c r="A4915" s="2">
        <v>4917.0</v>
      </c>
      <c r="B4915" s="5" t="s">
        <v>9015</v>
      </c>
      <c r="C4915" s="6">
        <v>1.0</v>
      </c>
      <c r="D4915" s="7" t="s">
        <v>9015</v>
      </c>
      <c r="E4915" s="8" t="str">
        <f>IFERROR(__xludf.DUMMYFUNCTION("googletranslate(D4915,""id"",""en"")"),"Ppkm not broken ""hancok")</f>
        <v>Ppkm not broken "hancok</v>
      </c>
    </row>
    <row r="4916" ht="15.75" customHeight="1">
      <c r="A4916" s="2">
        <v>4918.0</v>
      </c>
      <c r="B4916" s="5" t="s">
        <v>9016</v>
      </c>
      <c r="C4916" s="6">
        <v>1.0</v>
      </c>
      <c r="D4916" s="7" t="s">
        <v>9017</v>
      </c>
      <c r="E4916" s="8" t="str">
        <f>IFERROR(__xludf.DUMMYFUNCTION("googletranslate(D4916,""id"",""en"")"),"Semi-lockdown Emergency PPKM questions, Jokowi: That's just the community screaming, how do you scream, you can, they also have a stomach, you don't know the real situation of the people ???")</f>
        <v>Semi-lockdown Emergency PPKM questions, Jokowi: That's just the community screaming, how do you scream, you can, they also have a stomach, you don't know the real situation of the people ???</v>
      </c>
    </row>
    <row r="4917" ht="15.75" customHeight="1">
      <c r="A4917" s="2">
        <v>4919.0</v>
      </c>
      <c r="B4917" s="5" t="s">
        <v>9018</v>
      </c>
      <c r="C4917" s="6">
        <v>2.0</v>
      </c>
      <c r="D4917" s="7" t="s">
        <v>9019</v>
      </c>
      <c r="E4917" s="8" t="str">
        <f>IFERROR(__xludf.DUMMYFUNCTION("googletranslate(D4917,""id"",""en"")"),"My prayer in the afternoon (morning WIB) this is hopefully the request for the PPKM report from the MCD Dago area is granted by AA '")</f>
        <v>My prayer in the afternoon (morning WIB) this is hopefully the request for the PPKM report from the MCD Dago area is granted by AA '</v>
      </c>
    </row>
    <row r="4918" ht="15.75" customHeight="1">
      <c r="A4918" s="2">
        <v>4920.0</v>
      </c>
      <c r="B4918" s="5" t="s">
        <v>9020</v>
      </c>
      <c r="C4918" s="6">
        <v>1.0</v>
      </c>
      <c r="D4918" s="9" t="s">
        <v>9021</v>
      </c>
      <c r="E4918" s="8" t="str">
        <f>IFERROR(__xludf.DUMMYFUNCTION("googletranslate(D4918,""id"",""en"")"),"Nais, it is also usually in Setiabudhi BHI, Bisi wants to join, only again PPKM also has not started")</f>
        <v>Nais, it is also usually in Setiabudhi BHI, Bisi wants to join, only again PPKM also has not started</v>
      </c>
    </row>
    <row r="4919" ht="15.75" customHeight="1">
      <c r="A4919" s="2">
        <v>4921.0</v>
      </c>
      <c r="B4919" s="5" t="s">
        <v>9022</v>
      </c>
      <c r="C4919" s="6">
        <v>1.0</v>
      </c>
      <c r="D4919" s="7" t="s">
        <v>9023</v>
      </c>
      <c r="E4919" s="8" t="str">
        <f>IFERROR(__xludf.DUMMYFUNCTION("googletranslate(D4919,""id"",""en"")"),"I don't want PPKM anymore")</f>
        <v>I don't want PPKM anymore</v>
      </c>
    </row>
    <row r="4920" ht="15.75" customHeight="1">
      <c r="A4920" s="2">
        <v>4922.0</v>
      </c>
      <c r="B4920" s="5" t="s">
        <v>9024</v>
      </c>
      <c r="C4920" s="6">
        <v>2.0</v>
      </c>
      <c r="D4920" s="9" t="s">
        <v>9025</v>
      </c>
      <c r="E4920" s="8" t="str">
        <f>IFERROR(__xludf.DUMMYFUNCTION("googletranslate(D4920,""id"",""en"")"),"Good morning ! ppkm holiday level at home is still the act of coming out friends? used to be a cup of coffee plus snacks")</f>
        <v>Good morning ! ppkm holiday level at home is still the act of coming out friends? used to be a cup of coffee plus snacks</v>
      </c>
    </row>
    <row r="4921" ht="15.75" customHeight="1">
      <c r="A4921" s="2">
        <v>4923.0</v>
      </c>
      <c r="B4921" s="5" t="s">
        <v>9026</v>
      </c>
      <c r="C4921" s="6">
        <v>2.0</v>
      </c>
      <c r="D4921" s="7" t="s">
        <v>9027</v>
      </c>
      <c r="E4921" s="8" t="str">
        <f>IFERROR(__xludf.DUMMYFUNCTION("googletranslate(D4921,""id"",""en"")"),"emang in the PPKM cloud country JG")</f>
        <v>emang in the PPKM cloud country JG</v>
      </c>
    </row>
    <row r="4922" ht="15.75" customHeight="1">
      <c r="A4922" s="2">
        <v>4924.0</v>
      </c>
      <c r="B4922" s="5" t="s">
        <v>9028</v>
      </c>
      <c r="C4922" s="6">
        <v>1.0</v>
      </c>
      <c r="D4922" s="7" t="s">
        <v>9029</v>
      </c>
      <c r="E4922" s="8" t="str">
        <f>IFERROR(__xludf.DUMMYFUNCTION("googletranslate(D4922,""id"",""en"")"),"The application joined the euyyyyy ppkm ... want to buy a quota, can it .... Ambynyarrrrrambar ... he said, want to cooperate with Elin Musk")</f>
        <v>The application joined the euyyyyy ppkm ... want to buy a quota, can it .... Ambynyarrrrrambar ... he said, want to cooperate with Elin Musk</v>
      </c>
    </row>
    <row r="4923" ht="15.75" customHeight="1">
      <c r="A4923" s="2">
        <v>4925.0</v>
      </c>
      <c r="B4923" s="5" t="s">
        <v>9030</v>
      </c>
      <c r="C4923" s="6">
        <v>1.0</v>
      </c>
      <c r="D4923" s="7" t="s">
        <v>9031</v>
      </c>
      <c r="E4923" s="8" t="str">
        <f>IFERROR(__xludf.DUMMYFUNCTION("googletranslate(D4923,""id"",""en"")"),"Then why are the PSBB, PPKM ulbype to the poor, try RB T there, surely the people are more fresh")</f>
        <v>Then why are the PSBB, PPKM ulbype to the poor, try RB T there, surely the people are more fresh</v>
      </c>
    </row>
    <row r="4924" ht="15.75" customHeight="1">
      <c r="A4924" s="2">
        <v>4926.0</v>
      </c>
      <c r="B4924" s="5" t="s">
        <v>9032</v>
      </c>
      <c r="C4924" s="6">
        <v>2.0</v>
      </c>
      <c r="D4924" s="9" t="s">
        <v>9033</v>
      </c>
      <c r="E4924" s="8" t="str">
        <f>IFERROR(__xludf.DUMMYFUNCTION("googletranslate(D4924,""id"",""en"")"),"So miss the village home, hopefully it's fast to pass by PPKM so you can look at Mbah in the village")</f>
        <v>So miss the village home, hopefully it's fast to pass by PPKM so you can look at Mbah in the village</v>
      </c>
    </row>
    <row r="4925" ht="15.75" customHeight="1">
      <c r="A4925" s="2">
        <v>4927.0</v>
      </c>
      <c r="B4925" s="5" t="s">
        <v>9034</v>
      </c>
      <c r="C4925" s="6">
        <v>1.0</v>
      </c>
      <c r="D4925" s="7" t="s">
        <v>9035</v>
      </c>
      <c r="E4925" s="8" t="str">
        <f>IFERROR(__xludf.DUMMYFUNCTION("googletranslate(D4925,""id"",""en"")"),"Again the trend is crowded with a white flag to indicate giving up on the condition. If I am more worried if the PPKM is removed and the condition is released just like the normal condition will pop more yellow flags.")</f>
        <v>Again the trend is crowded with a white flag to indicate giving up on the condition. If I am more worried if the PPKM is removed and the condition is released just like the normal condition will pop more yellow flags.</v>
      </c>
    </row>
    <row r="4926" ht="15.75" customHeight="1">
      <c r="A4926" s="2">
        <v>4928.0</v>
      </c>
      <c r="B4926" s="5" t="s">
        <v>9036</v>
      </c>
      <c r="C4926" s="6">
        <v>2.0</v>
      </c>
      <c r="D4926" s="7" t="s">
        <v>9036</v>
      </c>
      <c r="E4926" s="8" t="str">
        <f>IFERROR(__xludf.DUMMYFUNCTION("googletranslate(D4926,""id"",""en"")"),"Where do you want it, you're ppkm, just diem ish at home")</f>
        <v>Where do you want it, you're ppkm, just diem ish at home</v>
      </c>
    </row>
    <row r="4927" ht="15.75" customHeight="1">
      <c r="A4927" s="2">
        <v>4929.0</v>
      </c>
      <c r="B4927" s="5" t="s">
        <v>9037</v>
      </c>
      <c r="C4927" s="6">
        <v>1.0</v>
      </c>
      <c r="D4927" s="9" t="s">
        <v>9038</v>
      </c>
      <c r="E4927" s="8" t="str">
        <f>IFERROR(__xludf.DUMMYFUNCTION("googletranslate(D4927,""id"",""en"")"),"PSBB, PPKM torturing the people, some ways mutually handling Covid19 are still considered to be failed. Usually the handstard of psbb / ppkm and the number is just a way of the replying regime from the early collapse. Lake a surge in deaths from Covid19 W"&amp;"orld Record.")</f>
        <v>PSBB, PPKM torturing the people, some ways mutually handling Covid19 are still considered to be failed. Usually the handstard of psbb / ppkm and the number is just a way of the replying regime from the early collapse. Lake a surge in deaths from Covid19 World Record.</v>
      </c>
    </row>
    <row r="4928" ht="15.75" customHeight="1">
      <c r="A4928" s="2">
        <v>4930.0</v>
      </c>
      <c r="B4928" s="5" t="s">
        <v>9039</v>
      </c>
      <c r="C4928" s="6">
        <v>1.0</v>
      </c>
      <c r="D4928" s="9" t="s">
        <v>9040</v>
      </c>
      <c r="E4928" s="8" t="str">
        <f>IFERROR(__xludf.DUMMYFUNCTION("googletranslate(D4928,""id"",""en"")"),"In Indo PPKM more than a month, it is not yet secure, the calculation of the mask can tackle the case explosion in the week.")</f>
        <v>In Indo PPKM more than a month, it is not yet secure, the calculation of the mask can tackle the case explosion in the week.</v>
      </c>
    </row>
    <row r="4929" ht="15.75" customHeight="1">
      <c r="A4929" s="2">
        <v>4931.0</v>
      </c>
      <c r="B4929" s="5" t="s">
        <v>9041</v>
      </c>
      <c r="C4929" s="6">
        <v>2.0</v>
      </c>
      <c r="D4929" s="7" t="s">
        <v>9042</v>
      </c>
      <c r="E4929" s="8" t="str">
        <f>IFERROR(__xludf.DUMMYFUNCTION("googletranslate(D4929,""id"",""en"")"),"Oalahh wkwkwk again ppkm too huh")</f>
        <v>Oalahh wkwkwk again ppkm too huh</v>
      </c>
    </row>
    <row r="4930" ht="15.75" customHeight="1">
      <c r="A4930" s="2">
        <v>4932.0</v>
      </c>
      <c r="B4930" s="5" t="s">
        <v>9043</v>
      </c>
      <c r="C4930" s="6">
        <v>1.0</v>
      </c>
      <c r="D4930" s="7" t="s">
        <v>9044</v>
      </c>
      <c r="E4930" s="8" t="str">
        <f>IFERROR(__xludf.DUMMYFUNCTION("googletranslate(D4930,""id"",""en"")"),"The existence of PPKM has been comedy.")</f>
        <v>The existence of PPKM has been comedy.</v>
      </c>
    </row>
    <row r="4931" ht="15.75" customHeight="1">
      <c r="A4931" s="2">
        <v>4933.0</v>
      </c>
      <c r="B4931" s="5" t="s">
        <v>9045</v>
      </c>
      <c r="C4931" s="6">
        <v>2.0</v>
      </c>
      <c r="D4931" s="7" t="s">
        <v>9046</v>
      </c>
      <c r="E4931" s="8" t="str">
        <f>IFERROR(__xludf.DUMMYFUNCTION("googletranslate(D4931,""id"",""en"")"),"ooh iyaa again ppkm")</f>
        <v>ooh iyaa again ppkm</v>
      </c>
    </row>
    <row r="4932" ht="15.75" customHeight="1">
      <c r="A4932" s="2">
        <v>4934.0</v>
      </c>
      <c r="B4932" s="5" t="s">
        <v>9047</v>
      </c>
      <c r="C4932" s="6">
        <v>1.0</v>
      </c>
      <c r="D4932" s="9" t="s">
        <v>9048</v>
      </c>
      <c r="E4932" s="8" t="str">
        <f>IFERROR(__xludf.DUMMYFUNCTION("googletranslate(D4932,""id"",""en"")"),"Jane Ki Sek needs to be helped is the authorship is not the recipient of his wages .. Because the author's / entrepreneurship in the PPKM situation still has to give a salary while the work / target cannot work to bear the production costs")</f>
        <v>Jane Ki Sek needs to be helped is the authorship is not the recipient of his wages .. Because the author's / entrepreneurship in the PPKM situation still has to give a salary while the work / target cannot work to bear the production costs</v>
      </c>
    </row>
    <row r="4933" ht="15.75" customHeight="1">
      <c r="A4933" s="2">
        <v>4935.0</v>
      </c>
      <c r="B4933" s="5" t="s">
        <v>9049</v>
      </c>
      <c r="C4933" s="6">
        <v>1.0</v>
      </c>
      <c r="D4933" s="7" t="s">
        <v>9050</v>
      </c>
      <c r="E4933" s="8" t="str">
        <f>IFERROR(__xludf.DUMMYFUNCTION("googletranslate(D4933,""id"",""en"")"),"Jokowi called the people screaming when PPKM, Democrats: screaming because of hungry, so love eating!")</f>
        <v>Jokowi called the people screaming when PPKM, Democrats: screaming because of hungry, so love eating!</v>
      </c>
    </row>
    <row r="4934" ht="15.75" customHeight="1">
      <c r="A4934" s="2">
        <v>4936.0</v>
      </c>
      <c r="B4934" s="5" t="s">
        <v>9051</v>
      </c>
      <c r="C4934" s="6">
        <v>1.0</v>
      </c>
      <c r="D4934" s="7" t="s">
        <v>9052</v>
      </c>
      <c r="E4934" s="8" t="str">
        <f>IFERROR(__xludf.DUMMYFUNCTION("googletranslate(D4934,""id"",""en"")"),"ppkm can't have a pan concert")</f>
        <v>ppkm can't have a pan concert</v>
      </c>
    </row>
    <row r="4935" ht="15.75" customHeight="1">
      <c r="A4935" s="2">
        <v>4937.0</v>
      </c>
      <c r="B4935" s="5" t="s">
        <v>9053</v>
      </c>
      <c r="C4935" s="6">
        <v>2.0</v>
      </c>
      <c r="D4935" s="7" t="s">
        <v>9054</v>
      </c>
      <c r="E4935" s="8" t="str">
        <f>IFERROR(__xludf.DUMMYFUNCTION("googletranslate(D4935,""id"",""en"")"),"Ahead of the PPKM Level ended, this is the condition of Covid-19 in RI")</f>
        <v>Ahead of the PPKM Level ended, this is the condition of Covid-19 in RI</v>
      </c>
    </row>
    <row r="4936" ht="15.75" customHeight="1">
      <c r="A4936" s="2">
        <v>4938.0</v>
      </c>
      <c r="B4936" s="5" t="s">
        <v>9055</v>
      </c>
      <c r="C4936" s="6">
        <v>1.0</v>
      </c>
      <c r="D4936" s="7" t="s">
        <v>9056</v>
      </c>
      <c r="E4936" s="8" t="str">
        <f>IFERROR(__xludf.DUMMYFUNCTION("googletranslate(D4936,""id"",""en"")"),"Emang ppkm successful gtu? No you know in the world")</f>
        <v>Emang ppkm successful gtu? No you know in the world</v>
      </c>
    </row>
    <row r="4937" ht="15.75" customHeight="1">
      <c r="A4937" s="2">
        <v>4939.0</v>
      </c>
      <c r="B4937" s="5" t="s">
        <v>9057</v>
      </c>
      <c r="C4937" s="6">
        <v>1.0</v>
      </c>
      <c r="D4937" s="7" t="s">
        <v>9058</v>
      </c>
      <c r="E4937" s="8" t="str">
        <f>IFERROR(__xludf.DUMMYFUNCTION("googletranslate(D4937,""id"",""en"")"),"In Sydney the people who are given BST Rp. million / week alone still refusing, in the country walakanda lockdown changing the term ppkm ppkm level2an so free, the people refill it is natural. But in fact the people walakanda just silent nrimo.")</f>
        <v>In Sydney the people who are given BST Rp. million / week alone still refusing, in the country walakanda lockdown changing the term ppkm ppkm level2an so free, the people refill it is natural. But in fact the people walakanda just silent nrimo.</v>
      </c>
    </row>
    <row r="4938" ht="15.75" customHeight="1">
      <c r="A4938" s="2">
        <v>4940.0</v>
      </c>
      <c r="B4938" s="5" t="s">
        <v>9059</v>
      </c>
      <c r="C4938" s="6">
        <v>2.0</v>
      </c>
      <c r="D4938" s="7" t="s">
        <v>9059</v>
      </c>
      <c r="E4938" s="8" t="str">
        <f>IFERROR(__xludf.DUMMYFUNCTION("googletranslate(D4938,""id"",""en"")"),"PPKM has entered the grace period,")</f>
        <v>PPKM has entered the grace period,</v>
      </c>
    </row>
    <row r="4939" ht="15.75" customHeight="1">
      <c r="A4939" s="2">
        <v>4941.0</v>
      </c>
      <c r="B4939" s="5" t="s">
        <v>9060</v>
      </c>
      <c r="C4939" s="6">
        <v>1.0</v>
      </c>
      <c r="D4939" s="9" t="s">
        <v>9061</v>
      </c>
      <c r="E4939" s="8" t="str">
        <f>IFERROR(__xludf.DUMMYFUNCTION("googletranslate(D4939,""id"",""en"")"),"Indian Lockdown Sunday, the case dropped yesterday's draft? INDONESIA PPKM Seabad just like this.")</f>
        <v>Indian Lockdown Sunday, the case dropped yesterday's draft? INDONESIA PPKM Seabad just like this.</v>
      </c>
    </row>
    <row r="4940" ht="15.75" customHeight="1">
      <c r="A4940" s="2">
        <v>4942.0</v>
      </c>
      <c r="B4940" s="5" t="s">
        <v>9062</v>
      </c>
      <c r="C4940" s="6">
        <v>1.0</v>
      </c>
      <c r="D4940" s="9" t="s">
        <v>9063</v>
      </c>
      <c r="E4940" s="8" t="str">
        <f>IFERROR(__xludf.DUMMYFUNCTION("googletranslate(D4940,""id"",""en"")"),"Loh, isn't it already there? hindered by PPKM")</f>
        <v>Loh, isn't it already there? hindered by PPKM</v>
      </c>
    </row>
    <row r="4941" ht="15.75" customHeight="1">
      <c r="A4941" s="2">
        <v>4943.0</v>
      </c>
      <c r="B4941" s="5" t="s">
        <v>9064</v>
      </c>
      <c r="C4941" s="6">
        <v>3.0</v>
      </c>
      <c r="D4941" s="7" t="s">
        <v>9065</v>
      </c>
      <c r="E4941" s="8" t="str">
        <f>IFERROR(__xludf.DUMMYFUNCTION("googletranslate(D4941,""id"",""en"")"),"PPKM continues, Coordinating Minister for Economy: The Government Prepares additional incentives to complete pandemic")</f>
        <v>PPKM continues, Coordinating Minister for Economy: The Government Prepares additional incentives to complete pandemic</v>
      </c>
    </row>
    <row r="4942" ht="15.75" customHeight="1">
      <c r="A4942" s="2">
        <v>4944.0</v>
      </c>
      <c r="B4942" s="5" t="s">
        <v>9066</v>
      </c>
      <c r="C4942" s="6">
        <v>2.0</v>
      </c>
      <c r="D4942" s="7" t="s">
        <v>9066</v>
      </c>
      <c r="E4942" s="8" t="str">
        <f>IFERROR(__xludf.DUMMYFUNCTION("googletranslate(D4942,""id"",""en"")"),"Adek wants to vacation but still ppkm or not")</f>
        <v>Adek wants to vacation but still ppkm or not</v>
      </c>
    </row>
    <row r="4943" ht="15.75" customHeight="1">
      <c r="A4943" s="2">
        <v>4945.0</v>
      </c>
      <c r="B4943" s="5" t="s">
        <v>9067</v>
      </c>
      <c r="C4943" s="6">
        <v>2.0</v>
      </c>
      <c r="D4943" s="7" t="s">
        <v>9068</v>
      </c>
      <c r="E4943" s="8" t="str">
        <f>IFERROR(__xludf.DUMMYFUNCTION("googletranslate(D4943,""id"",""en"")"),"The bansosbansos must be at the time of non ppkm.Dan plus at the time of PPKM.")</f>
        <v>The bansosbansos must be at the time of non ppkm.Dan plus at the time of PPKM.</v>
      </c>
    </row>
    <row r="4944" ht="15.75" customHeight="1">
      <c r="A4944" s="2">
        <v>4946.0</v>
      </c>
      <c r="B4944" s="5" t="s">
        <v>9069</v>
      </c>
      <c r="C4944" s="6">
        <v>3.0</v>
      </c>
      <c r="D4944" s="7" t="s">
        <v>9070</v>
      </c>
      <c r="E4944" s="8" t="str">
        <f>IFERROR(__xludf.DUMMYFUNCTION("googletranslate(D4944,""id"",""en"")"),"With the obedient of the projection of vaccination and PPKM is very effective for the prevention of the spread of covid let's support this policy so that it will immediately recover")</f>
        <v>With the obedient of the projection of vaccination and PPKM is very effective for the prevention of the spread of covid let's support this policy so that it will immediately recover</v>
      </c>
    </row>
    <row r="4945" ht="15.75" customHeight="1">
      <c r="A4945" s="2">
        <v>4947.0</v>
      </c>
      <c r="B4945" s="5" t="s">
        <v>9071</v>
      </c>
      <c r="C4945" s="6">
        <v>3.0</v>
      </c>
      <c r="D4945" s="7" t="s">
        <v>6861</v>
      </c>
      <c r="E4945" s="8" t="str">
        <f>IFERROR(__xludf.DUMMYFUNCTION("googletranslate(D4945,""id"",""en"")"),"Supports PPKM Level")</f>
        <v>Supports PPKM Level</v>
      </c>
    </row>
    <row r="4946" ht="15.75" customHeight="1">
      <c r="A4946" s="2">
        <v>4948.0</v>
      </c>
      <c r="B4946" s="5" t="s">
        <v>9072</v>
      </c>
      <c r="C4946" s="6">
        <v>2.0</v>
      </c>
      <c r="D4946" s="9" t="s">
        <v>9073</v>
      </c>
      <c r="E4946" s="8" t="str">
        <f>IFERROR(__xludf.DUMMYFUNCTION("googletranslate(D4946,""id"",""en"")"),"Have you ever tried Bandung noodles in front of the Pathuk Market? If it doesn't work at this time it's already opened. I turned out to be a tweet hours ago hahaha")</f>
        <v>Have you ever tried Bandung noodles in front of the Pathuk Market? If it doesn't work at this time it's already opened. I turned out to be a tweet hours ago hahaha</v>
      </c>
    </row>
    <row r="4947" ht="15.75" customHeight="1">
      <c r="A4947" s="2">
        <v>4949.0</v>
      </c>
      <c r="B4947" s="5" t="s">
        <v>9074</v>
      </c>
      <c r="C4947" s="6">
        <v>1.0</v>
      </c>
      <c r="D4947" s="9" t="s">
        <v>9075</v>
      </c>
      <c r="E4947" s="8" t="str">
        <f>IFERROR(__xludf.DUMMYFUNCTION("googletranslate(D4947,""id"",""en"")"),"Hadeuh I got this crazy. Can interpret the PPKM and Lockdown. The PPKM org in the limit will not work at home at home, it is not guaranteed that the Lockdown country is the same but it is guaranteed by the country's needs. Ppkm is just a kind of kias drif"&amp;"t the state to guarantee the people")</f>
        <v>Hadeuh I got this crazy. Can interpret the PPKM and Lockdown. The PPKM org in the limit will not work at home at home, it is not guaranteed that the Lockdown country is the same but it is guaranteed by the country's needs. Ppkm is just a kind of kias drift the state to guarantee the people</v>
      </c>
    </row>
    <row r="4948" ht="15.75" customHeight="1">
      <c r="A4948" s="2">
        <v>4950.0</v>
      </c>
      <c r="B4948" s="5" t="s">
        <v>9076</v>
      </c>
      <c r="C4948" s="6">
        <v>2.0</v>
      </c>
      <c r="D4948" s="7" t="s">
        <v>9077</v>
      </c>
      <c r="E4948" s="8" t="str">
        <f>IFERROR(__xludf.DUMMYFUNCTION("googletranslate(D4948,""id"",""en"")"),"Ppkm ... early in the morning, ma. Yuk, breakfast.")</f>
        <v>Ppkm ... early in the morning, ma. Yuk, breakfast.</v>
      </c>
    </row>
    <row r="4949" ht="15.75" customHeight="1">
      <c r="A4949" s="2">
        <v>4951.0</v>
      </c>
      <c r="B4949" s="5" t="s">
        <v>9078</v>
      </c>
      <c r="C4949" s="6">
        <v>3.0</v>
      </c>
      <c r="D4949" s="7" t="s">
        <v>6861</v>
      </c>
      <c r="E4949" s="8" t="str">
        <f>IFERROR(__xludf.DUMMYFUNCTION("googletranslate(D4949,""id"",""en"")"),"Supports PPKM Level")</f>
        <v>Supports PPKM Level</v>
      </c>
    </row>
    <row r="4950" ht="15.75" customHeight="1">
      <c r="A4950" s="2">
        <v>4952.0</v>
      </c>
      <c r="B4950" s="5" t="s">
        <v>9079</v>
      </c>
      <c r="C4950" s="6">
        <v>3.0</v>
      </c>
      <c r="D4950" s="7" t="s">
        <v>6861</v>
      </c>
      <c r="E4950" s="8" t="str">
        <f>IFERROR(__xludf.DUMMYFUNCTION("googletranslate(D4950,""id"",""en"")"),"Supports PPKM Level")</f>
        <v>Supports PPKM Level</v>
      </c>
    </row>
    <row r="4951" ht="15.75" customHeight="1">
      <c r="A4951" s="2">
        <v>4953.0</v>
      </c>
      <c r="B4951" s="5" t="s">
        <v>9080</v>
      </c>
      <c r="C4951" s="6">
        <v>3.0</v>
      </c>
      <c r="D4951" s="7" t="s">
        <v>9081</v>
      </c>
      <c r="E4951" s="8" t="str">
        <f>IFERROR(__xludf.DUMMYFUNCTION("googletranslate(D4951,""id"",""en"")"),"Dandim Rod Submits Increasing Citizen Aid Affected by PPKM Mass")</f>
        <v>Dandim Rod Submits Increasing Citizen Aid Affected by PPKM Mass</v>
      </c>
    </row>
    <row r="4952" ht="15.75" customHeight="1">
      <c r="A4952" s="2">
        <v>4954.0</v>
      </c>
      <c r="B4952" s="5" t="s">
        <v>9082</v>
      </c>
      <c r="C4952" s="6">
        <v>3.0</v>
      </c>
      <c r="D4952" s="7" t="s">
        <v>6861</v>
      </c>
      <c r="E4952" s="8" t="str">
        <f>IFERROR(__xludf.DUMMYFUNCTION("googletranslate(D4952,""id"",""en"")"),"Supports PPKM Level")</f>
        <v>Supports PPKM Level</v>
      </c>
    </row>
    <row r="4953" ht="15.75" customHeight="1">
      <c r="A4953" s="2">
        <v>4955.0</v>
      </c>
      <c r="B4953" s="5" t="s">
        <v>9083</v>
      </c>
      <c r="C4953" s="6">
        <v>2.0</v>
      </c>
      <c r="D4953" s="7" t="s">
        <v>9084</v>
      </c>
      <c r="E4953" s="8" t="str">
        <f>IFERROR(__xludf.DUMMYFUNCTION("googletranslate(D4953,""id"",""en"")"),"Mjb, ppkm, open it or not?")</f>
        <v>Mjb, ppkm, open it or not?</v>
      </c>
    </row>
    <row r="4954" ht="15.75" customHeight="1">
      <c r="A4954" s="2">
        <v>4956.0</v>
      </c>
      <c r="B4954" s="5" t="s">
        <v>9085</v>
      </c>
      <c r="C4954" s="6">
        <v>1.0</v>
      </c>
      <c r="D4954" s="7" t="s">
        <v>9085</v>
      </c>
      <c r="E4954" s="8" t="str">
        <f>IFERROR(__xludf.DUMMYFUNCTION("googletranslate(D4954,""id"",""en"")"),"PPKM makes us difficult to find money")</f>
        <v>PPKM makes us difficult to find money</v>
      </c>
    </row>
    <row r="4955" ht="15.75" customHeight="1">
      <c r="A4955" s="2">
        <v>4957.0</v>
      </c>
      <c r="B4955" s="5" t="s">
        <v>9086</v>
      </c>
      <c r="C4955" s="6">
        <v>3.0</v>
      </c>
      <c r="D4955" s="7" t="s">
        <v>6861</v>
      </c>
      <c r="E4955" s="8" t="str">
        <f>IFERROR(__xludf.DUMMYFUNCTION("googletranslate(D4955,""id"",""en"")"),"Supports PPKM Level")</f>
        <v>Supports PPKM Level</v>
      </c>
    </row>
    <row r="4956" ht="15.75" customHeight="1">
      <c r="A4956" s="2">
        <v>4958.0</v>
      </c>
      <c r="B4956" s="5" t="s">
        <v>9087</v>
      </c>
      <c r="C4956" s="6">
        <v>2.0</v>
      </c>
      <c r="D4956" s="7" t="s">
        <v>9088</v>
      </c>
      <c r="E4956" s="8" t="str">
        <f>IFERROR(__xludf.DUMMYFUNCTION("googletranslate(D4956,""id"",""en"")"),"Initially hate the same PPKM, but now it likes PPKM (without PP)")</f>
        <v>Initially hate the same PPKM, but now it likes PPKM (without PP)</v>
      </c>
    </row>
    <row r="4957" ht="15.75" customHeight="1">
      <c r="A4957" s="2">
        <v>4959.0</v>
      </c>
      <c r="B4957" s="5" t="s">
        <v>9089</v>
      </c>
      <c r="C4957" s="6">
        <v>1.0</v>
      </c>
      <c r="D4957" s="7" t="s">
        <v>9090</v>
      </c>
      <c r="E4957" s="8" t="str">
        <f>IFERROR(__xludf.DUMMYFUNCTION("googletranslate(D4957,""id"",""en"")"),"He said, come with officers, how come you want and not forbid the officer, right PPKM")</f>
        <v>He said, come with officers, how come you want and not forbid the officer, right PPKM</v>
      </c>
    </row>
    <row r="4958" ht="15.75" customHeight="1">
      <c r="A4958" s="2">
        <v>4960.0</v>
      </c>
      <c r="B4958" s="5" t="s">
        <v>9091</v>
      </c>
      <c r="C4958" s="6">
        <v>1.0</v>
      </c>
      <c r="D4958" s="7" t="s">
        <v>9092</v>
      </c>
      <c r="E4958" s="8" t="str">
        <f>IFERROR(__xludf.DUMMYFUNCTION("googletranslate(D4958,""id"",""en"")"),"Strange logic. Lockdown GK agreed PPKM GK succeeded because the people were hungry, trs it wants it. Maybe you are the idea please")</f>
        <v>Strange logic. Lockdown GK agreed PPKM GK succeeded because the people were hungry, trs it wants it. Maybe you are the idea please</v>
      </c>
    </row>
    <row r="4959" ht="15.75" customHeight="1">
      <c r="A4959" s="2">
        <v>4961.0</v>
      </c>
      <c r="B4959" s="5" t="s">
        <v>9093</v>
      </c>
      <c r="C4959" s="6">
        <v>1.0</v>
      </c>
      <c r="D4959" s="7" t="s">
        <v>9093</v>
      </c>
      <c r="E4959" s="8" t="str">
        <f>IFERROR(__xludf.DUMMYFUNCTION("googletranslate(D4959,""id"",""en"")"),"Instead of Mending Lockdown PPKM !! Lockdown clear PPKM is not clear ??")</f>
        <v>Instead of Mending Lockdown PPKM !! Lockdown clear PPKM is not clear ??</v>
      </c>
    </row>
    <row r="4960" ht="15.75" customHeight="1">
      <c r="A4960" s="2">
        <v>4962.0</v>
      </c>
      <c r="B4960" s="5" t="s">
        <v>9094</v>
      </c>
      <c r="C4960" s="6">
        <v>2.0</v>
      </c>
      <c r="D4960" s="10" t="s">
        <v>9095</v>
      </c>
      <c r="E4960" s="8" t="str">
        <f>IFERROR(__xludf.DUMMYFUNCTION("googletranslate(D4960,""id"",""en"")"),"PPKM Yu.")</f>
        <v>PPKM Yu.</v>
      </c>
    </row>
    <row r="4961" ht="15.75" customHeight="1">
      <c r="A4961" s="2">
        <v>4963.0</v>
      </c>
      <c r="B4961" s="5" t="s">
        <v>9096</v>
      </c>
      <c r="C4961" s="6">
        <v>2.0</v>
      </c>
      <c r="D4961" s="7" t="s">
        <v>9097</v>
      </c>
      <c r="E4961" s="8" t="str">
        <f>IFERROR(__xludf.DUMMYFUNCTION("googletranslate(D4961,""id"",""en"")"),"Especially only PPKM, sir")</f>
        <v>Especially only PPKM, sir</v>
      </c>
    </row>
    <row r="4962" ht="15.75" customHeight="1">
      <c r="A4962" s="2">
        <v>4964.0</v>
      </c>
      <c r="B4962" s="5" t="s">
        <v>9098</v>
      </c>
      <c r="C4962" s="6">
        <v>2.0</v>
      </c>
      <c r="D4962" s="7" t="s">
        <v>9099</v>
      </c>
      <c r="E4962" s="8" t="str">
        <f>IFERROR(__xludf.DUMMYFUNCTION("googletranslate(D4962,""id"",""en"")"),"Ga pass, PPKM is the problem")</f>
        <v>Ga pass, PPKM is the problem</v>
      </c>
    </row>
    <row r="4963" ht="15.75" customHeight="1">
      <c r="A4963" s="2">
        <v>4965.0</v>
      </c>
      <c r="B4963" s="5" t="s">
        <v>9100</v>
      </c>
      <c r="C4963" s="6">
        <v>1.0</v>
      </c>
      <c r="D4963" s="7" t="s">
        <v>9101</v>
      </c>
      <c r="E4963" s="8" t="str">
        <f>IFERROR(__xludf.DUMMYFUNCTION("googletranslate(D4963,""id"",""en"")"),"Hit by the Rules of PPKM Level Chicken Geprek KLI.")</f>
        <v>Hit by the Rules of PPKM Level Chicken Geprek KLI.</v>
      </c>
    </row>
    <row r="4964" ht="15.75" customHeight="1">
      <c r="A4964" s="2">
        <v>4966.0</v>
      </c>
      <c r="B4964" s="5" t="s">
        <v>9102</v>
      </c>
      <c r="C4964" s="6">
        <v>2.0</v>
      </c>
      <c r="D4964" s="7" t="s">
        <v>9103</v>
      </c>
      <c r="E4964" s="8" t="str">
        <f>IFERROR(__xludf.DUMMYFUNCTION("googletranslate(D4964,""id"",""en"")"),"Meaning that PPKM level may not be extended and we can move the original level ...")</f>
        <v>Meaning that PPKM level may not be extended and we can move the original level ...</v>
      </c>
    </row>
    <row r="4965" ht="15.75" customHeight="1">
      <c r="A4965" s="2">
        <v>4967.0</v>
      </c>
      <c r="B4965" s="5" t="s">
        <v>9104</v>
      </c>
      <c r="C4965" s="6">
        <v>1.0</v>
      </c>
      <c r="D4965" s="9" t="s">
        <v>9105</v>
      </c>
      <c r="E4965" s="8" t="str">
        <f>IFERROR(__xludf.DUMMYFUNCTION("googletranslate(D4965,""id"",""en"")"),"It seems to forget, because the application of PPKM level is said to be the people of SDH screaming, let alone lockdown")</f>
        <v>It seems to forget, because the application of PPKM level is said to be the people of SDH screaming, let alone lockdown</v>
      </c>
    </row>
    <row r="4966" ht="15.75" customHeight="1">
      <c r="A4966" s="2">
        <v>4968.0</v>
      </c>
      <c r="B4966" s="5" t="s">
        <v>9106</v>
      </c>
      <c r="C4966" s="6">
        <v>1.0</v>
      </c>
      <c r="D4966" s="7" t="s">
        <v>9107</v>
      </c>
      <c r="E4966" s="8" t="str">
        <f>IFERROR(__xludf.DUMMYFUNCTION("googletranslate(D4966,""id"",""en"")"),"Nyesel new PCV when the child is up to the year and above. Where is LG PPKM like this, it is still rarely the drive drives Thru is provided with the hospital, once there are but far away")</f>
        <v>Nyesel new PCV when the child is up to the year and above. Where is LG PPKM like this, it is still rarely the drive drives Thru is provided with the hospital, once there are but far away</v>
      </c>
    </row>
    <row r="4967" ht="15.75" customHeight="1">
      <c r="A4967" s="2">
        <v>4969.0</v>
      </c>
      <c r="B4967" s="5" t="s">
        <v>9108</v>
      </c>
      <c r="C4967" s="6">
        <v>1.0</v>
      </c>
      <c r="D4967" s="9" t="s">
        <v>9109</v>
      </c>
      <c r="E4967" s="8" t="str">
        <f>IFERROR(__xludf.DUMMYFUNCTION("googletranslate(D4967,""id"",""en"")"),"the event is now, but it's noisy, it's noisy, why don't you get it from my jedug, the jedug is even the ppkm, this is an emb")</f>
        <v>the event is now, but it's noisy, it's noisy, why don't you get it from my jedug, the jedug is even the ppkm, this is an emb</v>
      </c>
    </row>
    <row r="4968" ht="15.75" customHeight="1">
      <c r="A4968" s="2">
        <v>4970.0</v>
      </c>
      <c r="B4968" s="5" t="s">
        <v>9110</v>
      </c>
      <c r="C4968" s="6">
        <v>3.0</v>
      </c>
      <c r="D4968" s="7" t="s">
        <v>9111</v>
      </c>
      <c r="E4968" s="8" t="str">
        <f>IFERROR(__xludf.DUMMYFUNCTION("googletranslate(D4968,""id"",""en"")"),"The good news with the implementation of PPKM by President Jokowi.")</f>
        <v>The good news with the implementation of PPKM by President Jokowi.</v>
      </c>
    </row>
    <row r="4969" ht="15.75" customHeight="1">
      <c r="A4969" s="2">
        <v>4971.0</v>
      </c>
      <c r="B4969" s="5" t="s">
        <v>9112</v>
      </c>
      <c r="C4969" s="6">
        <v>1.0</v>
      </c>
      <c r="D4969" s="7" t="s">
        <v>9113</v>
      </c>
      <c r="E4969" s="8" t="str">
        <f>IFERROR(__xludf.DUMMYFUNCTION("googletranslate(D4969,""id"",""en"")"),"Kang Trade This modalin mask + coached education is correct so you can continue selling kek. Don't use the PPKM right. Sehat2 yes. Duh God. or anyone help")</f>
        <v>Kang Trade This modalin mask + coached education is correct so you can continue selling kek. Don't use the PPKM right. Sehat2 yes. Duh God. or anyone help</v>
      </c>
    </row>
    <row r="4970" ht="15.75" customHeight="1">
      <c r="A4970" s="2">
        <v>4972.0</v>
      </c>
      <c r="B4970" s="5" t="s">
        <v>9114</v>
      </c>
      <c r="C4970" s="6">
        <v>2.0</v>
      </c>
      <c r="D4970" s="7" t="s">
        <v>9115</v>
      </c>
      <c r="E4970" s="8" t="str">
        <f>IFERROR(__xludf.DUMMYFUNCTION("googletranslate(D4970,""id"",""en"")"),"Moreover, only PPKM sir")</f>
        <v>Moreover, only PPKM sir</v>
      </c>
    </row>
    <row r="4971" ht="15.75" customHeight="1">
      <c r="A4971" s="2">
        <v>4973.0</v>
      </c>
      <c r="B4971" s="5" t="s">
        <v>9116</v>
      </c>
      <c r="C4971" s="6">
        <v>2.0</v>
      </c>
      <c r="D4971" s="7" t="s">
        <v>9117</v>
      </c>
      <c r="E4971" s="8" t="str">
        <f>IFERROR(__xludf.DUMMYFUNCTION("googletranslate(D4971,""id"",""en"")"),"The last shift, because of ""the existence of PPKM")</f>
        <v>The last shift, because of "the existence of PPKM</v>
      </c>
    </row>
    <row r="4972" ht="15.75" customHeight="1">
      <c r="A4972" s="2">
        <v>4974.0</v>
      </c>
      <c r="B4972" s="5" t="s">
        <v>9118</v>
      </c>
      <c r="C4972" s="6">
        <v>1.0</v>
      </c>
      <c r="D4972" s="9" t="s">
        <v>9119</v>
      </c>
      <c r="E4972" s="8" t="str">
        <f>IFERROR(__xludf.DUMMYFUNCTION("googletranslate(D4972,""id"",""en"")"),"The level of the governor can't digest the meaning of the policy of ""loose ppkm"" your brain is what kamil ????")</f>
        <v>The level of the governor can't digest the meaning of the policy of "loose ppkm" your brain is what kamil ????</v>
      </c>
    </row>
    <row r="4973" ht="15.75" customHeight="1">
      <c r="A4973" s="2">
        <v>4975.0</v>
      </c>
      <c r="B4973" s="5" t="s">
        <v>9120</v>
      </c>
      <c r="C4973" s="6">
        <v>3.0</v>
      </c>
      <c r="D4973" s="9" t="s">
        <v>9121</v>
      </c>
      <c r="E4973" s="8" t="str">
        <f>IFERROR(__xludf.DUMMYFUNCTION("googletranslate(D4973,""id"",""en"")"),"Although PPKM, don't forget to take time to exercise. Environment arranged, comfortable, and beautiful supporting a healthy life. Citraland Tallasa City")</f>
        <v>Although PPKM, don't forget to take time to exercise. Environment arranged, comfortable, and beautiful supporting a healthy life. Citraland Tallasa City</v>
      </c>
    </row>
    <row r="4974" ht="15.75" customHeight="1">
      <c r="A4974" s="2">
        <v>4976.0</v>
      </c>
      <c r="B4974" s="5" t="s">
        <v>9122</v>
      </c>
      <c r="C4974" s="6">
        <v>3.0</v>
      </c>
      <c r="D4974" s="9" t="s">
        <v>9123</v>
      </c>
      <c r="E4974" s="8" t="str">
        <f>IFERROR(__xludf.DUMMYFUNCTION("googletranslate(D4974,""id"",""en"")"),"Gapapa doi entertainment ppkm")</f>
        <v>Gapapa doi entertainment ppkm</v>
      </c>
    </row>
    <row r="4975" ht="15.75" customHeight="1">
      <c r="A4975" s="2">
        <v>4977.0</v>
      </c>
      <c r="B4975" s="5" t="s">
        <v>9124</v>
      </c>
      <c r="C4975" s="6">
        <v>1.0</v>
      </c>
      <c r="D4975" s="9" t="s">
        <v>9125</v>
      </c>
      <c r="E4975" s="8" t="str">
        <f>IFERROR(__xludf.DUMMYFUNCTION("googletranslate(D4975,""id"",""en"")"),"PPKM with Lockdown Different, Lockdown who screamed the government, PPKM who screamed the people, Lockdown throughout the people must be given to eating countries, while PPKM People were allowed to feed themselves but dancat / limit")</f>
        <v>PPKM with Lockdown Different, Lockdown who screamed the government, PPKM who screamed the people, Lockdown throughout the people must be given to eating countries, while PPKM People were allowed to feed themselves but dancat / limit</v>
      </c>
    </row>
    <row r="4976" ht="15.75" customHeight="1">
      <c r="A4976" s="2">
        <v>4978.0</v>
      </c>
      <c r="B4976" s="5" t="s">
        <v>9126</v>
      </c>
      <c r="C4976" s="6">
        <v>1.0</v>
      </c>
      <c r="D4976" s="9" t="s">
        <v>9127</v>
      </c>
      <c r="E4976" s="8" t="str">
        <f>IFERROR(__xludf.DUMMYFUNCTION("googletranslate(D4976,""id"",""en"")"),"Shame, sir, we used to go home to Wuhan. Now we are episentrum pandemics. According to how do you deal with good pandemics? How come it seems that the PPKM with any level hasn't been seen significantly? Is it still a good way to use this style?")</f>
        <v>Shame, sir, we used to go home to Wuhan. Now we are episentrum pandemics. According to how do you deal with good pandemics? How come it seems that the PPKM with any level hasn't been seen significantly? Is it still a good way to use this style?</v>
      </c>
    </row>
    <row r="4977" ht="15.75" customHeight="1">
      <c r="A4977" s="2">
        <v>4979.0</v>
      </c>
      <c r="B4977" s="5" t="s">
        <v>9128</v>
      </c>
      <c r="C4977" s="6">
        <v>1.0</v>
      </c>
      <c r="D4977" s="9" t="s">
        <v>9129</v>
      </c>
      <c r="E4977" s="8" t="str">
        <f>IFERROR(__xludf.DUMMYFUNCTION("googletranslate(D4977,""id"",""en"")"),"Just emergency ppkm not be given eating let alone lockdown. Short.")</f>
        <v>Just emergency ppkm not be given eating let alone lockdown. Short.</v>
      </c>
    </row>
    <row r="4978" ht="15.75" customHeight="1">
      <c r="A4978" s="2">
        <v>4980.0</v>
      </c>
      <c r="B4978" s="5" t="s">
        <v>9130</v>
      </c>
      <c r="C4978" s="6">
        <v>1.0</v>
      </c>
      <c r="D4978" s="9" t="s">
        <v>9131</v>
      </c>
      <c r="E4978" s="8" t="str">
        <f>IFERROR(__xludf.DUMMYFUNCTION("googletranslate(D4978,""id"",""en"")"),"How do you don't scream, PPKM but it's not given a solution that is looking for a daily livelihood ... Mr. Healthy")</f>
        <v>How do you don't scream, PPKM but it's not given a solution that is looking for a daily livelihood ... Mr. Healthy</v>
      </c>
    </row>
    <row r="4979" ht="15.75" customHeight="1">
      <c r="A4979" s="2">
        <v>4981.0</v>
      </c>
      <c r="B4979" s="5" t="s">
        <v>9132</v>
      </c>
      <c r="C4979" s="6">
        <v>1.0</v>
      </c>
      <c r="D4979" s="7" t="s">
        <v>9133</v>
      </c>
      <c r="E4979" s="8" t="str">
        <f>IFERROR(__xludf.DUMMYFUNCTION("googletranslate(D4979,""id"",""en"")"),"The PPKM is in the medical term instead of action, but only gives generic drugs that can actually be bought, but don't go to the doctor")</f>
        <v>The PPKM is in the medical term instead of action, but only gives generic drugs that can actually be bought, but don't go to the doctor</v>
      </c>
    </row>
    <row r="4980" ht="15.75" customHeight="1">
      <c r="A4980" s="2">
        <v>4982.0</v>
      </c>
      <c r="B4980" s="5" t="s">
        <v>9134</v>
      </c>
      <c r="C4980" s="6">
        <v>1.0</v>
      </c>
      <c r="D4980" s="9" t="s">
        <v>9135</v>
      </c>
      <c r="E4980" s="8" t="str">
        <f>IFERROR(__xludf.DUMMYFUNCTION("googletranslate(D4980,""id"",""en"")"),"Asked the doctor even who graduated ln why is there a chor in giving covid medicine? JG asked why it's almost already PPSB, PPKM Macem2, vaccination but the death rate is still high? Don't know there is something wrong but mingkem, don't have a medical gr"&amp;"aduate just text book.")</f>
        <v>Asked the doctor even who graduated ln why is there a chor in giving covid medicine? JG asked why it's almost already PPSB, PPKM Macem2, vaccination but the death rate is still high? Don't know there is something wrong but mingkem, don't have a medical graduate just text book.</v>
      </c>
    </row>
    <row r="4981" ht="15.75" customHeight="1">
      <c r="A4981" s="2">
        <v>4983.0</v>
      </c>
      <c r="B4981" s="5" t="s">
        <v>9136</v>
      </c>
      <c r="C4981" s="6">
        <v>1.0</v>
      </c>
      <c r="D4981" s="9" t="s">
        <v>9137</v>
      </c>
      <c r="E4981" s="8" t="str">
        <f>IFERROR(__xludf.DUMMYFUNCTION("googletranslate(D4981,""id"",""en"")"),"From his language, it appears that he does not understand the contents of the Health Quarantine Law, if the lockdown is the cost of eating folk and livestock borne by the government. Because he entered the village, the people screamed asking PPKM to be op"&amp;"ened. Yes, of course")</f>
        <v>From his language, it appears that he does not understand the contents of the Health Quarantine Law, if the lockdown is the cost of eating folk and livestock borne by the government. Because he entered the village, the people screamed asking PPKM to be opened. Yes, of course</v>
      </c>
    </row>
    <row r="4982" ht="15.75" customHeight="1">
      <c r="A4982" s="2">
        <v>4984.0</v>
      </c>
      <c r="B4982" s="5" t="s">
        <v>9138</v>
      </c>
      <c r="C4982" s="6">
        <v>3.0</v>
      </c>
      <c r="D4982" s="7" t="s">
        <v>9139</v>
      </c>
      <c r="E4982" s="8" t="str">
        <f>IFERROR(__xludf.DUMMYFUNCTION("googletranslate(D4982,""id"",""en"")"),"For the sake of the safety of the people, Deputy Speaker of the House Support PPKM is renewed united to complete the pandemic")</f>
        <v>For the sake of the safety of the people, Deputy Speaker of the House Support PPKM is renewed united to complete the pandemic</v>
      </c>
    </row>
    <row r="4983" ht="15.75" customHeight="1">
      <c r="A4983" s="2">
        <v>4985.0</v>
      </c>
      <c r="B4983" s="5" t="s">
        <v>9140</v>
      </c>
      <c r="C4983" s="6">
        <v>1.0</v>
      </c>
      <c r="D4983" s="7" t="s">
        <v>9141</v>
      </c>
      <c r="E4983" s="8" t="str">
        <f>IFERROR(__xludf.DUMMYFUNCTION("googletranslate(D4983,""id"",""en"")"),"Violating PPKM is only charged with a fine, while spreading content that smells of defamation, pornography, slander, etc.")</f>
        <v>Violating PPKM is only charged with a fine, while spreading content that smells of defamation, pornography, slander, etc.</v>
      </c>
    </row>
    <row r="4984" ht="15.75" customHeight="1">
      <c r="A4984" s="2">
        <v>4986.0</v>
      </c>
      <c r="B4984" s="5" t="s">
        <v>9142</v>
      </c>
      <c r="C4984" s="6">
        <v>1.0</v>
      </c>
      <c r="D4984" s="7" t="s">
        <v>9143</v>
      </c>
      <c r="E4984" s="8" t="str">
        <f>IFERROR(__xludf.DUMMYFUNCTION("googletranslate(D4984,""id"",""en"")"),"The artist is trapped in the PPKM circle ...")</f>
        <v>The artist is trapped in the PPKM circle ...</v>
      </c>
    </row>
    <row r="4985" ht="15.75" customHeight="1">
      <c r="A4985" s="2">
        <v>4987.0</v>
      </c>
      <c r="B4985" s="5" t="s">
        <v>9144</v>
      </c>
      <c r="C4985" s="6">
        <v>2.0</v>
      </c>
      <c r="D4985" s="7" t="s">
        <v>9145</v>
      </c>
      <c r="E4985" s="8" t="str">
        <f>IFERROR(__xludf.DUMMYFUNCTION("googletranslate(D4985,""id"",""en"")"),"Woi woke woi ppkm")</f>
        <v>Woi woke woi ppkm</v>
      </c>
    </row>
    <row r="4986" ht="15.75" customHeight="1">
      <c r="A4986" s="2">
        <v>4988.0</v>
      </c>
      <c r="B4986" s="5" t="s">
        <v>9146</v>
      </c>
      <c r="C4986" s="6">
        <v>1.0</v>
      </c>
      <c r="D4986" s="7" t="s">
        <v>9147</v>
      </c>
      <c r="E4986" s="8" t="str">
        <f>IFERROR(__xludf.DUMMYFUNCTION("googletranslate(D4986,""id"",""en"")"),"To the common people are expected to remain obedient to Emergency PPKM (very pedestal level) and if exposed to the request of independent isolation at the cost of its own borne. So much to understand.")</f>
        <v>To the common people are expected to remain obedient to Emergency PPKM (very pedestal level) and if exposed to the request of independent isolation at the cost of its own borne. So much to understand.</v>
      </c>
    </row>
    <row r="4987" ht="15.75" customHeight="1">
      <c r="A4987" s="2">
        <v>4989.0</v>
      </c>
      <c r="B4987" s="5" t="s">
        <v>9148</v>
      </c>
      <c r="C4987" s="6">
        <v>2.0</v>
      </c>
      <c r="D4987" s="7" t="s">
        <v>9149</v>
      </c>
      <c r="E4987" s="8" t="str">
        <f>IFERROR(__xludf.DUMMYFUNCTION("googletranslate(D4987,""id"",""en"")"),"Mauu and the PPKM finished Yak Wkwk")</f>
        <v>Mauu and the PPKM finished Yak Wkwk</v>
      </c>
    </row>
    <row r="4988" ht="15.75" customHeight="1">
      <c r="A4988" s="2">
        <v>4990.0</v>
      </c>
      <c r="B4988" s="5" t="s">
        <v>9150</v>
      </c>
      <c r="C4988" s="6">
        <v>1.0</v>
      </c>
      <c r="D4988" s="7" t="s">
        <v>9151</v>
      </c>
      <c r="E4988" s="8" t="str">
        <f>IFERROR(__xludf.DUMMYFUNCTION("googletranslate(D4988,""id"",""en"")"),"ppkm not finished")</f>
        <v>ppkm not finished</v>
      </c>
    </row>
    <row r="4989" ht="15.75" customHeight="1">
      <c r="A4989" s="2">
        <v>4991.0</v>
      </c>
      <c r="B4989" s="5" t="s">
        <v>9152</v>
      </c>
      <c r="C4989" s="6">
        <v>2.0</v>
      </c>
      <c r="D4989" s="10" t="s">
        <v>1635</v>
      </c>
      <c r="E4989" s="8" t="str">
        <f>IFERROR(__xludf.DUMMYFUNCTION("googletranslate(D4989,""id"",""en"")"),"Again PPKM.")</f>
        <v>Again PPKM.</v>
      </c>
    </row>
    <row r="4990" ht="15.75" customHeight="1">
      <c r="A4990" s="2">
        <v>4992.0</v>
      </c>
      <c r="B4990" s="5" t="s">
        <v>9153</v>
      </c>
      <c r="C4990" s="6">
        <v>1.0</v>
      </c>
      <c r="D4990" s="7" t="s">
        <v>9154</v>
      </c>
      <c r="E4990" s="8" t="str">
        <f>IFERROR(__xludf.DUMMYFUNCTION("googletranslate(D4990,""id"",""en"")"),"I just understood the framework of thinking the president handed a pandemic after hearing him say this. Without it, wanting it PSBB, PPKM or Lockdown essentially the government would let his people hungry during a pandemic.")</f>
        <v>I just understood the framework of thinking the president handed a pandemic after hearing him say this. Without it, wanting it PSBB, PPKM or Lockdown essentially the government would let his people hungry during a pandemic.</v>
      </c>
    </row>
    <row r="4991" ht="15.75" customHeight="1">
      <c r="A4991" s="2">
        <v>4993.0</v>
      </c>
      <c r="B4991" s="5" t="s">
        <v>9155</v>
      </c>
      <c r="C4991" s="6">
        <v>1.0</v>
      </c>
      <c r="D4991" s="7" t="s">
        <v>9155</v>
      </c>
      <c r="E4991" s="8" t="str">
        <f>IFERROR(__xludf.DUMMYFUNCTION("googletranslate(D4991,""id"",""en"")"),"The PPKM is HAMSYONG BGT, to Semarang, which is usually easy now to have to take a bus through a rat road.")</f>
        <v>The PPKM is HAMSYONG BGT, to Semarang, which is usually easy now to have to take a bus through a rat road.</v>
      </c>
    </row>
    <row r="4992" ht="15.75" customHeight="1">
      <c r="A4992" s="2">
        <v>4994.0</v>
      </c>
      <c r="B4992" s="5" t="s">
        <v>9156</v>
      </c>
      <c r="C4992" s="6">
        <v>3.0</v>
      </c>
      <c r="D4992" s="7" t="s">
        <v>9157</v>
      </c>
      <c r="E4992" s="8" t="str">
        <f>IFERROR(__xludf.DUMMYFUNCTION("googletranslate(D4992,""id"",""en"")"),"UD GPP just keeps up, Creative HRS PPKM")</f>
        <v>UD GPP just keeps up, Creative HRS PPKM</v>
      </c>
    </row>
    <row r="4993" ht="15.75" customHeight="1">
      <c r="A4993" s="2">
        <v>4995.0</v>
      </c>
      <c r="B4993" s="5" t="s">
        <v>9158</v>
      </c>
      <c r="C4993" s="6">
        <v>1.0</v>
      </c>
      <c r="D4993" s="7" t="s">
        <v>9159</v>
      </c>
      <c r="E4993" s="8" t="str">
        <f>IFERROR(__xludf.DUMMYFUNCTION("googletranslate(D4993,""id"",""en"")"),"Kangen Bangettt Anjir Pleaseee PPKM When Does it Siiii Malahh Level Levelan Kayak Boncabe")</f>
        <v>Kangen Bangettt Anjir Pleaseee PPKM When Does it Siiii Malahh Level Levelan Kayak Boncabe</v>
      </c>
    </row>
    <row r="4994" ht="15.75" customHeight="1">
      <c r="A4994" s="2">
        <v>4996.0</v>
      </c>
      <c r="B4994" s="5" t="s">
        <v>9160</v>
      </c>
      <c r="C4994" s="6">
        <v>1.0</v>
      </c>
      <c r="D4994" s="7" t="s">
        <v>9161</v>
      </c>
      <c r="E4994" s="8" t="str">
        <f>IFERROR(__xludf.DUMMYFUNCTION("googletranslate(D4994,""id"",""en"")"),"Kl sididu often find people miserable because ppkm knp doesn't help alleviate, there are many ways to help with our capacity. If someone asks what to do? He replied with what I could, not Omdo")</f>
        <v>Kl sididu often find people miserable because ppkm knp doesn't help alleviate, there are many ways to help with our capacity. If someone asks what to do? He replied with what I could, not Omdo</v>
      </c>
    </row>
    <row r="4995" ht="15.75" customHeight="1">
      <c r="A4995" s="2">
        <v>4997.0</v>
      </c>
      <c r="B4995" s="5" t="s">
        <v>9162</v>
      </c>
      <c r="C4995" s="6">
        <v>1.0</v>
      </c>
      <c r="D4995" s="9" t="s">
        <v>9163</v>
      </c>
      <c r="E4995" s="8" t="str">
        <f>IFERROR(__xludf.DUMMYFUNCTION("googletranslate(D4995,""id"",""en"")"),"PPKM just screamed, let alone lockdown .....adeeeuhhhh ... really plain mind")</f>
        <v>PPKM just screamed, let alone lockdown .....adeeeuhhhh ... really plain mind</v>
      </c>
    </row>
    <row r="4996" ht="15.75" customHeight="1">
      <c r="A4996" s="2">
        <v>4998.0</v>
      </c>
      <c r="B4996" s="5" t="s">
        <v>9164</v>
      </c>
      <c r="C4996" s="6">
        <v>2.0</v>
      </c>
      <c r="D4996" s="9" t="s">
        <v>9164</v>
      </c>
      <c r="E4996" s="8" t="str">
        <f>IFERROR(__xludf.DUMMYFUNCTION("googletranslate(D4996,""id"",""en"")"),"PPKM: Early in the morning Menglayo.")</f>
        <v>PPKM: Early in the morning Menglayo.</v>
      </c>
    </row>
    <row r="4997" ht="15.75" customHeight="1">
      <c r="A4997" s="2">
        <v>4999.0</v>
      </c>
      <c r="B4997" s="5" t="s">
        <v>9165</v>
      </c>
      <c r="C4997" s="6">
        <v>2.0</v>
      </c>
      <c r="D4997" s="9" t="s">
        <v>9166</v>
      </c>
      <c r="E4997" s="8" t="str">
        <f>IFERROR(__xludf.DUMMYFUNCTION("googletranslate(D4997,""id"",""en"")"),"If quietly mandiritanpa must be ngabari boss ... suitable mboten gus?")</f>
        <v>If quietly mandiritanpa must be ngabari boss ... suitable mboten gus?</v>
      </c>
    </row>
    <row r="4998" ht="15.75" customHeight="1">
      <c r="A4998" s="2">
        <v>5000.0</v>
      </c>
      <c r="B4998" s="5" t="s">
        <v>9167</v>
      </c>
      <c r="C4998" s="6">
        <v>1.0</v>
      </c>
      <c r="D4998" s="9" t="s">
        <v>9168</v>
      </c>
      <c r="E4998" s="8" t="str">
        <f>IFERROR(__xludf.DUMMYFUNCTION("googletranslate(D4998,""id"",""en"")"),"ppkm until what level I'm bored singles")</f>
        <v>ppkm until what level I'm bored singles</v>
      </c>
    </row>
    <row r="4999" ht="15.75" customHeight="1">
      <c r="A4999" s="2">
        <v>5001.0</v>
      </c>
      <c r="B4999" s="5" t="s">
        <v>9169</v>
      </c>
      <c r="C4999" s="6">
        <v>1.0</v>
      </c>
      <c r="D4999" s="9" t="s">
        <v>9170</v>
      </c>
      <c r="E4999" s="8" t="str">
        <f>IFERROR(__xludf.DUMMYFUNCTION("googletranslate(D4999,""id"",""en"")"),"Sir, if the PPKM is smiling on civil servants, the crude workers who scream can not be used to eat, the government lockdown is screaming because it can't give people to eat ...")</f>
        <v>Sir, if the PPKM is smiling on civil servants, the crude workers who scream can not be used to eat, the government lockdown is screaming because it can't give people to eat ...</v>
      </c>
    </row>
    <row r="5000" ht="15.75" customHeight="1">
      <c r="A5000" s="2">
        <v>5002.0</v>
      </c>
      <c r="B5000" s="5" t="s">
        <v>9171</v>
      </c>
      <c r="C5000" s="6">
        <v>1.0</v>
      </c>
      <c r="D5000" s="7" t="s">
        <v>9171</v>
      </c>
      <c r="E5000" s="8" t="str">
        <f>IFERROR(__xludf.DUMMYFUNCTION("googletranslate(D5000,""id"",""en"")"),"Besides Stay Safe, it must also stay Sane. Cape doesn't every day news updates the majority of bad news. PPKM: Slowly slowly get mentally.")</f>
        <v>Besides Stay Safe, it must also stay Sane. Cape doesn't every day news updates the majority of bad news. PPKM: Slowly slowly get mentally.</v>
      </c>
    </row>
    <row r="5001" ht="15.75" customHeight="1">
      <c r="A5001" s="2">
        <v>5003.0</v>
      </c>
      <c r="B5001" s="5" t="s">
        <v>9172</v>
      </c>
      <c r="C5001" s="6">
        <v>1.0</v>
      </c>
      <c r="D5001" s="7" t="s">
        <v>9173</v>
      </c>
      <c r="E5001" s="8" t="str">
        <f>IFERROR(__xludf.DUMMYFUNCTION("googletranslate(D5001,""id"",""en"")"),"Keep away from the ppkm who are envy of the brain with a brain until you go to the crave")</f>
        <v>Keep away from the ppkm who are envy of the brain with a brain until you go to the crave</v>
      </c>
    </row>
    <row r="5002" ht="15.75" customHeight="1">
      <c r="A5002" s="2">
        <v>5004.0</v>
      </c>
      <c r="B5002" s="5" t="s">
        <v>9174</v>
      </c>
      <c r="C5002" s="6">
        <v>1.0</v>
      </c>
      <c r="D5002" s="9" t="s">
        <v>9175</v>
      </c>
      <c r="E5002" s="8" t="str">
        <f>IFERROR(__xludf.DUMMYFUNCTION("googletranslate(D5002,""id"",""en"")"),"Immediately remember the dream of me. KEK, really similar to feeling what is it an emg a message if the square will be closed and dark because of the PPKM (?) I don't know, the point is that so finished-")</f>
        <v>Immediately remember the dream of me. KEK, really similar to feeling what is it an emg a message if the square will be closed and dark because of the PPKM (?) I don't know, the point is that so finished-</v>
      </c>
    </row>
    <row r="5003" ht="15.75" customHeight="1">
      <c r="A5003" s="2">
        <v>5005.0</v>
      </c>
      <c r="B5003" s="5" t="s">
        <v>9176</v>
      </c>
      <c r="C5003" s="6">
        <v>1.0</v>
      </c>
      <c r="D5003" s="9" t="s">
        <v>9177</v>
      </c>
      <c r="E5003" s="8" t="str">
        <f>IFERROR(__xludf.DUMMYFUNCTION("googletranslate(D5003,""id"",""en"")"),"Back to the real world, since the PPKM in the cave area there are several roads that are closed if it's been a malem clock. Precisely in the square, until the street lights died, it was really dark, bro (dark forest)")</f>
        <v>Back to the real world, since the PPKM in the cave area there are several roads that are closed if it's been a malem clock. Precisely in the square, until the street lights died, it was really dark, bro (dark forest)</v>
      </c>
    </row>
    <row r="5004" ht="15.75" customHeight="1">
      <c r="A5004" s="2">
        <v>5006.0</v>
      </c>
      <c r="B5004" s="5" t="s">
        <v>9178</v>
      </c>
      <c r="C5004" s="6">
        <v>2.0</v>
      </c>
      <c r="D5004" s="9" t="s">
        <v>9179</v>
      </c>
      <c r="E5004" s="8" t="str">
        <f>IFERROR(__xludf.DUMMYFUNCTION("googletranslate(D5004,""id"",""en"")"),"Before there was a PPKM, I had a dream of creepy, it was a dream, I went home again from school through the alun2. It's time for the time around the afternoon before Maghrib, Gituufyi: Alun2 to the house I emg near BGTT")</f>
        <v>Before there was a PPKM, I had a dream of creepy, it was a dream, I went home again from school through the alun2. It's time for the time around the afternoon before Maghrib, Gituufyi: Alun2 to the house I emg near BGTT</v>
      </c>
    </row>
    <row r="5005" ht="15.75" customHeight="1">
      <c r="A5005" s="2">
        <v>5007.0</v>
      </c>
      <c r="B5005" s="5" t="s">
        <v>9180</v>
      </c>
      <c r="C5005" s="6">
        <v>1.0</v>
      </c>
      <c r="D5005" s="7" t="s">
        <v>9181</v>
      </c>
      <c r="E5005" s="8" t="str">
        <f>IFERROR(__xludf.DUMMYFUNCTION("googletranslate(D5005,""id"",""en"")"),"Yesterday in front of the house had just happened an accident due to street lighting which was turned off. The road lighting lamp was the most useless policy when PPKM and actually increased the risk of accidents and crime.")</f>
        <v>Yesterday in front of the house had just happened an accident due to street lighting which was turned off. The road lighting lamp was the most useless policy when PPKM and actually increased the risk of accidents and crime.</v>
      </c>
    </row>
    <row r="5006" ht="15.75" customHeight="1">
      <c r="A5006" s="2">
        <v>5008.0</v>
      </c>
      <c r="B5006" s="5" t="s">
        <v>9182</v>
      </c>
      <c r="C5006" s="6">
        <v>3.0</v>
      </c>
      <c r="D5006" s="9" t="s">
        <v>9183</v>
      </c>
      <c r="E5006" s="8" t="str">
        <f>IFERROR(__xludf.DUMMYFUNCTION("googletranslate(D5006,""id"",""en"")"),"Data per-yesterday July, for the Bed Occupancy Rate (BOR) in East Java it has begun to slide compared to the beginning of the emergency PPKM!")</f>
        <v>Data per-yesterday July, for the Bed Occupancy Rate (BOR) in East Java it has begun to slide compared to the beginning of the emergency PPKM!</v>
      </c>
    </row>
    <row r="5007" ht="15.75" customHeight="1">
      <c r="A5007" s="2">
        <v>5009.0</v>
      </c>
      <c r="B5007" s="5" t="s">
        <v>9184</v>
      </c>
      <c r="C5007" s="6">
        <v>1.0</v>
      </c>
      <c r="D5007" s="9" t="s">
        <v>9185</v>
      </c>
      <c r="E5007" s="8" t="str">
        <f>IFERROR(__xludf.DUMMYFUNCTION("googletranslate(D5007,""id"",""en"")"),"Means that our leaders do not understand the meaning of lockdown and obligations and responsibilities when the PPKM and when lockdown. So in the statement as if it was wrong and insufficient it was the people ...")</f>
        <v>Means that our leaders do not understand the meaning of lockdown and obligations and responsibilities when the PPKM and when lockdown. So in the statement as if it was wrong and insufficient it was the people ...</v>
      </c>
    </row>
    <row r="5008" ht="15.75" customHeight="1">
      <c r="A5008" s="2">
        <v>5010.0</v>
      </c>
      <c r="B5008" s="5" t="s">
        <v>9186</v>
      </c>
      <c r="C5008" s="6">
        <v>3.0</v>
      </c>
      <c r="D5008" s="9" t="s">
        <v>9187</v>
      </c>
      <c r="E5008" s="8" t="str">
        <f>IFERROR(__xludf.DUMMYFUNCTION("googletranslate(D5008,""id"",""en"")"),"PPKM makes my snails more efficient%. Mayan Lah.")</f>
        <v>PPKM makes my snails more efficient%. Mayan Lah.</v>
      </c>
    </row>
    <row r="5009" ht="15.75" customHeight="1">
      <c r="A5009" s="2">
        <v>5011.0</v>
      </c>
      <c r="B5009" s="5" t="s">
        <v>9188</v>
      </c>
      <c r="C5009" s="6">
        <v>1.0</v>
      </c>
      <c r="D5009" s="7" t="s">
        <v>9189</v>
      </c>
      <c r="E5009" s="8" t="str">
        <f>IFERROR(__xludf.DUMMYFUNCTION("googletranslate(D5009,""id"",""en"")"),"Don't don't do the PPKM father? And the applicable provisions and rights for the people.")</f>
        <v>Don't don't do the PPKM father? And the applicable provisions and rights for the people.</v>
      </c>
    </row>
    <row r="5010" ht="15.75" customHeight="1">
      <c r="A5010" s="2">
        <v>5012.0</v>
      </c>
      <c r="B5010" s="5" t="s">
        <v>9190</v>
      </c>
      <c r="C5010" s="6">
        <v>1.0</v>
      </c>
      <c r="D5010" s="9" t="s">
        <v>9191</v>
      </c>
      <c r="E5010" s="8" t="str">
        <f>IFERROR(__xludf.DUMMYFUNCTION("googletranslate(D5010,""id"",""en"")"),"right, just don't just lockdown, bro, bro ...")</f>
        <v>right, just don't just lockdown, bro, bro ...</v>
      </c>
    </row>
    <row r="5011" ht="15.75" customHeight="1">
      <c r="A5011" s="2">
        <v>5013.0</v>
      </c>
      <c r="B5011" s="5" t="s">
        <v>9192</v>
      </c>
      <c r="C5011" s="6">
        <v>2.0</v>
      </c>
      <c r="D5011" s="9" t="s">
        <v>9193</v>
      </c>
      <c r="E5011" s="8" t="str">
        <f>IFERROR(__xludf.DUMMYFUNCTION("googletranslate(D5011,""id"",""en"")"),"Permission asks ... means if ppkm, psbb, spicy level, etc. is the legal foundation?")</f>
        <v>Permission asks ... means if ppkm, psbb, spicy level, etc. is the legal foundation?</v>
      </c>
    </row>
    <row r="5012" ht="15.75" customHeight="1">
      <c r="A5012" s="2">
        <v>5014.0</v>
      </c>
      <c r="B5012" s="5" t="s">
        <v>9194</v>
      </c>
      <c r="C5012" s="6">
        <v>3.0</v>
      </c>
      <c r="D5012" s="7" t="s">
        <v>9195</v>
      </c>
      <c r="E5012" s="8" t="str">
        <f>IFERROR(__xludf.DUMMYFUNCTION("googletranslate(D5012,""id"",""en"")"),"During Emergency PPKM, East Java has been recorded to have vaccinated the population (the July $ number period $ July)")</f>
        <v>During Emergency PPKM, East Java has been recorded to have vaccinated the population (the July $ number period $ July)</v>
      </c>
    </row>
    <row r="5013" ht="15.75" customHeight="1">
      <c r="A5013" s="2">
        <v>5015.0</v>
      </c>
      <c r="B5013" s="5" t="s">
        <v>9196</v>
      </c>
      <c r="C5013" s="6">
        <v>3.0</v>
      </c>
      <c r="D5013" s="9" t="s">
        <v>9197</v>
      </c>
      <c r="E5013" s="8" t="str">
        <f>IFERROR(__xludf.DUMMYFUNCTION("googletranslate(D5013,""id"",""en"")"),", The fact that you must know, PPKM is proven to be effective, but don't be happy to stay far away, don't abai prokes M! And Segeta joined the vaccine")</f>
        <v>, The fact that you must know, PPKM is proven to be effective, but don't be happy to stay far away, don't abai prokes M! And Segeta joined the vaccine</v>
      </c>
    </row>
    <row r="5014" ht="15.75" customHeight="1">
      <c r="A5014" s="2">
        <v>5016.0</v>
      </c>
      <c r="B5014" s="5" t="s">
        <v>9198</v>
      </c>
      <c r="C5014" s="6">
        <v>3.0</v>
      </c>
      <c r="D5014" s="9" t="s">
        <v>9199</v>
      </c>
      <c r="E5014" s="8" t="str">
        <f>IFERROR(__xludf.DUMMYFUNCTION("googletranslate(D5014,""id"",""en"")"),"Eksulcasal results pressed Lonjakn case Covid-19 in the past month. This condition should be grateful for Tuips. Moreover, after looking at the occupancy rate of the bed or the Occupancy Ratedi Island of Java JG began to show the sign of improvement, aka "&amp;"declining")</f>
        <v>Eksulcasal results pressed Lonjakn case Covid-19 in the past month. This condition should be grateful for Tuips. Moreover, after looking at the occupancy rate of the bed or the Occupancy Ratedi Island of Java JG began to show the sign of improvement, aka declining</v>
      </c>
    </row>
    <row r="5015" ht="15.75" customHeight="1">
      <c r="A5015" s="2">
        <v>5017.0</v>
      </c>
      <c r="B5015" s="5" t="s">
        <v>9200</v>
      </c>
      <c r="C5015" s="6">
        <v>3.0</v>
      </c>
      <c r="D5015" s="9" t="s">
        <v>9201</v>
      </c>
      <c r="E5015" s="8" t="str">
        <f>IFERROR(__xludf.DUMMYFUNCTION("googletranslate(D5015,""id"",""en"")"),"The support from NU is very influential because the number of Nahdliyin in Indonesia is quite a lot, all NU members will help the government keep the prokes and reject the PPKM demo.")</f>
        <v>The support from NU is very influential because the number of Nahdliyin in Indonesia is quite a lot, all NU members will help the government keep the prokes and reject the PPKM demo.</v>
      </c>
    </row>
    <row r="5016" ht="15.75" customHeight="1">
      <c r="A5016" s="2">
        <v>5018.0</v>
      </c>
      <c r="B5016" s="5" t="s">
        <v>9202</v>
      </c>
      <c r="C5016" s="6">
        <v>1.0</v>
      </c>
      <c r="D5016" s="7" t="s">
        <v>9203</v>
      </c>
      <c r="E5016" s="8" t="str">
        <f>IFERROR(__xludf.DUMMYFUNCTION("googletranslate(D5016,""id"",""en"")"),"The new week's ppkm has screamed the people ... what else to lockdown ... then what do you want to eat? All of them are closed ... the economy is still on the economy ... Tuch in Jakarta has dropped Covid because of PPKM")</f>
        <v>The new week's ppkm has screamed the people ... what else to lockdown ... then what do you want to eat? All of them are closed ... the economy is still on the economy ... Tuch in Jakarta has dropped Covid because of PPKM</v>
      </c>
    </row>
    <row r="5017" ht="15.75" customHeight="1">
      <c r="A5017" s="2">
        <v>5019.0</v>
      </c>
      <c r="B5017" s="5" t="s">
        <v>9204</v>
      </c>
      <c r="C5017" s="6">
        <v>1.0</v>
      </c>
      <c r="D5017" s="9" t="s">
        <v>9205</v>
      </c>
      <c r="E5017" s="8" t="str">
        <f>IFERROR(__xludf.DUMMYFUNCTION("googletranslate(D5017,""id"",""en"")"),"If the lockdown is not sure why is there a PPKM PSBB? Just just imaging if you have taken GT action? Curious that later the vaccination terayta also doesn't work the statement fuck")</f>
        <v>If the lockdown is not sure why is there a PPKM PSBB? Just just imaging if you have taken GT action? Curious that later the vaccination terayta also doesn't work the statement fuck</v>
      </c>
    </row>
    <row r="5018" ht="15.75" customHeight="1">
      <c r="A5018" s="2">
        <v>5020.0</v>
      </c>
      <c r="B5018" s="5" t="s">
        <v>9206</v>
      </c>
      <c r="C5018" s="6">
        <v>3.0</v>
      </c>
      <c r="D5018" s="9" t="s">
        <v>9207</v>
      </c>
      <c r="E5018" s="8" t="str">
        <f>IFERROR(__xludf.DUMMYFUNCTION("googletranslate(D5018,""id"",""en"")"),"Indonesia managed to reduce the Covit case during the PPKM thank you to all the elements and amazing cooperation. Optimistic we can as soon as possible out of the current pagembluk")</f>
        <v>Indonesia managed to reduce the Covit case during the PPKM thank you to all the elements and amazing cooperation. Optimistic we can as soon as possible out of the current pagembluk</v>
      </c>
    </row>
    <row r="5019" ht="15.75" customHeight="1">
      <c r="A5019" s="2">
        <v>5021.0</v>
      </c>
      <c r="B5019" s="5" t="s">
        <v>9208</v>
      </c>
      <c r="C5019" s="6">
        <v>3.0</v>
      </c>
      <c r="D5019" s="7" t="s">
        <v>9209</v>
      </c>
      <c r="E5019" s="8" t="str">
        <f>IFERROR(__xludf.DUMMYFUNCTION("googletranslate(D5019,""id"",""en"")"),"PPKM succeeded in suppressing the spread of Covid-19 in Indonesia the government continued to maintain the synergy and solidarity of the community elements in overcoming the Covid-19 pandemic.")</f>
        <v>PPKM succeeded in suppressing the spread of Covid-19 in Indonesia the government continued to maintain the synergy and solidarity of the community elements in overcoming the Covid-19 pandemic.</v>
      </c>
    </row>
    <row r="5020" ht="15.75" customHeight="1">
      <c r="A5020" s="2">
        <v>5022.0</v>
      </c>
      <c r="B5020" s="5" t="s">
        <v>9210</v>
      </c>
      <c r="C5020" s="6">
        <v>3.0</v>
      </c>
      <c r="D5020" s="7" t="s">
        <v>9211</v>
      </c>
      <c r="E5020" s="8" t="str">
        <f>IFERROR(__xludf.DUMMYFUNCTION("googletranslate(D5020,""id"",""en"")"),"Well ... the effect of the results of the PPKM began to have a good impact. Right which said Gub Jabar Kang Ridwan, the essence of the government's efforts began to meet results. Our most important thing is all still obeying the prokes ok ..")</f>
        <v>Well ... the effect of the results of the PPKM began to have a good impact. Right which said Gub Jabar Kang Ridwan, the essence of the government's efforts began to meet results. Our most important thing is all still obeying the prokes ok ..</v>
      </c>
    </row>
    <row r="5021" ht="15.75" customHeight="1">
      <c r="A5021" s="2">
        <v>5023.0</v>
      </c>
      <c r="B5021" s="5" t="s">
        <v>9212</v>
      </c>
      <c r="C5021" s="6">
        <v>3.0</v>
      </c>
      <c r="D5021" s="9" t="s">
        <v>9213</v>
      </c>
      <c r="E5021" s="8" t="str">
        <f>IFERROR(__xludf.DUMMYFUNCTION("googletranslate(D5021,""id"",""en"")"),"Late Post. $ Number $ -2021 As a form of our concern for other impacts of the implementation of micro PPKM for street vendors, Village Heads and Devices Kelurahan Ngroto took action to care for street vendors by buying their merchandise. Hopefully it can "&amp;"lighten their burden slightly. Let's share.")</f>
        <v>Late Post. $ Number $ -2021 As a form of our concern for other impacts of the implementation of micro PPKM for street vendors, Village Heads and Devices Kelurahan Ngroto took action to care for street vendors by buying their merchandise. Hopefully it can lighten their burden slightly. Let's share.</v>
      </c>
    </row>
    <row r="5022" ht="15.75" customHeight="1">
      <c r="A5022" s="2">
        <v>5024.0</v>
      </c>
      <c r="B5022" s="5" t="s">
        <v>9214</v>
      </c>
      <c r="C5022" s="6">
        <v>1.0</v>
      </c>
      <c r="D5022" s="9" t="s">
        <v>9215</v>
      </c>
      <c r="E5022" s="8" t="str">
        <f>IFERROR(__xludf.DUMMYFUNCTION("googletranslate(D5022,""id"",""en"")"),"Loe PPKM is just as illustrated by being called by Mr. Jokowi, the one who has been full of LOE, thinking that the sane thing is that the country of Indonesia, which is still grateful for this country, can't go bankrupt")</f>
        <v>Loe PPKM is just as illustrated by being called by Mr. Jokowi, the one who has been full of LOE, thinking that the sane thing is that the country of Indonesia, which is still grateful for this country, can't go bankrupt</v>
      </c>
    </row>
    <row r="5023" ht="15.75" customHeight="1">
      <c r="A5023" s="2">
        <v>5025.0</v>
      </c>
      <c r="B5023" s="5" t="s">
        <v>9216</v>
      </c>
      <c r="C5023" s="6">
        <v>2.0</v>
      </c>
      <c r="D5023" s="7" t="s">
        <v>9217</v>
      </c>
      <c r="E5023" s="8" t="str">
        <f>IFERROR(__xludf.DUMMYFUNCTION("googletranslate(D5023,""id"",""en"")"),"Again PPKM, avoid crowded with everyone together.")</f>
        <v>Again PPKM, avoid crowded with everyone together.</v>
      </c>
    </row>
    <row r="5024" ht="15.75" customHeight="1">
      <c r="A5024" s="2">
        <v>5026.0</v>
      </c>
      <c r="B5024" s="5" t="s">
        <v>9218</v>
      </c>
      <c r="C5024" s="6">
        <v>1.0</v>
      </c>
      <c r="D5024" s="7" t="s">
        <v>9219</v>
      </c>
      <c r="E5024" s="8" t="str">
        <f>IFERROR(__xludf.DUMMYFUNCTION("googletranslate(D5024,""id"",""en"")"),"Emg it turns out that even though it's already in the vaccine doesn't make sure we don't get the virus, bro, sis, you want to want this to the ppm")</f>
        <v>Emg it turns out that even though it's already in the vaccine doesn't make sure we don't get the virus, bro, sis, you want to want this to the ppm</v>
      </c>
    </row>
    <row r="5025" ht="15.75" customHeight="1">
      <c r="A5025" s="2">
        <v>5027.0</v>
      </c>
      <c r="B5025" s="5" t="s">
        <v>9220</v>
      </c>
      <c r="C5025" s="6">
        <v>2.0</v>
      </c>
      <c r="D5025" s="7" t="s">
        <v>9221</v>
      </c>
      <c r="E5025" s="8" t="str">
        <f>IFERROR(__xludf.DUMMYFUNCTION("googletranslate(D5025,""id"",""en"")"),"Yup, eat it for a while, chatting old. I have enjoyed 'take away' since PPKM.")</f>
        <v>Yup, eat it for a while, chatting old. I have enjoyed 'take away' since PPKM.</v>
      </c>
    </row>
    <row r="5026" ht="15.75" customHeight="1">
      <c r="A5026" s="2">
        <v>5028.0</v>
      </c>
      <c r="B5026" s="5" t="s">
        <v>9222</v>
      </c>
      <c r="C5026" s="6">
        <v>1.0</v>
      </c>
      <c r="D5026" s="7" t="s">
        <v>9223</v>
      </c>
      <c r="E5026" s="8" t="str">
        <f>IFERROR(__xludf.DUMMYFUNCTION("googletranslate(D5026,""id"",""en"")"),"PPKM trouble. want to trade eh instead told to pay a fine. Moreover, merchandise is confiscated. Now eat a maximum of minutes. Regulations like this troublesome people. It's very lived in Indo. hard")</f>
        <v>PPKM trouble. want to trade eh instead told to pay a fine. Moreover, merchandise is confiscated. Now eat a maximum of minutes. Regulations like this troublesome people. It's very lived in Indo. hard</v>
      </c>
    </row>
    <row r="5027" ht="15.75" customHeight="1">
      <c r="A5027" s="2">
        <v>5029.0</v>
      </c>
      <c r="B5027" s="5" t="s">
        <v>9224</v>
      </c>
      <c r="C5027" s="6">
        <v>2.0</v>
      </c>
      <c r="D5027" s="9" t="s">
        <v>9224</v>
      </c>
      <c r="E5027" s="8" t="str">
        <f>IFERROR(__xludf.DUMMYFUNCTION("googletranslate(D5027,""id"",""en"")"),"! Upi Hallo is there who loses KTM then take care during this PPKM?")</f>
        <v>! Upi Hallo is there who loses KTM then take care during this PPKM?</v>
      </c>
    </row>
    <row r="5028" ht="15.75" customHeight="1">
      <c r="A5028" s="2">
        <v>5030.0</v>
      </c>
      <c r="B5028" s="5" t="s">
        <v>9225</v>
      </c>
      <c r="C5028" s="6">
        <v>3.0</v>
      </c>
      <c r="D5028" s="7" t="s">
        <v>9226</v>
      </c>
      <c r="E5028" s="8" t="str">
        <f>IFERROR(__xludf.DUMMYFUNCTION("googletranslate(D5028,""id"",""en"")"),"The Governor of West Java, Ridwan Kamil stated that the implementation of PPKM in West Java was successful. Kamil said the success could be proven based on data.")</f>
        <v>The Governor of West Java, Ridwan Kamil stated that the implementation of PPKM in West Java was successful. Kamil said the success could be proven based on data.</v>
      </c>
    </row>
    <row r="5029" ht="15.75" customHeight="1">
      <c r="A5029" s="2">
        <v>5031.0</v>
      </c>
      <c r="B5029" s="5" t="s">
        <v>9227</v>
      </c>
      <c r="C5029" s="6">
        <v>1.0</v>
      </c>
      <c r="D5029" s="9" t="s">
        <v>9227</v>
      </c>
      <c r="E5029" s="8" t="str">
        <f>IFERROR(__xludf.DUMMYFUNCTION("googletranslate(D5029,""id"",""en"")"),"Buset, I just realized that today it was Saturday Bae. Yesterday I didn't just jumatan to how much yak since the ppkm ate it until I forgot the day wkwk")</f>
        <v>Buset, I just realized that today it was Saturday Bae. Yesterday I didn't just jumatan to how much yak since the ppkm ate it until I forgot the day wkwk</v>
      </c>
    </row>
    <row r="5030" ht="15.75" customHeight="1">
      <c r="A5030" s="2">
        <v>5032.0</v>
      </c>
      <c r="B5030" s="5" t="s">
        <v>9228</v>
      </c>
      <c r="C5030" s="6">
        <v>2.0</v>
      </c>
      <c r="D5030" s="7" t="s">
        <v>9229</v>
      </c>
      <c r="E5030" s="8" t="str">
        <f>IFERROR(__xludf.DUMMYFUNCTION("googletranslate(D5030,""id"",""en"")"),"Skut Kelap PPKM")</f>
        <v>Skut Kelap PPKM</v>
      </c>
    </row>
    <row r="5031" ht="15.75" customHeight="1">
      <c r="A5031" s="2">
        <v>5033.0</v>
      </c>
      <c r="B5031" s="5" t="s">
        <v>9230</v>
      </c>
      <c r="C5031" s="6">
        <v>3.0</v>
      </c>
      <c r="D5031" s="7" t="s">
        <v>9231</v>
      </c>
      <c r="E5031" s="8" t="str">
        <f>IFERROR(__xludf.DUMMYFUNCTION("googletranslate(D5031,""id"",""en"")"),"Hopefully with PPKM pandemic can be overcome")</f>
        <v>Hopefully with PPKM pandemic can be overcome</v>
      </c>
    </row>
    <row r="5032" ht="15.75" customHeight="1">
      <c r="A5032" s="2">
        <v>5034.0</v>
      </c>
      <c r="B5032" s="5" t="s">
        <v>9232</v>
      </c>
      <c r="C5032" s="6">
        <v>1.0</v>
      </c>
      <c r="D5032" s="7" t="s">
        <v>9233</v>
      </c>
      <c r="E5032" s="8" t="str">
        <f>IFERROR(__xludf.DUMMYFUNCTION("googletranslate(D5032,""id"",""en"")"),"The PPKM is berijid2 without results, how do people don't be frustrated ......")</f>
        <v>The PPKM is berijid2 without results, how do people don't be frustrated ......</v>
      </c>
    </row>
    <row r="5033" ht="15.75" customHeight="1">
      <c r="A5033" s="2">
        <v>5035.0</v>
      </c>
      <c r="B5033" s="5" t="s">
        <v>9234</v>
      </c>
      <c r="C5033" s="6">
        <v>1.0</v>
      </c>
      <c r="D5033" s="9" t="s">
        <v>9235</v>
      </c>
      <c r="E5033" s="8" t="str">
        <f>IFERROR(__xludf.DUMMYFUNCTION("googletranslate(D5033,""id"",""en"")"),"Too tense due to PPKM, it will be ngono ... copy, let's do it?")</f>
        <v>Too tense due to PPKM, it will be ngono ... copy, let's do it?</v>
      </c>
    </row>
    <row r="5034" ht="15.75" customHeight="1">
      <c r="A5034" s="2">
        <v>5036.0</v>
      </c>
      <c r="B5034" s="5" t="s">
        <v>9236</v>
      </c>
      <c r="C5034" s="6">
        <v>2.0</v>
      </c>
      <c r="D5034" s="7" t="s">
        <v>9237</v>
      </c>
      <c r="E5034" s="8" t="str">
        <f>IFERROR(__xludf.DUMMYFUNCTION("googletranslate(D5034,""id"",""en"")"),"The PPKM level has zero zero zero ... Italian experience, a good teacher.")</f>
        <v>The PPKM level has zero zero zero ... Italian experience, a good teacher.</v>
      </c>
    </row>
    <row r="5035" ht="15.75" customHeight="1">
      <c r="A5035" s="2">
        <v>5037.0</v>
      </c>
      <c r="B5035" s="5" t="s">
        <v>9238</v>
      </c>
      <c r="C5035" s="6">
        <v>1.0</v>
      </c>
      <c r="D5035" s="9" t="s">
        <v>9239</v>
      </c>
      <c r="E5035" s="8" t="str">
        <f>IFERROR(__xludf.DUMMYFUNCTION("googletranslate(D5035,""id"",""en"")"),"I know from the story, snapabayayayangin ... the neighbor's own neighbor is different from the house of the house of the house, I'm not invited to the building, it's because it's home, but it's gone to get it, it's hard to do it.")</f>
        <v>I know from the story, snapabayayayangin ... the neighbor's own neighbor is different from the house of the house of the house, I'm not invited to the building, it's because it's home, but it's gone to get it, it's hard to do it.</v>
      </c>
    </row>
    <row r="5036" ht="15.75" customHeight="1">
      <c r="A5036" s="2">
        <v>5038.0</v>
      </c>
      <c r="B5036" s="5" t="s">
        <v>9240</v>
      </c>
      <c r="C5036" s="6">
        <v>1.0</v>
      </c>
      <c r="D5036" s="9" t="s">
        <v>9241</v>
      </c>
      <c r="E5036" s="8" t="str">
        <f>IFERROR(__xludf.DUMMYFUNCTION("googletranslate(D5036,""id"",""en"")"),"IYH, at work ... I just at home, because the ppkm gaada is a place that opened the prgi prgi")</f>
        <v>IYH, at work ... I just at home, because the ppkm gaada is a place that opened the prgi prgi</v>
      </c>
    </row>
    <row r="5037" ht="15.75" customHeight="1">
      <c r="A5037" s="2">
        <v>5039.0</v>
      </c>
      <c r="B5037" s="5" t="s">
        <v>9242</v>
      </c>
      <c r="C5037" s="6">
        <v>1.0</v>
      </c>
      <c r="D5037" s="9" t="s">
        <v>9243</v>
      </c>
      <c r="E5037" s="8" t="str">
        <f>IFERROR(__xludf.DUMMYFUNCTION("googletranslate(D5037,""id"",""en"")"),"This is the style of the style and example of buzzerp / cebong narration / bani bipang, just lockdown just doubt what lg ppkm.Pastinya lockdown lbih guaranteed msyrkt will be more obedient to prokes from ppkm. No Prlu Collapse TNI, Police, Satpol PP, for "&amp;"Calculate Stopwatch Eat Mnit. If you want to know, try it")</f>
        <v>This is the style of the style and example of buzzerp / cebong narration / bani bipang, just lockdown just doubt what lg ppkm.Pastinya lockdown lbih guaranteed msyrkt will be more obedient to prokes from ppkm. No Prlu Collapse TNI, Police, Satpol PP, for Calculate Stopwatch Eat Mnit. If you want to know, try it</v>
      </c>
    </row>
    <row r="5038" ht="15.75" customHeight="1">
      <c r="A5038" s="2">
        <v>5040.0</v>
      </c>
      <c r="B5038" s="5" t="s">
        <v>9244</v>
      </c>
      <c r="C5038" s="6">
        <v>1.0</v>
      </c>
      <c r="D5038" s="7" t="s">
        <v>9245</v>
      </c>
      <c r="E5038" s="8" t="str">
        <f>IFERROR(__xludf.DUMMYFUNCTION("googletranslate(D5038,""id"",""en"")"),"Habits! Those who are chased are even recorded &amp; amp; Spreading VideoViral Separate Welcoming the Rembang Police Chief Langgar PPKM, Police Check Video Recorder")</f>
        <v>Habits! Those who are chased are even recorded &amp; amp; Spreading VideoViral Separate Welcoming the Rembang Police Chief Langgar PPKM, Police Check Video Recorder</v>
      </c>
    </row>
    <row r="5039" ht="15.75" customHeight="1">
      <c r="A5039" s="2">
        <v>5041.0</v>
      </c>
      <c r="B5039" s="5" t="s">
        <v>9246</v>
      </c>
      <c r="C5039" s="6">
        <v>1.0</v>
      </c>
      <c r="D5039" s="7" t="s">
        <v>9247</v>
      </c>
      <c r="E5039" s="8" t="str">
        <f>IFERROR(__xludf.DUMMYFUNCTION("googletranslate(D5039,""id"",""en"")"),"This is real evidence that the leader of this regime is the same as the buzzerp of the sister's sister")</f>
        <v>This is real evidence that the leader of this regime is the same as the buzzerp of the sister's sister</v>
      </c>
    </row>
    <row r="5040" ht="15.75" customHeight="1">
      <c r="A5040" s="2">
        <v>5042.0</v>
      </c>
      <c r="B5040" s="5" t="s">
        <v>9248</v>
      </c>
      <c r="C5040" s="6">
        <v>3.0</v>
      </c>
      <c r="D5040" s="9" t="s">
        <v>9249</v>
      </c>
      <c r="E5040" s="8" t="str">
        <f>IFERROR(__xludf.DUMMYFUNCTION("googletranslate(D5040,""id"",""en"")"),"In the poinity of God if you can win orphans, Dhuafa and the affected PPKM community will participate in the benefits of millions.Aamiin")</f>
        <v>In the poinity of God if you can win orphans, Dhuafa and the affected PPKM community will participate in the benefits of millions.Aamiin</v>
      </c>
    </row>
    <row r="5041" ht="15.75" customHeight="1">
      <c r="A5041" s="2">
        <v>5043.0</v>
      </c>
      <c r="B5041" s="5" t="s">
        <v>9250</v>
      </c>
      <c r="C5041" s="6">
        <v>2.0</v>
      </c>
      <c r="D5041" s="7" t="s">
        <v>9251</v>
      </c>
      <c r="E5041" s="8" t="str">
        <f>IFERROR(__xludf.DUMMYFUNCTION("googletranslate(D5041,""id"",""en"")"),"Nahh is watched which one is extended by PPKM")</f>
        <v>Nahh is watched which one is extended by PPKM</v>
      </c>
    </row>
    <row r="5042" ht="15.75" customHeight="1">
      <c r="A5042" s="2">
        <v>5044.0</v>
      </c>
      <c r="B5042" s="5" t="s">
        <v>9252</v>
      </c>
      <c r="C5042" s="6">
        <v>2.0</v>
      </c>
      <c r="D5042" s="7" t="s">
        <v>9253</v>
      </c>
      <c r="E5042" s="8" t="str">
        <f>IFERROR(__xludf.DUMMYFUNCTION("googletranslate(D5042,""id"",""en"")"),"Lately, Zara again, there are many tires in all social media, maybe a lot of outlets that close the GRGM, so you are looking for online, you like Zara's items too tires?")</f>
        <v>Lately, Zara again, there are many tires in all social media, maybe a lot of outlets that close the GRGM, so you are looking for online, you like Zara's items too tires?</v>
      </c>
    </row>
    <row r="5043" ht="15.75" customHeight="1">
      <c r="A5043" s="2">
        <v>5045.0</v>
      </c>
      <c r="B5043" s="5" t="s">
        <v>9254</v>
      </c>
      <c r="C5043" s="6">
        <v>3.0</v>
      </c>
      <c r="D5043" s="9" t="s">
        <v>9255</v>
      </c>
      <c r="E5043" s="8" t="str">
        <f>IFERROR(__xludf.DUMMYFUNCTION("googletranslate(D5043,""id"",""en"")"),"It's been three days my friends Fangurl I sent the eunwoo video that recorded the alarm sound, wake up wkwkwkwkwk. Layarrr walk yes ne! Continue! EMG PPKM is the most delicious Haluin Humans who will never be able to do anyone. * Meh *")</f>
        <v>It's been three days my friends Fangurl I sent the eunwoo video that recorded the alarm sound, wake up wkwkwkwkwk. Layarrr walk yes ne! Continue! EMG PPKM is the most delicious Haluin Humans who will never be able to do anyone. * Meh *</v>
      </c>
    </row>
    <row r="5044" ht="15.75" customHeight="1">
      <c r="A5044" s="2">
        <v>5046.0</v>
      </c>
      <c r="B5044" s="5" t="s">
        <v>9256</v>
      </c>
      <c r="C5044" s="6">
        <v>2.0</v>
      </c>
      <c r="D5044" s="7" t="s">
        <v>9257</v>
      </c>
      <c r="E5044" s="8" t="str">
        <f>IFERROR(__xludf.DUMMYFUNCTION("googletranslate(D5044,""id"",""en"")"),"Even though the PPKM is extended again")</f>
        <v>Even though the PPKM is extended again</v>
      </c>
    </row>
    <row r="5045" ht="15.75" customHeight="1">
      <c r="A5045" s="2">
        <v>5047.0</v>
      </c>
      <c r="B5045" s="5" t="s">
        <v>9258</v>
      </c>
      <c r="C5045" s="6">
        <v>2.0</v>
      </c>
      <c r="D5045" s="7" t="s">
        <v>9259</v>
      </c>
      <c r="E5045" s="8" t="str">
        <f>IFERROR(__xludf.DUMMYFUNCTION("googletranslate(D5045,""id"",""en"")"),"Already said this from the first PPKM yesterday, Taoi seriously wanted to buy topokki kodam")</f>
        <v>Already said this from the first PPKM yesterday, Taoi seriously wanted to buy topokki kodam</v>
      </c>
    </row>
    <row r="5046" ht="15.75" customHeight="1">
      <c r="A5046" s="2">
        <v>5048.0</v>
      </c>
      <c r="B5046" s="5" t="s">
        <v>9260</v>
      </c>
      <c r="C5046" s="6">
        <v>2.0</v>
      </c>
      <c r="D5046" s="10" t="s">
        <v>9261</v>
      </c>
      <c r="E5046" s="8" t="str">
        <f>IFERROR(__xludf.DUMMYFUNCTION("googletranslate(D5046,""id"",""en"")"),"Lgi ppkm kak.")</f>
        <v>Lgi ppkm kak.</v>
      </c>
    </row>
    <row r="5047" ht="15.75" customHeight="1">
      <c r="A5047" s="2">
        <v>5049.0</v>
      </c>
      <c r="B5047" s="5" t="s">
        <v>9262</v>
      </c>
      <c r="C5047" s="6">
        <v>1.0</v>
      </c>
      <c r="D5047" s="9" t="s">
        <v>9263</v>
      </c>
      <c r="E5047" s="8" t="str">
        <f>IFERROR(__xludf.DUMMYFUNCTION("googletranslate(D5047,""id"",""en"")"),"Said one of the coordinations before the emergency PPKM in the day I will finish it. So this is the result?")</f>
        <v>Said one of the coordinations before the emergency PPKM in the day I will finish it. So this is the result?</v>
      </c>
    </row>
    <row r="5048" ht="15.75" customHeight="1">
      <c r="A5048" s="2">
        <v>5050.0</v>
      </c>
      <c r="B5048" s="5" t="s">
        <v>9264</v>
      </c>
      <c r="C5048" s="6">
        <v>1.0</v>
      </c>
      <c r="D5048" s="7" t="s">
        <v>9265</v>
      </c>
      <c r="E5048" s="8" t="str">
        <f>IFERROR(__xludf.DUMMYFUNCTION("googletranslate(D5048,""id"",""en"")"),"When deciding the application of PSBB, PPKM and the like guarantee from the government can suppress the spread of Covid virus ??? What deploying Covid virus can be inhibited by closing highway access ??")</f>
        <v>When deciding the application of PSBB, PPKM and the like guarantee from the government can suppress the spread of Covid virus ??? What deploying Covid virus can be inhibited by closing highway access ??</v>
      </c>
    </row>
    <row r="5049" ht="15.75" customHeight="1">
      <c r="A5049" s="2">
        <v>5051.0</v>
      </c>
      <c r="B5049" s="5" t="s">
        <v>9266</v>
      </c>
      <c r="C5049" s="6">
        <v>3.0</v>
      </c>
      <c r="D5049" s="7" t="s">
        <v>9267</v>
      </c>
      <c r="E5049" s="8" t="str">
        <f>IFERROR(__xludf.DUMMYFUNCTION("googletranslate(D5049,""id"",""en"")"),"Obey the PPKM regulation")</f>
        <v>Obey the PPKM regulation</v>
      </c>
    </row>
    <row r="5050" ht="15.75" customHeight="1">
      <c r="A5050" s="2">
        <v>5052.0</v>
      </c>
      <c r="B5050" s="5" t="s">
        <v>9268</v>
      </c>
      <c r="C5050" s="6">
        <v>1.0</v>
      </c>
      <c r="D5050" s="7" t="s">
        <v>9269</v>
      </c>
      <c r="E5050" s="8" t="str">
        <f>IFERROR(__xludf.DUMMYFUNCTION("googletranslate(D5050,""id"",""en"")"),"PPKM slowly we die ...")</f>
        <v>PPKM slowly we die ...</v>
      </c>
    </row>
    <row r="5051" ht="15.75" customHeight="1">
      <c r="A5051" s="2">
        <v>5053.0</v>
      </c>
      <c r="B5051" s="5" t="s">
        <v>9270</v>
      </c>
      <c r="C5051" s="6">
        <v>2.0</v>
      </c>
      <c r="D5051" s="7" t="s">
        <v>9270</v>
      </c>
      <c r="E5051" s="8" t="str">
        <f>IFERROR(__xludf.DUMMYFUNCTION("googletranslate(D5051,""id"",""en"")"),"I like PPKM but if you don't use PP wkwk")</f>
        <v>I like PPKM but if you don't use PP wkwk</v>
      </c>
    </row>
    <row r="5052" ht="15.75" customHeight="1">
      <c r="A5052" s="2">
        <v>5054.0</v>
      </c>
      <c r="B5052" s="5" t="s">
        <v>9271</v>
      </c>
      <c r="C5052" s="6">
        <v>1.0</v>
      </c>
      <c r="D5052" s="7" t="s">
        <v>9272</v>
      </c>
      <c r="E5052" s="8" t="str">
        <f>IFERROR(__xludf.DUMMYFUNCTION("googletranslate(D5052,""id"",""en"")"),"Finally to H &amp; amp; m when you get pregnant the moon ... Gabeli Dede's clothes a lot because of the MOOR MORE I think about it later, right when I was born to spend it again as soon as I turned PKY ... the world changed PPKM to make all the mall close ear"&amp;"ly in the morning there was a sense of pgn mall")</f>
        <v>Finally to H &amp; amp; m when you get pregnant the moon ... Gabeli Dede's clothes a lot because of the MOOR MORE I think about it later, right when I was born to spend it again as soon as I turned PKY ... the world changed PPKM to make all the mall close early in the morning there was a sense of pgn mall</v>
      </c>
    </row>
    <row r="5053" ht="15.75" customHeight="1">
      <c r="A5053" s="2">
        <v>5055.0</v>
      </c>
      <c r="B5053" s="5" t="s">
        <v>9273</v>
      </c>
      <c r="C5053" s="6">
        <v>1.0</v>
      </c>
      <c r="D5053" s="9" t="s">
        <v>9274</v>
      </c>
      <c r="E5053" s="8" t="str">
        <f>IFERROR(__xludf.DUMMYFUNCTION("googletranslate(D5053,""id"",""en"")"),"If yesterday I register first to scaling with genions. The problem is the quota for genes is limited. Maybe if the ppkm is going to be difficult, because the doctor just does the emergency action")</f>
        <v>If yesterday I register first to scaling with genions. The problem is the quota for genes is limited. Maybe if the ppkm is going to be difficult, because the doctor just does the emergency action</v>
      </c>
    </row>
    <row r="5054" ht="15.75" customHeight="1">
      <c r="A5054" s="2">
        <v>5056.0</v>
      </c>
      <c r="B5054" s="5" t="s">
        <v>9275</v>
      </c>
      <c r="C5054" s="6">
        <v>2.0</v>
      </c>
      <c r="D5054" s="7" t="s">
        <v>9276</v>
      </c>
      <c r="E5054" s="8" t="str">
        <f>IFERROR(__xludf.DUMMYFUNCTION("googletranslate(D5054,""id"",""en"")"),"Crazy this July I'm only a working day, after it's a long ppkm holiday and it doesn't feel like")</f>
        <v>Crazy this July I'm only a working day, after it's a long ppkm holiday and it doesn't feel like</v>
      </c>
    </row>
    <row r="5055" ht="15.75" customHeight="1">
      <c r="A5055" s="2">
        <v>5057.0</v>
      </c>
      <c r="B5055" s="5" t="s">
        <v>9277</v>
      </c>
      <c r="C5055" s="6">
        <v>2.0</v>
      </c>
      <c r="D5055" s="10" t="s">
        <v>9278</v>
      </c>
      <c r="E5055" s="8" t="str">
        <f>IFERROR(__xludf.DUMMYFUNCTION("googletranslate(D5055,""id"",""en"")"),"Waaaah ppkm.")</f>
        <v>Waaaah ppkm.</v>
      </c>
    </row>
    <row r="5056" ht="15.75" customHeight="1">
      <c r="A5056" s="2">
        <v>5058.0</v>
      </c>
      <c r="B5056" s="5" t="s">
        <v>9279</v>
      </c>
      <c r="C5056" s="6">
        <v>1.0</v>
      </c>
      <c r="D5056" s="9" t="s">
        <v>9279</v>
      </c>
      <c r="E5056" s="8" t="str">
        <f>IFERROR(__xludf.DUMMYFUNCTION("googletranslate(D5056,""id"",""en"")"),"Looking for a boyfriend, it's hard to find cilor fitting ppkm")</f>
        <v>Looking for a boyfriend, it's hard to find cilor fitting ppkm</v>
      </c>
    </row>
    <row r="5057" ht="15.75" customHeight="1">
      <c r="A5057" s="2">
        <v>5059.0</v>
      </c>
      <c r="B5057" s="5" t="s">
        <v>9280</v>
      </c>
      <c r="C5057" s="6">
        <v>3.0</v>
      </c>
      <c r="D5057" s="9" t="s">
        <v>9281</v>
      </c>
      <c r="E5057" s="8" t="str">
        <f>IFERROR(__xludf.DUMMYFUNCTION("googletranslate(D5057,""id"",""en"")"),"Thank you, Mr. Kandar, in the middle of the PPKM Mr. &amp; amp; My wife wants to go to oxygen to the house. Pdhl is almost MLM. Every day Mr. hrs muter to all hospitals in Pekanbaru so that the oxygen supply is there. salute..sehat2 sllu ya sir ...")</f>
        <v>Thank you, Mr. Kandar, in the middle of the PPKM Mr. &amp; amp; My wife wants to go to oxygen to the house. Pdhl is almost MLM. Every day Mr. hrs muter to all hospitals in Pekanbaru so that the oxygen supply is there. salute..sehat2 sllu ya sir ...</v>
      </c>
    </row>
    <row r="5058" ht="15.75" customHeight="1">
      <c r="A5058" s="2">
        <v>5060.0</v>
      </c>
      <c r="B5058" s="5" t="s">
        <v>9282</v>
      </c>
      <c r="C5058" s="6">
        <v>3.0</v>
      </c>
      <c r="D5058" s="9" t="s">
        <v>9283</v>
      </c>
      <c r="E5058" s="8" t="str">
        <f>IFERROR(__xludf.DUMMYFUNCTION("googletranslate(D5058,""id"",""en"")"),"Wearing a mask in this new era is become my fav thing thing that i found for around fcking yearsss lmao tapiii .... instead make it beautiful using a mask hihiw, and because my ppkm so it's getting diligent in skin &amp; amp; body care an aaakkk is even comfo"&amp;"rtable at the house wilopun Kangen Maen: '")</f>
        <v>Wearing a mask in this new era is become my fav thing thing that i found for around fcking yearsss lmao tapiii .... instead make it beautiful using a mask hihiw, and because my ppkm so it's getting diligent in skin &amp; amp; body care an aaakkk is even comfortable at the house wilopun Kangen Maen: '</v>
      </c>
    </row>
    <row r="5059" ht="15.75" customHeight="1">
      <c r="A5059" s="2">
        <v>5061.0</v>
      </c>
      <c r="B5059" s="5" t="s">
        <v>9284</v>
      </c>
      <c r="C5059" s="6">
        <v>2.0</v>
      </c>
      <c r="D5059" s="10" t="s">
        <v>9285</v>
      </c>
      <c r="E5059" s="8" t="str">
        <f>IFERROR(__xludf.DUMMYFUNCTION("googletranslate(D5059,""id"",""en"")"),"PPKM Haha.")</f>
        <v>PPKM Haha.</v>
      </c>
    </row>
    <row r="5060" ht="15.75" customHeight="1">
      <c r="A5060" s="2">
        <v>5062.0</v>
      </c>
      <c r="B5060" s="5" t="s">
        <v>9286</v>
      </c>
      <c r="C5060" s="6">
        <v>1.0</v>
      </c>
      <c r="D5060" s="9" t="s">
        <v>9287</v>
      </c>
      <c r="E5060" s="8" t="str">
        <f>IFERROR(__xludf.DUMMYFUNCTION("googletranslate(D5060,""id"",""en"")"),"After the batterin we were all taken into Hell PPKM, then said ""Not sure to be able to handle Pandemic"". So, especially semodel PPKM (Lockdown Game half goal). Well we understand, Jokowi doesn't have a vision of handling this pandemic. ""How will"" seve"&amp;"re")</f>
        <v>After the batterin we were all taken into Hell PPKM, then said "Not sure to be able to handle Pandemic". So, especially semodel PPKM (Lockdown Game half goal). Well we understand, Jokowi doesn't have a vision of handling this pandemic. "How will" severe</v>
      </c>
    </row>
    <row r="5061" ht="15.75" customHeight="1">
      <c r="A5061" s="2">
        <v>5063.0</v>
      </c>
      <c r="B5061" s="5" t="s">
        <v>9288</v>
      </c>
      <c r="C5061" s="6">
        <v>1.0</v>
      </c>
      <c r="D5061" s="9" t="s">
        <v>9289</v>
      </c>
      <c r="E5061" s="8" t="str">
        <f>IFERROR(__xludf.DUMMYFUNCTION("googletranslate(D5061,""id"",""en"")"),"After the batterin we were all taken into Hell PPKM, then said ""Not sure Lockdown can handle Pandemic"". So, especially semodel PPKM (Lockdown Game half goal). Well we understand, Jokowi doesn't have a vision of handling this pandemic. ""How come"". Crit"&amp;"ical")</f>
        <v>After the batterin we were all taken into Hell PPKM, then said "Not sure Lockdown can handle Pandemic". So, especially semodel PPKM (Lockdown Game half goal). Well we understand, Jokowi doesn't have a vision of handling this pandemic. "How come". Critical</v>
      </c>
    </row>
    <row r="5062" ht="15.75" customHeight="1">
      <c r="A5062" s="2">
        <v>5064.0</v>
      </c>
      <c r="B5062" s="5" t="s">
        <v>9290</v>
      </c>
      <c r="C5062" s="6">
        <v>1.0</v>
      </c>
      <c r="D5062" s="7" t="s">
        <v>9291</v>
      </c>
      <c r="E5062" s="8" t="str">
        <f>IFERROR(__xludf.DUMMYFUNCTION("googletranslate(D5062,""id"",""en"")"),"Depart ..... uh but still ppkm ...")</f>
        <v>Depart ..... uh but still ppkm ...</v>
      </c>
    </row>
    <row r="5063" ht="15.75" customHeight="1">
      <c r="A5063" s="2">
        <v>5065.0</v>
      </c>
      <c r="B5063" s="5" t="s">
        <v>9292</v>
      </c>
      <c r="C5063" s="6">
        <v>1.0</v>
      </c>
      <c r="D5063" s="7" t="s">
        <v>9293</v>
      </c>
      <c r="E5063" s="8" t="str">
        <f>IFERROR(__xludf.DUMMYFUNCTION("googletranslate(D5063,""id"",""en"")"),"Depression hit by PPKM")</f>
        <v>Depression hit by PPKM</v>
      </c>
    </row>
    <row r="5064" ht="15.75" customHeight="1">
      <c r="A5064" s="2">
        <v>5066.0</v>
      </c>
      <c r="B5064" s="5" t="s">
        <v>9294</v>
      </c>
      <c r="C5064" s="6">
        <v>3.0</v>
      </c>
      <c r="D5064" s="9" t="s">
        <v>9295</v>
      </c>
      <c r="E5064" s="8" t="str">
        <f>IFERROR(__xludf.DUMMYFUNCTION("googletranslate(D5064,""id"",""en"")"),"Yes gpp sir we don't lockdown. PPKM said Semi Lockdown, but do not let the community be semi-living sir or expression of the dead to hesitate to live. Come on, sir we are united to pass all this. Healthy always Mr. Pres. Amen")</f>
        <v>Yes gpp sir we don't lockdown. PPKM said Semi Lockdown, but do not let the community be semi-living sir or expression of the dead to hesitate to live. Come on, sir we are united to pass all this. Healthy always Mr. Pres. Amen</v>
      </c>
    </row>
    <row r="5065" ht="15.75" customHeight="1">
      <c r="A5065" s="2">
        <v>5067.0</v>
      </c>
      <c r="B5065" s="5" t="s">
        <v>9296</v>
      </c>
      <c r="C5065" s="6">
        <v>1.0</v>
      </c>
      <c r="D5065" s="7" t="s">
        <v>9296</v>
      </c>
      <c r="E5065" s="8" t="str">
        <f>IFERROR(__xludf.DUMMYFUNCTION("googletranslate(D5065,""id"",""en"")"),"Ppkm ndang finished. Want to go to this in-laws' house is not finished.")</f>
        <v>Ppkm ndang finished. Want to go to this in-laws' house is not finished.</v>
      </c>
    </row>
    <row r="5066" ht="15.75" customHeight="1">
      <c r="A5066" s="2">
        <v>5068.0</v>
      </c>
      <c r="B5066" s="5" t="s">
        <v>9297</v>
      </c>
      <c r="C5066" s="6">
        <v>1.0</v>
      </c>
      <c r="D5066" s="7" t="s">
        <v>9298</v>
      </c>
      <c r="E5066" s="8" t="str">
        <f>IFERROR(__xludf.DUMMYFUNCTION("googletranslate(D5066,""id"",""en"")"),"Others feel bitterness because they continue to be raided and in fines for violating this PPKM instead, dancing on the suffering of those who die and exposed to covid")</f>
        <v>Others feel bitterness because they continue to be raided and in fines for violating this PPKM instead, dancing on the suffering of those who die and exposed to covid</v>
      </c>
    </row>
    <row r="5067" ht="15.75" customHeight="1">
      <c r="A5067" s="2">
        <v>5069.0</v>
      </c>
      <c r="B5067" s="5" t="s">
        <v>9299</v>
      </c>
      <c r="C5067" s="6">
        <v>2.0</v>
      </c>
      <c r="D5067" s="7" t="s">
        <v>9300</v>
      </c>
      <c r="E5067" s="8" t="str">
        <f>IFERROR(__xludf.DUMMYFUNCTION("googletranslate(D5067,""id"",""en"")"),"While again PPKM level, all disconnected, -.-....")</f>
        <v>While again PPKM level, all disconnected, -.-....</v>
      </c>
    </row>
    <row r="5068" ht="15.75" customHeight="1">
      <c r="A5068" s="2">
        <v>5070.0</v>
      </c>
      <c r="B5068" s="5" t="s">
        <v>9301</v>
      </c>
      <c r="C5068" s="6">
        <v>1.0</v>
      </c>
      <c r="D5068" s="9" t="s">
        <v>9302</v>
      </c>
      <c r="E5068" s="8" t="str">
        <f>IFERROR(__xludf.DUMMYFUNCTION("googletranslate(D5068,""id"",""en"")"),"Buy a package from Semarang the package to stop by the new Jambi to Surabaya eh has been hit by PPKM for almost the day yet the package is also the package")</f>
        <v>Buy a package from Semarang the package to stop by the new Jambi to Surabaya eh has been hit by PPKM for almost the day yet the package is also the package</v>
      </c>
    </row>
    <row r="5069" ht="15.75" customHeight="1">
      <c r="A5069" s="2">
        <v>5071.0</v>
      </c>
      <c r="B5069" s="5" t="s">
        <v>9303</v>
      </c>
      <c r="C5069" s="6">
        <v>1.0</v>
      </c>
      <c r="D5069" s="7" t="s">
        <v>9303</v>
      </c>
      <c r="E5069" s="8" t="str">
        <f>IFERROR(__xludf.DUMMYFUNCTION("googletranslate(D5069,""id"",""en"")"),"Help for Layers Victims Due to Pandemics Affected by PPKM Also?; How come it's still the work of being subsidized?")</f>
        <v>Help for Layers Victims Due to Pandemics Affected by PPKM Also?; How come it's still the work of being subsidized?</v>
      </c>
    </row>
    <row r="5070" ht="15.75" customHeight="1">
      <c r="A5070" s="2">
        <v>5072.0</v>
      </c>
      <c r="B5070" s="5" t="s">
        <v>9304</v>
      </c>
      <c r="C5070" s="6">
        <v>2.0</v>
      </c>
      <c r="D5070" s="7" t="s">
        <v>9305</v>
      </c>
      <c r="E5070" s="8" t="str">
        <f>IFERROR(__xludf.DUMMYFUNCTION("googletranslate(D5070,""id"",""en"")"),"Please not a family don't need to be koar, diem bae at home still ppkm it's hard to go anywhere")</f>
        <v>Please not a family don't need to be koar, diem bae at home still ppkm it's hard to go anywhere</v>
      </c>
    </row>
    <row r="5071" ht="15.75" customHeight="1">
      <c r="A5071" s="2">
        <v>5073.0</v>
      </c>
      <c r="B5071" s="5" t="s">
        <v>9306</v>
      </c>
      <c r="C5071" s="6">
        <v>1.0</v>
      </c>
      <c r="D5071" s="9" t="s">
        <v>9307</v>
      </c>
      <c r="E5071" s="8" t="str">
        <f>IFERROR(__xludf.DUMMYFUNCTION("googletranslate(D5071,""id"",""en"")"),"Understandably, ppkm, it takes money mybe wkwk")</f>
        <v>Understandably, ppkm, it takes money mybe wkwk</v>
      </c>
    </row>
    <row r="5072" ht="15.75" customHeight="1">
      <c r="A5072" s="2">
        <v>5074.0</v>
      </c>
      <c r="B5072" s="5" t="s">
        <v>9308</v>
      </c>
      <c r="C5072" s="6">
        <v>1.0</v>
      </c>
      <c r="D5072" s="7" t="s">
        <v>9309</v>
      </c>
      <c r="E5072" s="8" t="str">
        <f>IFERROR(__xludf.DUMMYFUNCTION("googletranslate(D5072,""id"",""en"")"),"yesterday the cinema was still opened, but only once the next day PPKM missed the popcorn")</f>
        <v>yesterday the cinema was still opened, but only once the next day PPKM missed the popcorn</v>
      </c>
    </row>
    <row r="5073" ht="15.75" customHeight="1">
      <c r="A5073" s="2">
        <v>5075.0</v>
      </c>
      <c r="B5073" s="5" t="s">
        <v>9310</v>
      </c>
      <c r="C5073" s="6">
        <v>2.0</v>
      </c>
      <c r="D5073" s="10" t="s">
        <v>9311</v>
      </c>
      <c r="E5073" s="8" t="str">
        <f>IFERROR(__xludf.DUMMYFUNCTION("googletranslate(D5073,""id"",""en"")"),"PPKM Heyy.")</f>
        <v>PPKM Heyy.</v>
      </c>
    </row>
    <row r="5074" ht="15.75" customHeight="1">
      <c r="A5074" s="2">
        <v>5076.0</v>
      </c>
      <c r="B5074" s="5" t="s">
        <v>9312</v>
      </c>
      <c r="C5074" s="6">
        <v>3.0</v>
      </c>
      <c r="D5074" s="7" t="s">
        <v>9313</v>
      </c>
      <c r="E5074" s="8" t="str">
        <f>IFERROR(__xludf.DUMMYFUNCTION("googletranslate(D5074,""id"",""en"")"),"Kediri is tight. . .PPKM Level4 Level Emergency pakek sense PPKM Bangetsmg cpt recovered Bumiku Indonesia, this account after you celebrate a birthday")</f>
        <v>Kediri is tight. . .PPKM Level4 Level Emergency pakek sense PPKM Bangetsmg cpt recovered Bumiku Indonesia, this account after you celebrate a birthday</v>
      </c>
    </row>
    <row r="5075" ht="15.75" customHeight="1">
      <c r="A5075" s="2">
        <v>5077.0</v>
      </c>
      <c r="B5075" s="5" t="s">
        <v>9314</v>
      </c>
      <c r="C5075" s="6">
        <v>2.0</v>
      </c>
      <c r="D5075" s="7" t="s">
        <v>9315</v>
      </c>
      <c r="E5075" s="8" t="str">
        <f>IFERROR(__xludf.DUMMYFUNCTION("googletranslate(D5075,""id"",""en"")"),"PPKMPElanPelankamumelebar.")</f>
        <v>PPKMPElanPelankamumelebar.</v>
      </c>
    </row>
    <row r="5076" ht="15.75" customHeight="1">
      <c r="A5076" s="2">
        <v>5078.0</v>
      </c>
      <c r="B5076" s="5" t="s">
        <v>9316</v>
      </c>
      <c r="C5076" s="6">
        <v>3.0</v>
      </c>
      <c r="D5076" s="9" t="s">
        <v>9317</v>
      </c>
      <c r="E5076" s="8" t="str">
        <f>IFERROR(__xludf.DUMMYFUNCTION("googletranslate(D5076,""id"",""en"")"),"Assalamualaikum Wr Wbmet Morning Residents TL Met Weekend with your beloved family, Still Discipline Prokes, PPKM with Red and White Spirit")</f>
        <v>Assalamualaikum Wr Wbmet Morning Residents TL Met Weekend with your beloved family, Still Discipline Prokes, PPKM with Red and White Spirit</v>
      </c>
    </row>
    <row r="5077" ht="15.75" customHeight="1">
      <c r="A5077" s="2">
        <v>5079.0</v>
      </c>
      <c r="B5077" s="5" t="s">
        <v>9318</v>
      </c>
      <c r="C5077" s="6">
        <v>2.0</v>
      </c>
      <c r="D5077" s="7" t="s">
        <v>9319</v>
      </c>
      <c r="E5077" s="8" t="str">
        <f>IFERROR(__xludf.DUMMYFUNCTION("googletranslate(D5077,""id"",""en"")"),"After the PPKM operates as usual KC Kelapa Gading?")</f>
        <v>After the PPKM operates as usual KC Kelapa Gading?</v>
      </c>
    </row>
    <row r="5078" ht="15.75" customHeight="1">
      <c r="A5078" s="2">
        <v>5080.0</v>
      </c>
      <c r="B5078" s="5" t="s">
        <v>9320</v>
      </c>
      <c r="C5078" s="6">
        <v>1.0</v>
      </c>
      <c r="D5078" s="7" t="s">
        <v>9321</v>
      </c>
      <c r="E5078" s="8" t="str">
        <f>IFERROR(__xludf.DUMMYFUNCTION("googletranslate(D5078,""id"",""en"")"),"Honestly this wants the month of Gaxi PPKM. Rindu also as soon as the WKT is still able to just buy cold moo or buy Taichan Snend at Vica's house. Trs the sadest for the first time mingdep watching the concert itself this pdhl's first svt concert, not the"&amp;" concert is fanmeet but yes the same")</f>
        <v>Honestly this wants the month of Gaxi PPKM. Rindu also as soon as the WKT is still able to just buy cold moo or buy Taichan Snend at Vica's house. Trs the sadest for the first time mingdep watching the concert itself this pdhl's first svt concert, not the concert is fanmeet but yes the same</v>
      </c>
    </row>
    <row r="5079" ht="15.75" customHeight="1">
      <c r="A5079" s="2">
        <v>5081.0</v>
      </c>
      <c r="B5079" s="5" t="s">
        <v>9322</v>
      </c>
      <c r="C5079" s="6">
        <v>1.0</v>
      </c>
      <c r="D5079" s="9" t="s">
        <v>9323</v>
      </c>
      <c r="E5079" s="8" t="str">
        <f>IFERROR(__xludf.DUMMYFUNCTION("googletranslate(D5079,""id"",""en"")"),"Use a little logic Napa?! PPKM people were told to be home but the need was told to look for it himself. Is that the need for free? Can you come alone?. Indeed, talking about hungry and the food comes? The people know Klo Lockdown who screamed precisely t"&amp;"he government. Because it can't afford it.")</f>
        <v>Use a little logic Napa?! PPKM people were told to be home but the need was told to look for it himself. Is that the need for free? Can you come alone?. Indeed, talking about hungry and the food comes? The people know Klo Lockdown who screamed precisely the government. Because it can't afford it.</v>
      </c>
    </row>
    <row r="5080" ht="15.75" customHeight="1">
      <c r="A5080" s="2">
        <v>5082.0</v>
      </c>
      <c r="B5080" s="5" t="s">
        <v>9324</v>
      </c>
      <c r="C5080" s="6">
        <v>1.0</v>
      </c>
      <c r="D5080" s="9" t="s">
        <v>9325</v>
      </c>
      <c r="E5080" s="8" t="str">
        <f>IFERROR(__xludf.DUMMYFUNCTION("googletranslate(D5080,""id"",""en"")"),"Hmm, the PPKM APK is the lockdown that was run with ignoring the answer according to the law?")</f>
        <v>Hmm, the PPKM APK is the lockdown that was run with ignoring the answer according to the law?</v>
      </c>
    </row>
    <row r="5081" ht="15.75" customHeight="1">
      <c r="A5081" s="2">
        <v>5083.0</v>
      </c>
      <c r="B5081" s="5" t="s">
        <v>9326</v>
      </c>
      <c r="C5081" s="6">
        <v>1.0</v>
      </c>
      <c r="D5081" s="9" t="s">
        <v>9327</v>
      </c>
      <c r="E5081" s="8" t="str">
        <f>IFERROR(__xludf.DUMMYFUNCTION("googletranslate(D5081,""id"",""en"")"),"Moon Maap Father ... I'm sir. .Kalo lokdon (quarantine), it is the people disruh stay at home, but smw needs covered by the negara.Kalo PPKM, it told the people at home, was told to find sendiri.Gimana kbtuhannya tp gk shouted pack. Just this a7x vocalist")</f>
        <v>Moon Maap Father ... I'm sir. .Kalo lokdon (quarantine), it is the people disruh stay at home, but smw needs covered by the negara.Kalo PPKM, it told the people at home, was told to find sendiri.Gimana kbtuhannya tp gk shouted pack. Just this a7x vocalist</v>
      </c>
    </row>
    <row r="5082" ht="15.75" customHeight="1">
      <c r="A5082" s="2">
        <v>5084.0</v>
      </c>
      <c r="B5082" s="5" t="s">
        <v>9328</v>
      </c>
      <c r="C5082" s="6">
        <v>2.0</v>
      </c>
      <c r="D5082" s="7" t="s">
        <v>9329</v>
      </c>
      <c r="E5082" s="8" t="str">
        <f>IFERROR(__xludf.DUMMYFUNCTION("googletranslate(D5082,""id"",""en"")"),"Haha because the indo brain likes gtuan content since the ppkm is getting longer")</f>
        <v>Haha because the indo brain likes gtuan content since the ppkm is getting longer</v>
      </c>
    </row>
    <row r="5083" ht="15.75" customHeight="1">
      <c r="A5083" s="2">
        <v>5085.0</v>
      </c>
      <c r="B5083" s="5" t="s">
        <v>9330</v>
      </c>
      <c r="C5083" s="6">
        <v>1.0</v>
      </c>
      <c r="D5083" s="9" t="s">
        <v>9331</v>
      </c>
      <c r="E5083" s="8" t="str">
        <f>IFERROR(__xludf.DUMMYFUNCTION("googletranslate(D5083,""id"",""en"")"),"Indeed extraordinary, sir, this president, he knows the PPKM, the people have screamed especially Lockdown is indeed extraordinary the genius but I don't choose him Loh sir")</f>
        <v>Indeed extraordinary, sir, this president, he knows the PPKM, the people have screamed especially Lockdown is indeed extraordinary the genius but I don't choose him Loh sir</v>
      </c>
    </row>
    <row r="5084" ht="15.75" customHeight="1">
      <c r="A5084" s="2">
        <v>5086.0</v>
      </c>
      <c r="B5084" s="5" t="s">
        <v>9332</v>
      </c>
      <c r="C5084" s="6">
        <v>1.0</v>
      </c>
      <c r="D5084" s="9" t="s">
        <v>9333</v>
      </c>
      <c r="E5084" s="8" t="str">
        <f>IFERROR(__xludf.DUMMYFUNCTION("googletranslate(D5084,""id"",""en"")"),"It seems like it must be reminiscent of bliau, different PPKM &amp; amp; Lockdown version of Quarantine Law ... Astaghfirullaah ...")</f>
        <v>It seems like it must be reminiscent of bliau, different PPKM &amp; amp; Lockdown version of Quarantine Law ... Astaghfirullaah ...</v>
      </c>
    </row>
    <row r="5085" ht="15.75" customHeight="1">
      <c r="A5085" s="2">
        <v>5087.0</v>
      </c>
      <c r="B5085" s="5" t="s">
        <v>9334</v>
      </c>
      <c r="C5085" s="6">
        <v>1.0</v>
      </c>
      <c r="D5085" s="9" t="s">
        <v>9335</v>
      </c>
      <c r="E5085" s="8" t="str">
        <f>IFERROR(__xludf.DUMMYFUNCTION("googletranslate(D5085,""id"",""en"")"),"Ppkm = lockdown outside of responsibility")</f>
        <v>Ppkm = lockdown outside of responsibility</v>
      </c>
    </row>
    <row r="5086" ht="15.75" customHeight="1">
      <c r="A5086" s="2">
        <v>5088.0</v>
      </c>
      <c r="B5086" s="5" t="s">
        <v>9336</v>
      </c>
      <c r="C5086" s="6">
        <v>1.0</v>
      </c>
      <c r="D5086" s="7" t="s">
        <v>9337</v>
      </c>
      <c r="E5086" s="8" t="str">
        <f>IFERROR(__xludf.DUMMYFUNCTION("googletranslate(D5086,""id"",""en"")"),"Quickly Do Lockdown Give Community Needs! It doesn't even discuss ""only the People's PPKM already screamed, let alone Lockdown""")</f>
        <v>Quickly Do Lockdown Give Community Needs! It doesn't even discuss "only the People's PPKM already screamed, let alone Lockdown"</v>
      </c>
    </row>
    <row r="5087" ht="15.75" customHeight="1">
      <c r="A5087" s="2">
        <v>5089.0</v>
      </c>
      <c r="B5087" s="5" t="s">
        <v>9338</v>
      </c>
      <c r="C5087" s="6">
        <v>3.0</v>
      </c>
      <c r="D5087" s="9" t="s">
        <v>9339</v>
      </c>
      <c r="E5087" s="8" t="str">
        <f>IFERROR(__xludf.DUMMYFUNCTION("googletranslate(D5087,""id"",""en"")"),"PPKM level, hopefully Covid-19 can disappear from the earth and the world ... Aamiin Karangploso City")</f>
        <v>PPKM level, hopefully Covid-19 can disappear from the earth and the world ... Aamiin Karangploso City</v>
      </c>
    </row>
    <row r="5088" ht="15.75" customHeight="1">
      <c r="A5088" s="2">
        <v>5090.0</v>
      </c>
      <c r="B5088" s="5" t="s">
        <v>9340</v>
      </c>
      <c r="C5088" s="6">
        <v>1.0</v>
      </c>
      <c r="D5088" s="7" t="s">
        <v>9341</v>
      </c>
      <c r="E5088" s="8" t="str">
        <f>IFERROR(__xludf.DUMMYFUNCTION("googletranslate(D5088,""id"",""en"")"),"Right again ppkm, maybe the same lane")</f>
        <v>Right again ppkm, maybe the same lane</v>
      </c>
    </row>
    <row r="5089" ht="15.75" customHeight="1">
      <c r="A5089" s="2">
        <v>5091.0</v>
      </c>
      <c r="B5089" s="5" t="s">
        <v>9342</v>
      </c>
      <c r="C5089" s="6">
        <v>1.0</v>
      </c>
      <c r="D5089" s="7" t="s">
        <v>9343</v>
      </c>
      <c r="E5089" s="8" t="str">
        <f>IFERROR(__xludf.DUMMYFUNCTION("googletranslate(D5089,""id"",""en"")"),"What your proposal fer .... PPKM proved to fail ...")</f>
        <v>What your proposal fer .... PPKM proved to fail ...</v>
      </c>
    </row>
    <row r="5090" ht="15.75" customHeight="1">
      <c r="A5090" s="2">
        <v>5092.0</v>
      </c>
      <c r="B5090" s="5" t="s">
        <v>9344</v>
      </c>
      <c r="C5090" s="6">
        <v>3.0</v>
      </c>
      <c r="D5090" s="9" t="s">
        <v>9344</v>
      </c>
      <c r="E5090" s="8" t="str">
        <f>IFERROR(__xludf.DUMMYFUNCTION("googletranslate(D5090,""id"",""en"")"),"Crazy salute BGt sm yourself, ga everywhere during PPKM. Yeah but go to the house of brother and vaccine cihuuyyy")</f>
        <v>Crazy salute BGt sm yourself, ga everywhere during PPKM. Yeah but go to the house of brother and vaccine cihuuyyy</v>
      </c>
    </row>
    <row r="5091" ht="15.75" customHeight="1">
      <c r="A5091" s="2">
        <v>5093.0</v>
      </c>
      <c r="B5091" s="5" t="s">
        <v>9345</v>
      </c>
      <c r="C5091" s="6">
        <v>2.0</v>
      </c>
      <c r="D5091" s="9" t="s">
        <v>9346</v>
      </c>
      <c r="E5091" s="8" t="str">
        <f>IFERROR(__xludf.DUMMYFUNCTION("googletranslate(D5091,""id"",""en"")"),"abis ppkm, and even then if jkt-bks")</f>
        <v>abis ppkm, and even then if jkt-bks</v>
      </c>
    </row>
    <row r="5092" ht="15.75" customHeight="1">
      <c r="A5092" s="2">
        <v>5094.0</v>
      </c>
      <c r="B5092" s="5" t="s">
        <v>9347</v>
      </c>
      <c r="C5092" s="6">
        <v>1.0</v>
      </c>
      <c r="D5092" s="7" t="s">
        <v>9348</v>
      </c>
      <c r="E5092" s="8" t="str">
        <f>IFERROR(__xludf.DUMMYFUNCTION("googletranslate(D5092,""id"",""en"")"),"The people screamed KRN PPKM limit but the government did not provide appropriate assistance. The people were told to be silent at home but not sufficient for their needs are still told to find their own efforts to lean people limited to businesses forbid"&amp;"den. Until there?")</f>
        <v>The people screamed KRN PPKM limit but the government did not provide appropriate assistance. The people were told to be silent at home but not sufficient for their needs are still told to find their own efforts to lean people limited to businesses forbidden. Until there?</v>
      </c>
    </row>
    <row r="5093" ht="15.75" customHeight="1">
      <c r="A5093" s="2">
        <v>5095.0</v>
      </c>
      <c r="B5093" s="5" t="s">
        <v>9349</v>
      </c>
      <c r="C5093" s="6">
        <v>2.0</v>
      </c>
      <c r="D5093" s="9" t="s">
        <v>9350</v>
      </c>
      <c r="E5093" s="8" t="str">
        <f>IFERROR(__xludf.DUMMYFUNCTION("googletranslate(D5093,""id"",""en"")"),"Morning min Ask for an annual extension now the system is what? Just like SBLM PPKM What are there changes? Thx hopefully healthy always min")</f>
        <v>Morning min Ask for an annual extension now the system is what? Just like SBLM PPKM What are there changes? Thx hopefully healthy always min</v>
      </c>
    </row>
    <row r="5094" ht="15.75" customHeight="1">
      <c r="A5094" s="2">
        <v>5096.0</v>
      </c>
      <c r="B5094" s="5" t="s">
        <v>9351</v>
      </c>
      <c r="C5094" s="6">
        <v>1.0</v>
      </c>
      <c r="D5094" s="7" t="s">
        <v>9352</v>
      </c>
      <c r="E5094" s="8" t="str">
        <f>IFERROR(__xludf.DUMMYFUNCTION("googletranslate(D5094,""id"",""en"")"),"yes there is no work, right to be unemployed because of PPKM")</f>
        <v>yes there is no work, right to be unemployed because of PPKM</v>
      </c>
    </row>
    <row r="5095" ht="15.75" customHeight="1">
      <c r="A5095" s="2">
        <v>5097.0</v>
      </c>
      <c r="B5095" s="5" t="s">
        <v>9353</v>
      </c>
      <c r="C5095" s="6">
        <v>2.0</v>
      </c>
      <c r="D5095" s="7" t="s">
        <v>9354</v>
      </c>
      <c r="E5095" s="8" t="str">
        <f>IFERROR(__xludf.DUMMYFUNCTION("googletranslate(D5095,""id"",""en"")"),"After ppkm playing kuy")</f>
        <v>After ppkm playing kuy</v>
      </c>
    </row>
    <row r="5096" ht="15.75" customHeight="1">
      <c r="A5096" s="2">
        <v>5098.0</v>
      </c>
      <c r="B5096" s="5" t="s">
        <v>9355</v>
      </c>
      <c r="C5096" s="6">
        <v>2.0</v>
      </c>
      <c r="D5096" s="7" t="s">
        <v>9356</v>
      </c>
      <c r="E5096" s="8" t="str">
        <f>IFERROR(__xludf.DUMMYFUNCTION("googletranslate(D5096,""id"",""en"")"),"Ppkm still open right?")</f>
        <v>Ppkm still open right?</v>
      </c>
    </row>
    <row r="5097" ht="15.75" customHeight="1">
      <c r="A5097" s="2">
        <v>5099.0</v>
      </c>
      <c r="B5097" s="5" t="s">
        <v>9357</v>
      </c>
      <c r="C5097" s="6">
        <v>2.0</v>
      </c>
      <c r="D5097" s="7" t="s">
        <v>9358</v>
      </c>
      <c r="E5097" s="8" t="str">
        <f>IFERROR(__xludf.DUMMYFUNCTION("googletranslate(D5097,""id"",""en"")"),"At home just wong yes ppkm kok")</f>
        <v>At home just wong yes ppkm kok</v>
      </c>
    </row>
    <row r="5098" ht="15.75" customHeight="1">
      <c r="A5098" s="2">
        <v>5100.0</v>
      </c>
      <c r="B5098" s="5" t="s">
        <v>9359</v>
      </c>
      <c r="C5098" s="6">
        <v>2.0</v>
      </c>
      <c r="D5098" s="9" t="s">
        <v>9360</v>
      </c>
      <c r="E5098" s="8" t="str">
        <f>IFERROR(__xludf.DUMMYFUNCTION("googletranslate(D5098,""id"",""en"")"),"Pak Rahlan, Lockdown &amp; Amp; PPKM Different Meaning. PAK Jokowi Ga Maybe Lockdown")</f>
        <v>Pak Rahlan, Lockdown &amp; Amp; PPKM Different Meaning. PAK Jokowi Ga Maybe Lockdown</v>
      </c>
    </row>
    <row r="5099" ht="15.75" customHeight="1">
      <c r="A5099" s="2">
        <v>5101.0</v>
      </c>
      <c r="B5099" s="5" t="s">
        <v>9361</v>
      </c>
      <c r="C5099" s="6">
        <v>1.0</v>
      </c>
      <c r="D5099" s="9" t="s">
        <v>9362</v>
      </c>
      <c r="E5099" s="8" t="str">
        <f>IFERROR(__xludf.DUMMYFUNCTION("googletranslate(D5099,""id"",""en"")"),"If you reject the PPKM, what is the solution ...?")</f>
        <v>If you reject the PPKM, what is the solution ...?</v>
      </c>
    </row>
    <row r="5100" ht="15.75" customHeight="1">
      <c r="A5100" s="2">
        <v>5102.0</v>
      </c>
      <c r="B5100" s="5" t="s">
        <v>9363</v>
      </c>
      <c r="C5100" s="6">
        <v>2.0</v>
      </c>
      <c r="D5100" s="7" t="s">
        <v>9364</v>
      </c>
      <c r="E5100" s="8" t="str">
        <f>IFERROR(__xludf.DUMMYFUNCTION("googletranslate(D5100,""id"",""en"")"),"Imagine when heavily heavily sitting after a person from the century to the century. ""Tau PPKM or Corona""?")</f>
        <v>Imagine when heavily heavily sitting after a person from the century to the century. "Tau PPKM or Corona"?</v>
      </c>
    </row>
    <row r="5101" ht="15.75" customHeight="1">
      <c r="A5101" s="2">
        <v>5103.0</v>
      </c>
      <c r="B5101" s="5" t="s">
        <v>9365</v>
      </c>
      <c r="C5101" s="6">
        <v>2.0</v>
      </c>
      <c r="D5101" s="9" t="s">
        <v>9366</v>
      </c>
      <c r="E5101" s="8" t="str">
        <f>IFERROR(__xludf.DUMMYFUNCTION("googletranslate(D5101,""id"",""en"")"),"What so screaming on the PPKM is it? Then does it factor with ADS on Lockdown?")</f>
        <v>What so screaming on the PPKM is it? Then does it factor with ADS on Lockdown?</v>
      </c>
    </row>
    <row r="5102" ht="15.75" customHeight="1">
      <c r="A5102" s="2">
        <v>5104.0</v>
      </c>
      <c r="B5102" s="5" t="s">
        <v>9367</v>
      </c>
      <c r="C5102" s="6">
        <v>2.0</v>
      </c>
      <c r="D5102" s="7" t="s">
        <v>9368</v>
      </c>
      <c r="E5102" s="8" t="str">
        <f>IFERROR(__xludf.DUMMYFUNCTION("googletranslate(D5102,""id"",""en"")"),"The quarantine is also sir. Other countries all Indonesian day aja ppkm only day")</f>
        <v>The quarantine is also sir. Other countries all Indonesian day aja ppkm only day</v>
      </c>
    </row>
    <row r="5103" ht="15.75" customHeight="1">
      <c r="A5103" s="2">
        <v>5105.0</v>
      </c>
      <c r="B5103" s="5" t="s">
        <v>9369</v>
      </c>
      <c r="C5103" s="6">
        <v>3.0</v>
      </c>
      <c r="D5103" s="9" t="s">
        <v>9370</v>
      </c>
      <c r="E5103" s="8" t="str">
        <f>IFERROR(__xludf.DUMMYFUNCTION("googletranslate(D5103,""id"",""en"")"),". Don't abide, don't be negligent. Obey the prokesnya ppkm succeeded in pressing the spread of the couplet surge. Help the nakes and volunteers")</f>
        <v>. Don't abide, don't be negligent. Obey the prokesnya ppkm succeeded in pressing the spread of the couplet surge. Help the nakes and volunteers</v>
      </c>
    </row>
    <row r="5104" ht="15.75" customHeight="1">
      <c r="A5104" s="2">
        <v>5106.0</v>
      </c>
      <c r="B5104" s="5" t="s">
        <v>9371</v>
      </c>
      <c r="C5104" s="6">
        <v>1.0</v>
      </c>
      <c r="D5104" s="7" t="s">
        <v>9372</v>
      </c>
      <c r="E5104" s="8" t="str">
        <f>IFERROR(__xludf.DUMMYFUNCTION("googletranslate(D5104,""id"",""en"")"),"Just screaming ppkm ... it means I'm admitted that it's not good, it's not skyrocketed ... So what do you want to build a new capital?")</f>
        <v>Just screaming ppkm ... it means I'm admitted that it's not good, it's not skyrocketed ... So what do you want to build a new capital?</v>
      </c>
    </row>
    <row r="5105" ht="15.75" customHeight="1">
      <c r="A5105" s="2">
        <v>5107.0</v>
      </c>
      <c r="B5105" s="5" t="s">
        <v>9373</v>
      </c>
      <c r="C5105" s="6">
        <v>2.0</v>
      </c>
      <c r="D5105" s="7" t="s">
        <v>9374</v>
      </c>
      <c r="E5105" s="8" t="str">
        <f>IFERROR(__xludf.DUMMYFUNCTION("googletranslate(D5105,""id"",""en"")"),"Gaskeunnnn kak, ayok abis ppkm")</f>
        <v>Gaskeunnnn kak, ayok abis ppkm</v>
      </c>
    </row>
    <row r="5106" ht="15.75" customHeight="1">
      <c r="A5106" s="2">
        <v>5108.0</v>
      </c>
      <c r="B5106" s="5" t="s">
        <v>9375</v>
      </c>
      <c r="C5106" s="6">
        <v>1.0</v>
      </c>
      <c r="D5106" s="7" t="s">
        <v>9376</v>
      </c>
      <c r="E5106" s="8" t="str">
        <f>IFERROR(__xludf.DUMMYFUNCTION("googletranslate(D5106,""id"",""en"")"),"PPKM transforms into depopulation. Slowly you die. Welcome and success to the regime that managed to reduce the population.")</f>
        <v>PPKM transforms into depopulation. Slowly you die. Welcome and success to the regime that managed to reduce the population.</v>
      </c>
    </row>
    <row r="5107" ht="15.75" customHeight="1">
      <c r="A5107" s="2">
        <v>5109.0</v>
      </c>
      <c r="B5107" s="5" t="s">
        <v>9377</v>
      </c>
      <c r="C5107" s="6">
        <v>2.0</v>
      </c>
      <c r="D5107" s="9" t="s">
        <v>9378</v>
      </c>
      <c r="E5107" s="8" t="str">
        <f>IFERROR(__xludf.DUMMYFUNCTION("googletranslate(D5107,""id"",""en"")"),"Data on Covid-19 Daily Transmission Case, Days Moving Average. Emergency PPKM Implemented, only DKI Jakarta, whose daily transmission cases managed to fall below the emergency PPKM before PPKM.")</f>
        <v>Data on Covid-19 Daily Transmission Case, Days Moving Average. Emergency PPKM Implemented, only DKI Jakarta, whose daily transmission cases managed to fall below the emergency PPKM before PPKM.</v>
      </c>
    </row>
    <row r="5108" ht="15.75" customHeight="1">
      <c r="A5108" s="2">
        <v>5110.0</v>
      </c>
      <c r="B5108" s="5" t="s">
        <v>9379</v>
      </c>
      <c r="C5108" s="6">
        <v>2.0</v>
      </c>
      <c r="D5108" s="9" t="s">
        <v>9379</v>
      </c>
      <c r="E5108" s="8" t="str">
        <f>IFERROR(__xludf.DUMMYFUNCTION("googletranslate(D5108,""id"",""en"")"),"August? Hopefully PPKM quickly passes")</f>
        <v>August? Hopefully PPKM quickly passes</v>
      </c>
    </row>
    <row r="5109" ht="15.75" customHeight="1">
      <c r="A5109" s="2">
        <v>5111.0</v>
      </c>
      <c r="B5109" s="5" t="s">
        <v>9380</v>
      </c>
      <c r="C5109" s="6">
        <v>2.0</v>
      </c>
      <c r="D5109" s="9" t="s">
        <v>9381</v>
      </c>
      <c r="E5109" s="8" t="str">
        <f>IFERROR(__xludf.DUMMYFUNCTION("googletranslate(D5109,""id"",""en"")"),"Who doesn't know this area? Photos taken in the Kodam field area. In the past, it was crowded with traders, culinary, and memories with Arek. WKWK, hopefully later it can be here again after PPKM.")</f>
        <v>Who doesn't know this area? Photos taken in the Kodam field area. In the past, it was crowded with traders, culinary, and memories with Arek. WKWK, hopefully later it can be here again after PPKM.</v>
      </c>
    </row>
    <row r="5110" ht="15.75" customHeight="1">
      <c r="A5110" s="2">
        <v>5112.0</v>
      </c>
      <c r="B5110" s="5" t="s">
        <v>9382</v>
      </c>
      <c r="C5110" s="6">
        <v>3.0</v>
      </c>
      <c r="D5110" s="9" t="s">
        <v>9383</v>
      </c>
      <c r="E5110" s="8" t="str">
        <f>IFERROR(__xludf.DUMMYFUNCTION("googletranslate(D5110,""id"",""en"")"),"First my mother was on the afternoon next to my rmh. Sebih bgt. But now it's already possible. Because of the PPKM, he took part in PPKM WKWK.")</f>
        <v>First my mother was on the afternoon next to my rmh. Sebih bgt. But now it's already possible. Because of the PPKM, he took part in PPKM WKWK.</v>
      </c>
    </row>
    <row r="5111" ht="15.75" customHeight="1">
      <c r="A5111" s="2">
        <v>5113.0</v>
      </c>
      <c r="B5111" s="5" t="s">
        <v>9384</v>
      </c>
      <c r="C5111" s="6">
        <v>2.0</v>
      </c>
      <c r="D5111" s="9" t="s">
        <v>9385</v>
      </c>
      <c r="E5111" s="8" t="str">
        <f>IFERROR(__xludf.DUMMYFUNCTION("googletranslate(D5111,""id"",""en"")"),"If it's mingdep, it's not ppkm and can you get out of bekasi, yeah, bro, come on! The point is to add it, yeah, it costs me, hehe. If the gosend will add again but I'm looking for a cheap one, so it's not a lot of costs")</f>
        <v>If it's mingdep, it's not ppkm and can you get out of bekasi, yeah, bro, come on! The point is to add it, yeah, it costs me, hehe. If the gosend will add again but I'm looking for a cheap one, so it's not a lot of costs</v>
      </c>
    </row>
    <row r="5112" ht="15.75" customHeight="1">
      <c r="A5112" s="2">
        <v>5114.0</v>
      </c>
      <c r="B5112" s="5" t="s">
        <v>9386</v>
      </c>
      <c r="C5112" s="6">
        <v>1.0</v>
      </c>
      <c r="D5112" s="7" t="s">
        <v>9387</v>
      </c>
      <c r="E5112" s="8" t="str">
        <f>IFERROR(__xludf.DUMMYFUNCTION("googletranslate(D5112,""id"",""en"")"),"Ppkm even business party skskskorg new wedding is just a gest, the rich time is the quota of org hahahah, just coupled")</f>
        <v>Ppkm even business party skskskorg new wedding is just a gest, the rich time is the quota of org hahahah, just coupled</v>
      </c>
    </row>
    <row r="5113" ht="15.75" customHeight="1">
      <c r="A5113" s="2">
        <v>5115.0</v>
      </c>
      <c r="B5113" s="5" t="s">
        <v>9388</v>
      </c>
      <c r="C5113" s="6">
        <v>1.0</v>
      </c>
      <c r="D5113" s="7" t="s">
        <v>9389</v>
      </c>
      <c r="E5113" s="8" t="str">
        <f>IFERROR(__xludf.DUMMYFUNCTION("googletranslate(D5113,""id"",""en"")"),"It should be today to leave for Wiyung for fun. Gara2 PPKM JD Virtual. DHLH.")</f>
        <v>It should be today to leave for Wiyung for fun. Gara2 PPKM JD Virtual. DHLH.</v>
      </c>
    </row>
    <row r="5114" ht="15.75" customHeight="1">
      <c r="A5114" s="2">
        <v>5116.0</v>
      </c>
      <c r="B5114" s="5" t="s">
        <v>9390</v>
      </c>
      <c r="C5114" s="6">
        <v>2.0</v>
      </c>
      <c r="D5114" s="9" t="s">
        <v>9391</v>
      </c>
      <c r="E5114" s="8" t="str">
        <f>IFERROR(__xludf.DUMMYFUNCTION("googletranslate(D5114,""id"",""en"")"),"ready to be ready if I am the impression of PPKM")</f>
        <v>ready to be ready if I am the impression of PPKM</v>
      </c>
    </row>
    <row r="5115" ht="15.75" customHeight="1">
      <c r="A5115" s="2">
        <v>5117.0</v>
      </c>
      <c r="B5115" s="5" t="s">
        <v>9392</v>
      </c>
      <c r="C5115" s="6">
        <v>1.0</v>
      </c>
      <c r="D5115" s="7" t="s">
        <v>9393</v>
      </c>
      <c r="E5115" s="8" t="str">
        <f>IFERROR(__xludf.DUMMYFUNCTION("googletranslate(D5115,""id"",""en"")"),"Early in the morning OverThinking PPKM will be extended or not")</f>
        <v>Early in the morning OverThinking PPKM will be extended or not</v>
      </c>
    </row>
    <row r="5116" ht="15.75" customHeight="1">
      <c r="A5116" s="2">
        <v>5118.0</v>
      </c>
      <c r="B5116" s="5" t="s">
        <v>9394</v>
      </c>
      <c r="C5116" s="6">
        <v>1.0</v>
      </c>
      <c r="D5116" s="7" t="s">
        <v>9395</v>
      </c>
      <c r="E5116" s="8" t="str">
        <f>IFERROR(__xludf.DUMMYFUNCTION("googletranslate(D5116,""id"",""en"")"),"PPKM when is the trailing of SIKK. Tired of branch backup people continue. Want to go to your own branch")</f>
        <v>PPKM when is the trailing of SIKK. Tired of branch backup people continue. Want to go to your own branch</v>
      </c>
    </row>
    <row r="5117" ht="15.75" customHeight="1">
      <c r="A5117" s="2">
        <v>5119.0</v>
      </c>
      <c r="B5117" s="5" t="s">
        <v>9396</v>
      </c>
      <c r="C5117" s="6">
        <v>2.0</v>
      </c>
      <c r="D5117" s="10" t="s">
        <v>9397</v>
      </c>
      <c r="E5117" s="8" t="str">
        <f>IFERROR(__xludf.DUMMYFUNCTION("googletranslate(D5117,""id"",""en"")"),"PPKM WOI.")</f>
        <v>PPKM WOI.</v>
      </c>
    </row>
    <row r="5118" ht="15.75" customHeight="1">
      <c r="A5118" s="2">
        <v>5120.0</v>
      </c>
      <c r="B5118" s="5" t="s">
        <v>9398</v>
      </c>
      <c r="C5118" s="6">
        <v>1.0</v>
      </c>
      <c r="D5118" s="9" t="s">
        <v>9399</v>
      </c>
      <c r="E5118" s="8" t="str">
        <f>IFERROR(__xludf.DUMMYFUNCTION("googletranslate(D5118,""id"",""en"")"),"Yes, just come here, you can get a photo, ""again, eh, but don't first be a ppkm")</f>
        <v>Yes, just come here, you can get a photo, "again, eh, but don't first be a ppkm</v>
      </c>
    </row>
    <row r="5119" ht="15.75" customHeight="1">
      <c r="A5119" s="2">
        <v>5121.0</v>
      </c>
      <c r="B5119" s="5" t="s">
        <v>9400</v>
      </c>
      <c r="C5119" s="6">
        <v>3.0</v>
      </c>
      <c r="D5119" s="7" t="s">
        <v>9401</v>
      </c>
      <c r="E5119" s="8" t="str">
        <f>IFERROR(__xludf.DUMMYFUNCTION("googletranslate(D5119,""id"",""en"")"),"Extension of PPKM Forms Government Commitment Prioritizing People's Health Fighting against Pandemics")</f>
        <v>Extension of PPKM Forms Government Commitment Prioritizing People's Health Fighting against Pandemics</v>
      </c>
    </row>
    <row r="5120" ht="15.75" customHeight="1">
      <c r="A5120" s="2">
        <v>5122.0</v>
      </c>
      <c r="B5120" s="5" t="s">
        <v>9402</v>
      </c>
      <c r="C5120" s="6">
        <v>2.0</v>
      </c>
      <c r="D5120" s="10" t="s">
        <v>9403</v>
      </c>
      <c r="E5120" s="8" t="str">
        <f>IFERROR(__xludf.DUMMYFUNCTION("googletranslate(D5120,""id"",""en"")"),"PPKM Kelon.")</f>
        <v>PPKM Kelon.</v>
      </c>
    </row>
    <row r="5121" ht="15.75" customHeight="1">
      <c r="A5121" s="2">
        <v>5123.0</v>
      </c>
      <c r="B5121" s="5" t="s">
        <v>9404</v>
      </c>
      <c r="C5121" s="6">
        <v>1.0</v>
      </c>
      <c r="D5121" s="9" t="s">
        <v>9405</v>
      </c>
      <c r="E5121" s="8" t="str">
        <f>IFERROR(__xludf.DUMMYFUNCTION("googletranslate(D5121,""id"",""en"")"),"So ngehalu holiday mulu..fek ppkm hadoohh")</f>
        <v>So ngehalu holiday mulu..fek ppkm hadoohh</v>
      </c>
    </row>
    <row r="5122" ht="15.75" customHeight="1">
      <c r="A5122" s="2">
        <v>5124.0</v>
      </c>
      <c r="B5122" s="5" t="s">
        <v>9406</v>
      </c>
      <c r="C5122" s="6">
        <v>1.0</v>
      </c>
      <c r="D5122" s="9" t="s">
        <v>9407</v>
      </c>
      <c r="E5122" s="8" t="str">
        <f>IFERROR(__xludf.DUMMYFUNCTION("googletranslate(D5122,""id"",""en"")"),"EMG the ancestors of Jokowi jg told the ppkm ga kluar house but the people are not mentioned, but tax from the people hooked")</f>
        <v>EMG the ancestors of Jokowi jg told the ppkm ga kluar house but the people are not mentioned, but tax from the people hooked</v>
      </c>
    </row>
    <row r="5123" ht="15.75" customHeight="1">
      <c r="A5123" s="2">
        <v>5125.0</v>
      </c>
      <c r="B5123" s="5" t="s">
        <v>9408</v>
      </c>
      <c r="C5123" s="6">
        <v>1.0</v>
      </c>
      <c r="D5123" s="7" t="s">
        <v>9408</v>
      </c>
      <c r="E5123" s="8" t="str">
        <f>IFERROR(__xludf.DUMMYFUNCTION("googletranslate(D5123,""id"",""en"")"),"The effect of the PPKM this time is really masyaallah, at important moments ~")</f>
        <v>The effect of the PPKM this time is really masyaallah, at important moments ~</v>
      </c>
    </row>
    <row r="5124" ht="15.75" customHeight="1">
      <c r="A5124" s="2">
        <v>5126.0</v>
      </c>
      <c r="B5124" s="5" t="s">
        <v>9409</v>
      </c>
      <c r="C5124" s="6">
        <v>1.0</v>
      </c>
      <c r="D5124" s="7" t="s">
        <v>9409</v>
      </c>
      <c r="E5124" s="8" t="str">
        <f>IFERROR(__xludf.DUMMYFUNCTION("googletranslate(D5124,""id"",""en"")"),"PPKM extended LG GK, huh ?? Unvoring you !!")</f>
        <v>PPKM extended LG GK, huh ?? Unvoring you !!</v>
      </c>
    </row>
    <row r="5125" ht="15.75" customHeight="1">
      <c r="A5125" s="2">
        <v>5127.0</v>
      </c>
      <c r="B5125" s="5" t="s">
        <v>9410</v>
      </c>
      <c r="C5125" s="6">
        <v>1.0</v>
      </c>
      <c r="D5125" s="7" t="s">
        <v>9411</v>
      </c>
      <c r="E5125" s="8" t="str">
        <f>IFERROR(__xludf.DUMMYFUNCTION("googletranslate(D5125,""id"",""en"")"),"Exercise yaa just practice ... knp must be dizzy PPKM? PSSI SPT Organizations Prohibited Afraid for Exercise")</f>
        <v>Exercise yaa just practice ... knp must be dizzy PPKM? PSSI SPT Organizations Prohibited Afraid for Exercise</v>
      </c>
    </row>
    <row r="5126" ht="15.75" customHeight="1">
      <c r="A5126" s="2">
        <v>5128.0</v>
      </c>
      <c r="B5126" s="5" t="s">
        <v>9412</v>
      </c>
      <c r="C5126" s="6">
        <v>2.0</v>
      </c>
      <c r="D5126" s="9" t="s">
        <v>9413</v>
      </c>
      <c r="E5126" s="8" t="str">
        <f>IFERROR(__xludf.DUMMYFUNCTION("googletranslate(D5126,""id"",""en"")"),"Loh, it's not a ppkm")</f>
        <v>Loh, it's not a ppkm</v>
      </c>
    </row>
    <row r="5127" ht="15.75" customHeight="1">
      <c r="A5127" s="2">
        <v>5129.0</v>
      </c>
      <c r="B5127" s="5" t="s">
        <v>9414</v>
      </c>
      <c r="C5127" s="6">
        <v>1.0</v>
      </c>
      <c r="D5127" s="9" t="s">
        <v>9415</v>
      </c>
      <c r="E5127" s="8" t="str">
        <f>IFERROR(__xludf.DUMMYFUNCTION("googletranslate(D5127,""id"",""en"")"),"But if I'm not going to come. Fear of Cororong and still PPKM too. There is still a parent life that must be taken care of the same friend friend")</f>
        <v>But if I'm not going to come. Fear of Cororong and still PPKM too. There is still a parent life that must be taken care of the same friend friend</v>
      </c>
    </row>
    <row r="5128" ht="15.75" customHeight="1">
      <c r="A5128" s="2">
        <v>5130.0</v>
      </c>
      <c r="B5128" s="5" t="s">
        <v>9416</v>
      </c>
      <c r="C5128" s="6">
        <v>2.0</v>
      </c>
      <c r="D5128" s="7" t="s">
        <v>9417</v>
      </c>
      <c r="E5128" s="8" t="str">
        <f>IFERROR(__xludf.DUMMYFUNCTION("googletranslate(D5128,""id"",""en"")"),"H-1 PPKM Ni, Kira Kira Pakde Wants to Ngumumin Extension Ndak Yaa")</f>
        <v>H-1 PPKM Ni, Kira Kira Pakde Wants to Ngumumin Extension Ndak Yaa</v>
      </c>
    </row>
    <row r="5129" ht="15.75" customHeight="1">
      <c r="A5129" s="2">
        <v>5131.0</v>
      </c>
      <c r="B5129" s="5" t="s">
        <v>9418</v>
      </c>
      <c r="C5129" s="6">
        <v>3.0</v>
      </c>
      <c r="D5129" s="7" t="s">
        <v>9401</v>
      </c>
      <c r="E5129" s="8" t="str">
        <f>IFERROR(__xludf.DUMMYFUNCTION("googletranslate(D5129,""id"",""en"")"),"Extension of PPKM Forms Government Commitment Prioritizing People's Health Fighting against Pandemics")</f>
        <v>Extension of PPKM Forms Government Commitment Prioritizing People's Health Fighting against Pandemics</v>
      </c>
    </row>
    <row r="5130" ht="15.75" customHeight="1">
      <c r="A5130" s="2">
        <v>5132.0</v>
      </c>
      <c r="B5130" s="5" t="s">
        <v>9419</v>
      </c>
      <c r="C5130" s="6">
        <v>2.0</v>
      </c>
      <c r="D5130" s="7" t="s">
        <v>9420</v>
      </c>
      <c r="E5130" s="8" t="str">
        <f>IFERROR(__xludf.DUMMYFUNCTION("googletranslate(D5130,""id"",""en"")"),"Don't the road still PPKM, it's better to go home while nton netflix n eat martabak")</f>
        <v>Don't the road still PPKM, it's better to go home while nton netflix n eat martabak</v>
      </c>
    </row>
    <row r="5131" ht="15.75" customHeight="1">
      <c r="A5131" s="2">
        <v>5133.0</v>
      </c>
      <c r="B5131" s="5" t="s">
        <v>9421</v>
      </c>
      <c r="C5131" s="6">
        <v>1.0</v>
      </c>
      <c r="D5131" s="9" t="s">
        <v>9421</v>
      </c>
      <c r="E5131" s="8" t="str">
        <f>IFERROR(__xludf.DUMMYFUNCTION("googletranslate(D5131,""id"",""en"")"),"Wonder Gw with org2. On wanting to go to PPKM, but it's just a projection, you don't want to. Want covid finished but pke mask kgk, don't want to be vaccal -_- weird -_-")</f>
        <v>Wonder Gw with org2. On wanting to go to PPKM, but it's just a projection, you don't want to. Want covid finished but pke mask kgk, don't want to be vaccal -_- weird -_-</v>
      </c>
    </row>
    <row r="5132" ht="15.75" customHeight="1">
      <c r="A5132" s="2">
        <v>5134.0</v>
      </c>
      <c r="B5132" s="5" t="s">
        <v>9422</v>
      </c>
      <c r="C5132" s="6">
        <v>3.0</v>
      </c>
      <c r="D5132" s="7" t="s">
        <v>9423</v>
      </c>
      <c r="E5132" s="8" t="str">
        <f>IFERROR(__xludf.DUMMYFUNCTION("googletranslate(D5132,""id"",""en"")"),"Sunny week, keep enthusiasm even though ppkm")</f>
        <v>Sunny week, keep enthusiasm even though ppkm</v>
      </c>
    </row>
    <row r="5133" ht="15.75" customHeight="1">
      <c r="A5133" s="2">
        <v>5135.0</v>
      </c>
      <c r="B5133" s="5" t="s">
        <v>9424</v>
      </c>
      <c r="C5133" s="6">
        <v>2.0</v>
      </c>
      <c r="D5133" s="7" t="s">
        <v>9425</v>
      </c>
      <c r="E5133" s="8" t="str">
        <f>IFERROR(__xludf.DUMMYFUNCTION("googletranslate(D5133,""id"",""en"")"),"The field is also the same as a doctor again rain ... hopefully it doesn't penetrate frame ... the ppkm is also the same as Jakarta")</f>
        <v>The field is also the same as a doctor again rain ... hopefully it doesn't penetrate frame ... the ppkm is also the same as Jakarta</v>
      </c>
    </row>
    <row r="5134" ht="15.75" customHeight="1">
      <c r="A5134" s="2">
        <v>5136.0</v>
      </c>
      <c r="B5134" s="5" t="s">
        <v>9426</v>
      </c>
      <c r="C5134" s="6">
        <v>3.0</v>
      </c>
      <c r="D5134" s="9" t="s">
        <v>9427</v>
      </c>
      <c r="E5134" s="8" t="str">
        <f>IFERROR(__xludf.DUMMYFUNCTION("googletranslate(D5134,""id"",""en"")"),"Kuy gas gas after a long break because of PPKM and latsar, started thin again, the full gpp road first adjusted first")</f>
        <v>Kuy gas gas after a long break because of PPKM and latsar, started thin again, the full gpp road first adjusted first</v>
      </c>
    </row>
    <row r="5135" ht="15.75" customHeight="1">
      <c r="A5135" s="2">
        <v>5137.0</v>
      </c>
      <c r="B5135" s="5" t="s">
        <v>9428</v>
      </c>
      <c r="C5135" s="6">
        <v>1.0</v>
      </c>
      <c r="D5135" s="7" t="s">
        <v>9429</v>
      </c>
      <c r="E5135" s="8" t="str">
        <f>IFERROR(__xludf.DUMMYFUNCTION("googletranslate(D5135,""id"",""en"")"),"Lae down the spaciousness, how do the traders scream because PPKM, the law castrated, the law is made at will ... still just lie here and there")</f>
        <v>Lae down the spaciousness, how do the traders scream because PPKM, the law castrated, the law is made at will ... still just lie here and there</v>
      </c>
    </row>
    <row r="5136" ht="15.75" customHeight="1">
      <c r="A5136" s="2">
        <v>5138.0</v>
      </c>
      <c r="B5136" s="5" t="s">
        <v>9430</v>
      </c>
      <c r="C5136" s="6">
        <v>2.0</v>
      </c>
      <c r="D5136" s="7" t="s">
        <v>9431</v>
      </c>
      <c r="E5136" s="8" t="str">
        <f>IFERROR(__xludf.DUMMYFUNCTION("googletranslate(D5136,""id"",""en"")"),"It is true that it is pendi but it's different from your opinion with LBP which from the beginning support PSBB and PPKM, vaccines become options.")</f>
        <v>It is true that it is pendi but it's different from your opinion with LBP which from the beginning support PSBB and PPKM, vaccines become options.</v>
      </c>
    </row>
    <row r="5137" ht="15.75" customHeight="1">
      <c r="A5137" s="2">
        <v>5139.0</v>
      </c>
      <c r="B5137" s="5" t="s">
        <v>9432</v>
      </c>
      <c r="C5137" s="6">
        <v>1.0</v>
      </c>
      <c r="D5137" s="7" t="s">
        <v>9433</v>
      </c>
      <c r="E5137" s="8" t="str">
        <f>IFERROR(__xludf.DUMMYFUNCTION("googletranslate(D5137,""id"",""en"")"),"I also fucked at the billboards, he was on the road, this pandemic drpd the money to install billboards was better for love that was affected by PPKM. The four is used with a little dunk mpok")</f>
        <v>I also fucked at the billboards, he was on the road, this pandemic drpd the money to install billboards was better for love that was affected by PPKM. The four is used with a little dunk mpok</v>
      </c>
    </row>
    <row r="5138" ht="15.75" customHeight="1">
      <c r="A5138" s="2">
        <v>5140.0</v>
      </c>
      <c r="B5138" s="5" t="s">
        <v>9434</v>
      </c>
      <c r="C5138" s="6">
        <v>1.0</v>
      </c>
      <c r="D5138" s="7" t="s">
        <v>9435</v>
      </c>
      <c r="E5138" s="8" t="str">
        <f>IFERROR(__xludf.DUMMYFUNCTION("googletranslate(D5138,""id"",""en"")"),"Chief of Langgar PPKM, LBP SM JKW who apologized to make PPKM rules")</f>
        <v>Chief of Langgar PPKM, LBP SM JKW who apologized to make PPKM rules</v>
      </c>
    </row>
    <row r="5139" ht="15.75" customHeight="1">
      <c r="A5139" s="2">
        <v>5141.0</v>
      </c>
      <c r="B5139" s="5" t="s">
        <v>9436</v>
      </c>
      <c r="C5139" s="6">
        <v>2.0</v>
      </c>
      <c r="D5139" s="10" t="s">
        <v>9437</v>
      </c>
      <c r="E5139" s="8" t="str">
        <f>IFERROR(__xludf.DUMMYFUNCTION("googletranslate(D5139,""id"",""en"")"),"PPKM at SJ's house")</f>
        <v>PPKM at SJ's house</v>
      </c>
    </row>
    <row r="5140" ht="15.75" customHeight="1">
      <c r="A5140" s="2">
        <v>5142.0</v>
      </c>
      <c r="B5140" s="5" t="s">
        <v>9438</v>
      </c>
      <c r="C5140" s="6">
        <v>3.0</v>
      </c>
      <c r="D5140" s="9" t="s">
        <v>9439</v>
      </c>
      <c r="E5140" s="8" t="str">
        <f>IFERROR(__xludf.DUMMYFUNCTION("googletranslate(D5140,""id"",""en"")"),"Good morning guys, don't forget to worship even though the PPKM but the relationship between the Lord Jesus Gab by PPKM is also a GBU All")</f>
        <v>Good morning guys, don't forget to worship even though the PPKM but the relationship between the Lord Jesus Gab by PPKM is also a GBU All</v>
      </c>
    </row>
    <row r="5141" ht="15.75" customHeight="1">
      <c r="A5141" s="2">
        <v>5143.0</v>
      </c>
      <c r="B5141" s="5" t="s">
        <v>9440</v>
      </c>
      <c r="C5141" s="6">
        <v>3.0</v>
      </c>
      <c r="D5141" s="7" t="s">
        <v>9441</v>
      </c>
      <c r="E5141" s="8" t="str">
        <f>IFERROR(__xludf.DUMMYFUNCTION("googletranslate(D5141,""id"",""en"")"),"-Rek my merchandise is selling well, just you can sell after the PPKM thanks HV A Nice Day")</f>
        <v>-Rek my merchandise is selling well, just you can sell after the PPKM thanks HV A Nice Day</v>
      </c>
    </row>
    <row r="5142" ht="15.75" customHeight="1">
      <c r="A5142" s="2">
        <v>5144.0</v>
      </c>
      <c r="B5142" s="5" t="s">
        <v>9442</v>
      </c>
      <c r="C5142" s="6">
        <v>1.0</v>
      </c>
      <c r="D5142" s="7" t="s">
        <v>9443</v>
      </c>
      <c r="E5142" s="8" t="str">
        <f>IFERROR(__xludf.DUMMYFUNCTION("googletranslate(D5142,""id"",""en"")"),"Lockdown, the people of Stay at home government responsibility for people's needs according to the Act of Article Paragraph, Law. No. / 2018 TTG Kekaran Health, Article Law No. / 2007 TTG Disaster Management, Article Law No. TTG outbreaks of infectious di"&amp;"seases! What is the basic PPKM?")</f>
        <v>Lockdown, the people of Stay at home government responsibility for people's needs according to the Act of Article Paragraph, Law. No. / 2018 TTG Kekaran Health, Article Law No. / 2007 TTG Disaster Management, Article Law No. TTG outbreaks of infectious diseases! What is the basic PPKM?</v>
      </c>
    </row>
    <row r="5143" ht="15.75" customHeight="1">
      <c r="A5143" s="2">
        <v>5145.0</v>
      </c>
      <c r="B5143" s="5" t="s">
        <v>9444</v>
      </c>
      <c r="C5143" s="6">
        <v>2.0</v>
      </c>
      <c r="D5143" s="9" t="s">
        <v>9445</v>
      </c>
      <c r="E5143" s="8" t="str">
        <f>IFERROR(__xludf.DUMMYFUNCTION("googletranslate(D5143,""id"",""en"")"),"Where is gays? ppkm it's been finished yet")</f>
        <v>Where is gays? ppkm it's been finished yet</v>
      </c>
    </row>
    <row r="5144" ht="15.75" customHeight="1">
      <c r="A5144" s="2">
        <v>5146.0</v>
      </c>
      <c r="B5144" s="5" t="s">
        <v>9446</v>
      </c>
      <c r="C5144" s="6">
        <v>1.0</v>
      </c>
      <c r="D5144" s="7" t="s">
        <v>9446</v>
      </c>
      <c r="E5144" s="8" t="str">
        <f>IFERROR(__xludf.DUMMYFUNCTION("googletranslate(D5144,""id"",""en"")"),"ppkm: morning morning getting mentally")</f>
        <v>ppkm: morning morning getting mentally</v>
      </c>
    </row>
    <row r="5145" ht="15.75" customHeight="1">
      <c r="A5145" s="2">
        <v>5147.0</v>
      </c>
      <c r="B5145" s="5" t="s">
        <v>9447</v>
      </c>
      <c r="C5145" s="6">
        <v>1.0</v>
      </c>
      <c r="D5145" s="7" t="s">
        <v>9448</v>
      </c>
      <c r="E5145" s="8" t="str">
        <f>IFERROR(__xludf.DUMMYFUNCTION("googletranslate(D5145,""id"",""en"")"),"Gegara PPKM whose name is Agus now Gaada is free to eat in August")</f>
        <v>Gegara PPKM whose name is Agus now Gaada is free to eat in August</v>
      </c>
    </row>
    <row r="5146" ht="15.75" customHeight="1">
      <c r="A5146" s="2">
        <v>5148.0</v>
      </c>
      <c r="B5146" s="5" t="s">
        <v>9449</v>
      </c>
      <c r="C5146" s="6">
        <v>1.0</v>
      </c>
      <c r="D5146" s="9" t="s">
        <v>9450</v>
      </c>
      <c r="E5146" s="8" t="str">
        <f>IFERROR(__xludf.DUMMYFUNCTION("googletranslate(D5146,""id"",""en"")"),"% Of the Indonesian people have installments, the minimalist installment of the ehh PPKM motor makes people's movements in the bulkhead and how do you pay installments,")</f>
        <v>% Of the Indonesian people have installments, the minimalist installment of the ehh PPKM motor makes people's movements in the bulkhead and how do you pay installments,</v>
      </c>
    </row>
    <row r="5147" ht="15.75" customHeight="1">
      <c r="A5147" s="2">
        <v>5149.0</v>
      </c>
      <c r="B5147" s="5" t="s">
        <v>9451</v>
      </c>
      <c r="C5147" s="6">
        <v>1.0</v>
      </c>
      <c r="D5147" s="9" t="s">
        <v>9452</v>
      </c>
      <c r="E5147" s="8" t="str">
        <f>IFERROR(__xludf.DUMMYFUNCTION("googletranslate(D5147,""id"",""en"")"),"TPI is honest, I'm Jogja out of the clock. Lonely Nyet Nyet, Marai Rrrr.Apaagi Pas PPKM, Kabeh Dead Lights, Dedet Peteng")</f>
        <v>TPI is honest, I'm Jogja out of the clock. Lonely Nyet Nyet, Marai Rrrr.Apaagi Pas PPKM, Kabeh Dead Lights, Dedet Peteng</v>
      </c>
    </row>
    <row r="5148" ht="15.75" customHeight="1">
      <c r="A5148" s="2">
        <v>5150.0</v>
      </c>
      <c r="B5148" s="5" t="s">
        <v>9453</v>
      </c>
      <c r="C5148" s="6">
        <v>1.0</v>
      </c>
      <c r="D5148" s="7" t="s">
        <v>9454</v>
      </c>
      <c r="E5148" s="8" t="str">
        <f>IFERROR(__xludf.DUMMYFUNCTION("googletranslate(D5148,""id"",""en"")"),"This sepait of life ppkm")</f>
        <v>This sepait of life ppkm</v>
      </c>
    </row>
    <row r="5149" ht="15.75" customHeight="1">
      <c r="A5149" s="2">
        <v>5151.0</v>
      </c>
      <c r="B5149" s="5" t="s">
        <v>9455</v>
      </c>
      <c r="C5149" s="6">
        <v>3.0</v>
      </c>
      <c r="D5149" s="9" t="s">
        <v>9456</v>
      </c>
      <c r="E5149" s="8" t="str">
        <f>IFERROR(__xludf.DUMMYFUNCTION("googletranslate(D5149,""id"",""en"")"),"Does the PPKM level need to be extended? From the perspective of the health and safety of the Indonesian people, certainly need to be extended. Even if it can be more assertive, not loosened. Welcome morning, healthy and happy greetings")</f>
        <v>Does the PPKM level need to be extended? From the perspective of the health and safety of the Indonesian people, certainly need to be extended. Even if it can be more assertive, not loosened. Welcome morning, healthy and happy greetings</v>
      </c>
    </row>
    <row r="5150" ht="15.75" customHeight="1">
      <c r="A5150" s="2">
        <v>5152.0</v>
      </c>
      <c r="B5150" s="5" t="s">
        <v>9457</v>
      </c>
      <c r="C5150" s="6">
        <v>2.0</v>
      </c>
      <c r="D5150" s="9" t="s">
        <v>9458</v>
      </c>
      <c r="E5150" s="8" t="str">
        <f>IFERROR(__xludf.DUMMYFUNCTION("googletranslate(D5150,""id"",""en"")"),"August Wish: Complete the UAS well, can travel out of town (if it's not ppkm), it's more diligent in sports, meet your family and friends who haven't met for a long time, and get sustenance that blesses so you can giveaway again.")</f>
        <v>August Wish: Complete the UAS well, can travel out of town (if it's not ppkm), it's more diligent in sports, meet your family and friends who haven't met for a long time, and get sustenance that blesses so you can giveaway again.</v>
      </c>
    </row>
    <row r="5151" ht="15.75" customHeight="1">
      <c r="A5151" s="2">
        <v>5153.0</v>
      </c>
      <c r="B5151" s="5" t="s">
        <v>9459</v>
      </c>
      <c r="C5151" s="6">
        <v>2.0</v>
      </c>
      <c r="D5151" s="7" t="s">
        <v>9460</v>
      </c>
      <c r="E5151" s="8" t="str">
        <f>IFERROR(__xludf.DUMMYFUNCTION("googletranslate(D5151,""id"",""en"")"),"tomorrow it's not ppkm")</f>
        <v>tomorrow it's not ppkm</v>
      </c>
    </row>
    <row r="5152" ht="15.75" customHeight="1">
      <c r="A5152" s="2">
        <v>5154.0</v>
      </c>
      <c r="B5152" s="5" t="s">
        <v>9461</v>
      </c>
      <c r="C5152" s="6">
        <v>2.0</v>
      </c>
      <c r="D5152" s="10" t="s">
        <v>9462</v>
      </c>
      <c r="E5152" s="8" t="str">
        <f>IFERROR(__xludf.DUMMYFUNCTION("googletranslate(D5152,""id"",""en"")"),"PPKM Bun.")</f>
        <v>PPKM Bun.</v>
      </c>
    </row>
    <row r="5153" ht="15.75" customHeight="1">
      <c r="A5153" s="2">
        <v>5155.0</v>
      </c>
      <c r="B5153" s="5" t="s">
        <v>9463</v>
      </c>
      <c r="C5153" s="6">
        <v>3.0</v>
      </c>
      <c r="D5153" s="7" t="s">
        <v>9464</v>
      </c>
      <c r="E5153" s="8" t="str">
        <f>IFERROR(__xludf.DUMMYFUNCTION("googletranslate(D5153,""id"",""en"")"),"Let's support PPKM to minimize the spread of Covid-19")</f>
        <v>Let's support PPKM to minimize the spread of Covid-19</v>
      </c>
    </row>
    <row r="5154" ht="15.75" customHeight="1">
      <c r="A5154" s="2">
        <v>5156.0</v>
      </c>
      <c r="B5154" s="5" t="s">
        <v>9465</v>
      </c>
      <c r="C5154" s="6">
        <v>2.0</v>
      </c>
      <c r="D5154" s="7" t="s">
        <v>9466</v>
      </c>
      <c r="E5154" s="8" t="str">
        <f>IFERROR(__xludf.DUMMYFUNCTION("googletranslate(D5154,""id"",""en"")"),"The ppkm of the person is in my house everywhere")</f>
        <v>The ppkm of the person is in my house everywhere</v>
      </c>
    </row>
    <row r="5155" ht="15.75" customHeight="1">
      <c r="A5155" s="2">
        <v>5157.0</v>
      </c>
      <c r="B5155" s="5" t="s">
        <v>9467</v>
      </c>
      <c r="C5155" s="6">
        <v>2.0</v>
      </c>
      <c r="D5155" s="7" t="s">
        <v>9468</v>
      </c>
      <c r="E5155" s="8" t="str">
        <f>IFERROR(__xludf.DUMMYFUNCTION("googletranslate(D5155,""id"",""en"")"),"Good morning. I want to ask. Is the existence of Java-Bali emergency PPKM affect the delivery of goods ???")</f>
        <v>Good morning. I want to ask. Is the existence of Java-Bali emergency PPKM affect the delivery of goods ???</v>
      </c>
    </row>
    <row r="5156" ht="15.75" customHeight="1">
      <c r="A5156" s="2">
        <v>5158.0</v>
      </c>
      <c r="B5156" s="5" t="s">
        <v>9469</v>
      </c>
      <c r="C5156" s="6">
        <v>2.0</v>
      </c>
      <c r="D5156" s="9" t="s">
        <v>9470</v>
      </c>
      <c r="E5156" s="8" t="str">
        <f>IFERROR(__xludf.DUMMYFUNCTION("googletranslate(D5156,""id"",""en"")"),"To the x to reject and my business is in vain so far the private gas, honest if it has lost competitiveness with the big ones, the contribution is far away, especially the parents have a problem, it doesn't matter what the important thing is to be a human"&amp;" being beneficial")</f>
        <v>To the x to reject and my business is in vain so far the private gas, honest if it has lost competitiveness with the big ones, the contribution is far away, especially the parents have a problem, it doesn't matter what the important thing is to be a human being beneficial</v>
      </c>
    </row>
    <row r="5157" ht="15.75" customHeight="1">
      <c r="A5157" s="2">
        <v>5159.0</v>
      </c>
      <c r="B5157" s="5" t="s">
        <v>9471</v>
      </c>
      <c r="C5157" s="6">
        <v>2.0</v>
      </c>
      <c r="D5157" s="7" t="s">
        <v>9472</v>
      </c>
      <c r="E5157" s="8" t="str">
        <f>IFERROR(__xludf.DUMMYFUNCTION("googletranslate(D5157,""id"",""en"")"),"It doesn't know the term PSBB, PPKM, Level -, Emergency PPKM.")</f>
        <v>It doesn't know the term PSBB, PPKM, Level -, Emergency PPKM.</v>
      </c>
    </row>
    <row r="5158" ht="15.75" customHeight="1">
      <c r="A5158" s="2">
        <v>5160.0</v>
      </c>
      <c r="B5158" s="5" t="s">
        <v>9473</v>
      </c>
      <c r="C5158" s="6">
        <v>1.0</v>
      </c>
      <c r="D5158" s="9" t="s">
        <v>9474</v>
      </c>
      <c r="E5158" s="8" t="str">
        <f>IFERROR(__xludf.DUMMYFUNCTION("googletranslate(D5158,""id"",""en"")"),"Not a matter of allergies with PPKM, the problem is masy. We are in general, many do not have a saving / savings to face PPKM.Bila Masy. Don't allergy ka BNPB need to find a solution too, don't like the security approach. The approach of HRS Social-Securi"&amp;"ty.")</f>
        <v>Not a matter of allergies with PPKM, the problem is masy. We are in general, many do not have a saving / savings to face PPKM.Bila Masy. Don't allergy ka BNPB need to find a solution too, don't like the security approach. The approach of HRS Social-Security.</v>
      </c>
    </row>
    <row r="5159" ht="15.75" customHeight="1">
      <c r="A5159" s="2">
        <v>5161.0</v>
      </c>
      <c r="B5159" s="5" t="s">
        <v>9475</v>
      </c>
      <c r="C5159" s="6">
        <v>2.0</v>
      </c>
      <c r="D5159" s="7" t="s">
        <v>9476</v>
      </c>
      <c r="E5159" s="8" t="str">
        <f>IFERROR(__xludf.DUMMYFUNCTION("googletranslate(D5159,""id"",""en"")"),"Ppkmpertah pdktkemudianmengsedih")</f>
        <v>Ppkmpertah pdktkemudianmengsedih</v>
      </c>
    </row>
    <row r="5160" ht="15.75" customHeight="1">
      <c r="A5160" s="2">
        <v>5162.0</v>
      </c>
      <c r="B5160" s="5" t="s">
        <v>9477</v>
      </c>
      <c r="C5160" s="6">
        <v>1.0</v>
      </c>
      <c r="D5160" s="9" t="s">
        <v>9478</v>
      </c>
      <c r="E5160" s="8" t="str">
        <f>IFERROR(__xludf.DUMMYFUNCTION("googletranslate(D5160,""id"",""en"")"),"If this is the logic, why do you want PPKM, right ... after the PPKM returns Red Zone, right?")</f>
        <v>If this is the logic, why do you want PPKM, right ... after the PPKM returns Red Zone, right?</v>
      </c>
    </row>
    <row r="5161" ht="15.75" customHeight="1">
      <c r="A5161" s="2">
        <v>5163.0</v>
      </c>
      <c r="B5161" s="5" t="s">
        <v>9479</v>
      </c>
      <c r="C5161" s="6">
        <v>3.0</v>
      </c>
      <c r="D5161" s="7" t="s">
        <v>9401</v>
      </c>
      <c r="E5161" s="8" t="str">
        <f>IFERROR(__xludf.DUMMYFUNCTION("googletranslate(D5161,""id"",""en"")"),"Extension of PPKM Forms Government Commitment Prioritizing People's Health Fighting against Pandemics")</f>
        <v>Extension of PPKM Forms Government Commitment Prioritizing People's Health Fighting against Pandemics</v>
      </c>
    </row>
    <row r="5162" ht="15.75" customHeight="1">
      <c r="A5162" s="2">
        <v>5164.0</v>
      </c>
      <c r="B5162" s="5" t="s">
        <v>9480</v>
      </c>
      <c r="C5162" s="6">
        <v>1.0</v>
      </c>
      <c r="D5162" s="7" t="s">
        <v>9481</v>
      </c>
      <c r="E5162" s="8" t="str">
        <f>IFERROR(__xludf.DUMMYFUNCTION("googletranslate(D5162,""id"",""en"")"),"PPKM is closed like it")</f>
        <v>PPKM is closed like it</v>
      </c>
    </row>
    <row r="5163" ht="15.75" customHeight="1">
      <c r="A5163" s="2">
        <v>5165.0</v>
      </c>
      <c r="B5163" s="5" t="s">
        <v>9482</v>
      </c>
      <c r="C5163" s="6">
        <v>2.0</v>
      </c>
      <c r="D5163" s="7" t="s">
        <v>9483</v>
      </c>
      <c r="E5163" s="8" t="str">
        <f>IFERROR(__xludf.DUMMYFUNCTION("googletranslate(D5163,""id"",""en"")"),"Hopefully the PPKM is not extended again, so that it can sit DIMCD alone open a sky laptop, a busy person is busy")</f>
        <v>Hopefully the PPKM is not extended again, so that it can sit DIMCD alone open a sky laptop, a busy person is busy</v>
      </c>
    </row>
    <row r="5164" ht="15.75" customHeight="1">
      <c r="A5164" s="2">
        <v>5166.0</v>
      </c>
      <c r="B5164" s="5" t="s">
        <v>9484</v>
      </c>
      <c r="C5164" s="6">
        <v>1.0</v>
      </c>
      <c r="D5164" s="9" t="s">
        <v>9485</v>
      </c>
      <c r="E5164" s="8" t="str">
        <f>IFERROR(__xludf.DUMMYFUNCTION("googletranslate(D5164,""id"",""en"")"),"But don't forget the little people or change fighter like me this pack. Since the Lockdown &amp; amp; Our PPKM cannot provide for the family of business where the savings go bankrupt. And to pay monthly installments can only be owed forgans. Ruwet sir")</f>
        <v>But don't forget the little people or change fighter like me this pack. Since the Lockdown &amp; amp; Our PPKM cannot provide for the family of business where the savings go bankrupt. And to pay monthly installments can only be owed forgans. Ruwet sir</v>
      </c>
    </row>
    <row r="5165" ht="15.75" customHeight="1">
      <c r="A5165" s="2">
        <v>5167.0</v>
      </c>
      <c r="B5165" s="5" t="s">
        <v>9486</v>
      </c>
      <c r="C5165" s="6">
        <v>1.0</v>
      </c>
      <c r="D5165" s="7" t="s">
        <v>9487</v>
      </c>
      <c r="E5165" s="8" t="str">
        <f>IFERROR(__xludf.DUMMYFUNCTION("googletranslate(D5165,""id"",""en"")"),"Alhamdulillah, bro, but Corona, my script research, I can't take data because it can't afford")</f>
        <v>Alhamdulillah, bro, but Corona, my script research, I can't take data because it can't afford</v>
      </c>
    </row>
    <row r="5166" ht="15.75" customHeight="1">
      <c r="A5166" s="2">
        <v>5168.0</v>
      </c>
      <c r="B5166" s="5" t="s">
        <v>9488</v>
      </c>
      <c r="C5166" s="6">
        <v>2.0</v>
      </c>
      <c r="D5166" s="7" t="s">
        <v>9489</v>
      </c>
      <c r="E5166" s="8" t="str">
        <f>IFERROR(__xludf.DUMMYFUNCTION("googletranslate(D5166,""id"",""en"")"),"Kira2 KPKM Makassar further not daeng ??")</f>
        <v>Kira2 KPKM Makassar further not daeng ??</v>
      </c>
    </row>
    <row r="5167" ht="15.75" customHeight="1">
      <c r="A5167" s="2">
        <v>5169.0</v>
      </c>
      <c r="B5167" s="5" t="s">
        <v>9490</v>
      </c>
      <c r="C5167" s="6">
        <v>3.0</v>
      </c>
      <c r="D5167" s="7" t="s">
        <v>9491</v>
      </c>
      <c r="E5167" s="8" t="str">
        <f>IFERROR(__xludf.DUMMYFUNCTION("googletranslate(D5167,""id"",""en"")"),"I don't get a book for a month. Most $ number $ just book. Even then because yesterday the first PPKM kept me at home, finally one day one book could. The longest day for a book for books")</f>
        <v>I don't get a book for a month. Most $ number $ just book. Even then because yesterday the first PPKM kept me at home, finally one day one book could. The longest day for a book for books</v>
      </c>
    </row>
    <row r="5168" ht="15.75" customHeight="1">
      <c r="A5168" s="2">
        <v>5170.0</v>
      </c>
      <c r="B5168" s="5" t="s">
        <v>9492</v>
      </c>
      <c r="C5168" s="6">
        <v>2.0</v>
      </c>
      <c r="D5168" s="7" t="s">
        <v>9493</v>
      </c>
      <c r="E5168" s="8" t="str">
        <f>IFERROR(__xludf.DUMMYFUNCTION("googletranslate(D5168,""id"",""en"")"),"It's been a long time for breakfast of fried noodles that are famous.")</f>
        <v>It's been a long time for breakfast of fried noodles that are famous.</v>
      </c>
    </row>
    <row r="5169" ht="15.75" customHeight="1">
      <c r="A5169" s="2">
        <v>5171.0</v>
      </c>
      <c r="B5169" s="5" t="s">
        <v>9494</v>
      </c>
      <c r="C5169" s="6">
        <v>2.0</v>
      </c>
      <c r="D5169" s="7" t="s">
        <v>9495</v>
      </c>
      <c r="E5169" s="8" t="str">
        <f>IFERROR(__xludf.DUMMYFUNCTION("googletranslate(D5169,""id"",""en"")"),"Warkop ""PPKM Credit Satan""")</f>
        <v>Warkop "PPKM Credit Satan"</v>
      </c>
    </row>
    <row r="5170" ht="15.75" customHeight="1">
      <c r="A5170" s="2">
        <v>5172.0</v>
      </c>
      <c r="B5170" s="5" t="s">
        <v>9496</v>
      </c>
      <c r="C5170" s="6">
        <v>1.0</v>
      </c>
      <c r="D5170" s="7" t="s">
        <v>9497</v>
      </c>
      <c r="E5170" s="8" t="str">
        <f>IFERROR(__xludf.DUMMYFUNCTION("googletranslate(D5170,""id"",""en"")"),"Safe Kang Hny Wallet Who Is Not Safe Krn PPKM")</f>
        <v>Safe Kang Hny Wallet Who Is Not Safe Krn PPKM</v>
      </c>
    </row>
    <row r="5171" ht="15.75" customHeight="1">
      <c r="A5171" s="2">
        <v>5173.0</v>
      </c>
      <c r="B5171" s="5" t="s">
        <v>9498</v>
      </c>
      <c r="C5171" s="6">
        <v>1.0</v>
      </c>
      <c r="D5171" s="7" t="s">
        <v>9499</v>
      </c>
      <c r="E5171" s="8" t="str">
        <f>IFERROR(__xludf.DUMMYFUNCTION("googletranslate(D5171,""id"",""en"")"),"Yeah, why don't you say! miss the road in the morning gt there while looking for porridge ppkm when it works")</f>
        <v>Yeah, why don't you say! miss the road in the morning gt there while looking for porridge ppkm when it works</v>
      </c>
    </row>
    <row r="5172" ht="15.75" customHeight="1">
      <c r="A5172" s="2">
        <v>5174.0</v>
      </c>
      <c r="B5172" s="5" t="s">
        <v>9500</v>
      </c>
      <c r="C5172" s="6">
        <v>1.0</v>
      </c>
      <c r="D5172" s="7" t="s">
        <v>9500</v>
      </c>
      <c r="E5172" s="8" t="str">
        <f>IFERROR(__xludf.DUMMYFUNCTION("googletranslate(D5172,""id"",""en"")"),"Humans can only plan, but PPKM determines everything.")</f>
        <v>Humans can only plan, but PPKM determines everything.</v>
      </c>
    </row>
    <row r="5173" ht="15.75" customHeight="1">
      <c r="A5173" s="2">
        <v>5175.0</v>
      </c>
      <c r="B5173" s="5" t="s">
        <v>9501</v>
      </c>
      <c r="C5173" s="6">
        <v>2.0</v>
      </c>
      <c r="D5173" s="10" t="s">
        <v>9502</v>
      </c>
      <c r="E5173" s="8" t="str">
        <f>IFERROR(__xludf.DUMMYFUNCTION("googletranslate(D5173,""id"",""en"")"),"LG PPKM.")</f>
        <v>LG PPKM.</v>
      </c>
    </row>
    <row r="5174" ht="15.75" customHeight="1">
      <c r="A5174" s="2">
        <v>5176.0</v>
      </c>
      <c r="B5174" s="5" t="s">
        <v>9503</v>
      </c>
      <c r="C5174" s="6">
        <v>3.0</v>
      </c>
      <c r="D5174" s="7" t="s">
        <v>9504</v>
      </c>
      <c r="E5174" s="8" t="str">
        <f>IFERROR(__xludf.DUMMYFUNCTION("googletranslate(D5174,""id"",""en"")"),"Assalamualaikum wr wbmet morning residents tl met on Sunday for all those who are Christians happy to worship into church virtually because msh ppkm remain spirit with red and white")</f>
        <v>Assalamualaikum wr wbmet morning residents tl met on Sunday for all those who are Christians happy to worship into church virtually because msh ppkm remain spirit with red and white</v>
      </c>
    </row>
    <row r="5175" ht="15.75" customHeight="1">
      <c r="A5175" s="2">
        <v>5177.0</v>
      </c>
      <c r="B5175" s="5" t="s">
        <v>9505</v>
      </c>
      <c r="C5175" s="6">
        <v>1.0</v>
      </c>
      <c r="D5175" s="9" t="s">
        <v>9506</v>
      </c>
      <c r="E5175" s="8" t="str">
        <f>IFERROR(__xludf.DUMMYFUNCTION("googletranslate(D5175,""id"",""en"")"),"ppkm sep at home until bulu")</f>
        <v>ppkm sep at home until bulu</v>
      </c>
    </row>
    <row r="5176" ht="15.75" customHeight="1">
      <c r="A5176" s="2">
        <v>5178.0</v>
      </c>
      <c r="B5176" s="5" t="s">
        <v>9507</v>
      </c>
      <c r="C5176" s="6">
        <v>1.0</v>
      </c>
      <c r="D5176" s="9" t="s">
        <v>9508</v>
      </c>
      <c r="E5176" s="8" t="str">
        <f>IFERROR(__xludf.DUMMYFUNCTION("googletranslate(D5176,""id"",""en"")"),"Alesan I Males: 1. Still PPKM2. Definitely in the same time the campus security guard3. Definitely ngaret. Sunday")</f>
        <v>Alesan I Males: 1. Still PPKM2. Definitely in the same time the campus security guard3. Definitely ngaret. Sunday</v>
      </c>
    </row>
    <row r="5177" ht="15.75" customHeight="1">
      <c r="A5177" s="2">
        <v>5179.0</v>
      </c>
      <c r="B5177" s="5" t="s">
        <v>9509</v>
      </c>
      <c r="C5177" s="6">
        <v>1.0</v>
      </c>
      <c r="D5177" s="9" t="s">
        <v>9510</v>
      </c>
      <c r="E5177" s="8" t="str">
        <f>IFERROR(__xludf.DUMMYFUNCTION("googletranslate(D5177,""id"",""en"")"),"PPKM &amp; GT; the main thing is PPASRAH if merem")</f>
        <v>PPKM &amp; GT; the main thing is PPASRAH if merem</v>
      </c>
    </row>
    <row r="5178" ht="15.75" customHeight="1">
      <c r="A5178" s="2">
        <v>5180.0</v>
      </c>
      <c r="B5178" s="5" t="s">
        <v>9511</v>
      </c>
      <c r="C5178" s="6">
        <v>2.0</v>
      </c>
      <c r="D5178" s="7" t="s">
        <v>9512</v>
      </c>
      <c r="E5178" s="8" t="str">
        <f>IFERROR(__xludf.DUMMYFUNCTION("googletranslate(D5178,""id"",""en"")"),"Go jngan far ""again ppkm")</f>
        <v>Go jngan far "again ppkm</v>
      </c>
    </row>
    <row r="5179" ht="15.75" customHeight="1">
      <c r="A5179" s="2">
        <v>5181.0</v>
      </c>
      <c r="B5179" s="5" t="s">
        <v>9513</v>
      </c>
      <c r="C5179" s="6">
        <v>2.0</v>
      </c>
      <c r="D5179" s="7" t="s">
        <v>9514</v>
      </c>
      <c r="E5179" s="8" t="str">
        <f>IFERROR(__xludf.DUMMYFUNCTION("googletranslate(D5179,""id"",""en"")"),"PPKM UDH to Geprek Bensu Aja Towards LVL")</f>
        <v>PPKM UDH to Geprek Bensu Aja Towards LVL</v>
      </c>
    </row>
    <row r="5180" ht="15.75" customHeight="1">
      <c r="A5180" s="2">
        <v>5182.0</v>
      </c>
      <c r="B5180" s="5" t="s">
        <v>9515</v>
      </c>
      <c r="C5180" s="6">
        <v>1.0</v>
      </c>
      <c r="D5180" s="7" t="s">
        <v>9516</v>
      </c>
      <c r="E5180" s="8" t="str">
        <f>IFERROR(__xludf.DUMMYFUNCTION("googletranslate(D5180,""id"",""en"")"),"Not only him. During this PPKM, there are many who dare to hold a celebration. All times willing to be reported?")</f>
        <v>Not only him. During this PPKM, there are many who dare to hold a celebration. All times willing to be reported?</v>
      </c>
    </row>
    <row r="5181" ht="15.75" customHeight="1">
      <c r="A5181" s="2">
        <v>5183.0</v>
      </c>
      <c r="B5181" s="5" t="s">
        <v>9517</v>
      </c>
      <c r="C5181" s="6">
        <v>2.0</v>
      </c>
      <c r="D5181" s="7" t="s">
        <v>9518</v>
      </c>
      <c r="E5181" s="8" t="str">
        <f>IFERROR(__xludf.DUMMYFUNCTION("googletranslate(D5181,""id"",""en"")"),"Hi July, thank you for the PPKM")</f>
        <v>Hi July, thank you for the PPKM</v>
      </c>
    </row>
    <row r="5182" ht="15.75" customHeight="1">
      <c r="A5182" s="2">
        <v>5184.0</v>
      </c>
      <c r="B5182" s="5" t="s">
        <v>9519</v>
      </c>
      <c r="C5182" s="6">
        <v>2.0</v>
      </c>
      <c r="D5182" s="7" t="s">
        <v>9519</v>
      </c>
      <c r="E5182" s="8" t="str">
        <f>IFERROR(__xludf.DUMMYFUNCTION("googletranslate(D5182,""id"",""en"")"),"Hope tomorrow is really a ppkm slesai")</f>
        <v>Hope tomorrow is really a ppkm slesai</v>
      </c>
    </row>
    <row r="5183" ht="15.75" customHeight="1">
      <c r="A5183" s="2">
        <v>5185.0</v>
      </c>
      <c r="B5183" s="5" t="s">
        <v>9520</v>
      </c>
      <c r="C5183" s="6">
        <v>1.0</v>
      </c>
      <c r="D5183" s="9" t="s">
        <v>9521</v>
      </c>
      <c r="E5183" s="8" t="str">
        <f>IFERROR(__xludf.DUMMYFUNCTION("googletranslate(D5183,""id"",""en"")"),"The fear of NTR democracy is not considered to be a demonstration of the demonstration of being dramed like this is true that the government needs criticism. This is the condition of the PSBB, PPKM, etc. which will not clearly make the people suffer from "&amp;"Loh. PDHL has a health quarantine rule but it's used")</f>
        <v>The fear of NTR democracy is not considered to be a demonstration of the demonstration of being dramed like this is true that the government needs criticism. This is the condition of the PSBB, PPKM, etc. which will not clearly make the people suffer from Loh. PDHL has a health quarantine rule but it's used</v>
      </c>
    </row>
    <row r="5184" ht="15.75" customHeight="1">
      <c r="A5184" s="2">
        <v>5187.0</v>
      </c>
      <c r="B5184" s="5" t="s">
        <v>9522</v>
      </c>
      <c r="C5184" s="6">
        <v>2.0</v>
      </c>
      <c r="D5184" s="7" t="s">
        <v>9523</v>
      </c>
      <c r="E5184" s="8" t="str">
        <f>IFERROR(__xludf.DUMMYFUNCTION("googletranslate(D5184,""id"",""en"")"),"Just do it during PPKMME:")</f>
        <v>Just do it during PPKMME:</v>
      </c>
    </row>
    <row r="5185" ht="15.75" customHeight="1">
      <c r="A5185" s="2">
        <v>5188.0</v>
      </c>
      <c r="B5185" s="5" t="s">
        <v>9524</v>
      </c>
      <c r="C5185" s="6">
        <v>1.0</v>
      </c>
      <c r="D5185" s="9" t="s">
        <v>9525</v>
      </c>
      <c r="E5185" s="8" t="str">
        <f>IFERROR(__xludf.DUMMYFUNCTION("googletranslate(D5185,""id"",""en"")"),"The government refused Lockdown because the PPKM was rejected by the people of the high-level Logical Fallacy Adlh. Silogism premise is chaotic. It should be understood by things; The right lockdown version of the Chareness Law for Health DN PPKM rules.")</f>
        <v>The government refused Lockdown because the PPKM was rejected by the people of the high-level Logical Fallacy Adlh. Silogism premise is chaotic. It should be understood by things; The right lockdown version of the Chareness Law for Health DN PPKM rules.</v>
      </c>
    </row>
    <row r="5186" ht="15.75" customHeight="1">
      <c r="A5186" s="2">
        <v>5189.0</v>
      </c>
      <c r="B5186" s="5" t="s">
        <v>9526</v>
      </c>
      <c r="C5186" s="6">
        <v>1.0</v>
      </c>
      <c r="D5186" s="7" t="s">
        <v>9527</v>
      </c>
      <c r="E5186" s="8" t="str">
        <f>IFERROR(__xludf.DUMMYFUNCTION("googletranslate(D5186,""id"",""en"")"),"They screamed not because of the PPKM Ferguso but because the Government NGK carried out the mandate of the Law to try that during the PPKM Government, the needs of his life wanted to live for a lifetime too, they must have obedient to stay stay at home, "&amp;"the Law was made for Ferguso's Life Guidelines")</f>
        <v>They screamed not because of the PPKM Ferguso but because the Government NGK carried out the mandate of the Law to try that during the PPKM Government, the needs of his life wanted to live for a lifetime too, they must have obedient to stay stay at home, the Law was made for Ferguso's Life Guidelines</v>
      </c>
    </row>
    <row r="5187" ht="15.75" customHeight="1">
      <c r="A5187" s="2">
        <v>5190.0</v>
      </c>
      <c r="B5187" s="5" t="s">
        <v>9528</v>
      </c>
      <c r="C5187" s="6">
        <v>1.0</v>
      </c>
      <c r="D5187" s="7" t="s">
        <v>9529</v>
      </c>
      <c r="E5187" s="8" t="str">
        <f>IFERROR(__xludf.DUMMYFUNCTION("googletranslate(D5187,""id"",""en"")"),"I've been able to get this concert, in Indo still PPKM")</f>
        <v>I've been able to get this concert, in Indo still PPKM</v>
      </c>
    </row>
    <row r="5188" ht="15.75" customHeight="1">
      <c r="A5188" s="2">
        <v>5191.0</v>
      </c>
      <c r="B5188" s="5" t="s">
        <v>9530</v>
      </c>
      <c r="C5188" s="6">
        <v>2.0</v>
      </c>
      <c r="D5188" s="9" t="s">
        <v>9531</v>
      </c>
      <c r="E5188" s="8" t="str">
        <f>IFERROR(__xludf.DUMMYFUNCTION("googletranslate(D5188,""id"",""en"")"),"I rarely come out of the house plus LG PPKM JG. But if the emergency must leave the house, you will go home around Isha. huhu btw thanks a lot yaaaaaa aamiin. Hopefully the prayer is good to turn to you and your family.")</f>
        <v>I rarely come out of the house plus LG PPKM JG. But if the emergency must leave the house, you will go home around Isha. huhu btw thanks a lot yaaaaaa aamiin. Hopefully the prayer is good to turn to you and your family.</v>
      </c>
    </row>
    <row r="5189" ht="15.75" customHeight="1">
      <c r="A5189" s="2">
        <v>5192.0</v>
      </c>
      <c r="B5189" s="5" t="s">
        <v>9532</v>
      </c>
      <c r="C5189" s="6">
        <v>2.0</v>
      </c>
      <c r="D5189" s="10" t="s">
        <v>9533</v>
      </c>
      <c r="E5189" s="8" t="str">
        <f>IFERROR(__xludf.DUMMYFUNCTION("googletranslate(D5189,""id"",""en"")"),"PPKM Din.")</f>
        <v>PPKM Din.</v>
      </c>
    </row>
    <row r="5190" ht="15.75" customHeight="1">
      <c r="A5190" s="2">
        <v>5193.0</v>
      </c>
      <c r="B5190" s="5" t="s">
        <v>9534</v>
      </c>
      <c r="C5190" s="6">
        <v>2.0</v>
      </c>
      <c r="D5190" s="9" t="s">
        <v>9535</v>
      </c>
      <c r="E5190" s="8" t="str">
        <f>IFERROR(__xludf.DUMMYFUNCTION("googletranslate(D5190,""id"",""en"")"),"Ppkm, ntar yes klo ppkm dah teron gw home")</f>
        <v>Ppkm, ntar yes klo ppkm dah teron gw home</v>
      </c>
    </row>
    <row r="5191" ht="15.75" customHeight="1">
      <c r="A5191" s="2">
        <v>5194.0</v>
      </c>
      <c r="B5191" s="5" t="s">
        <v>9536</v>
      </c>
      <c r="C5191" s="6">
        <v>1.0</v>
      </c>
      <c r="D5191" s="9" t="s">
        <v>9537</v>
      </c>
      <c r="E5191" s="8" t="str">
        <f>IFERROR(__xludf.DUMMYFUNCTION("googletranslate(D5191,""id"",""en"")"),"The new PPKM semi lockdown is already on scream")</f>
        <v>The new PPKM semi lockdown is already on scream</v>
      </c>
    </row>
    <row r="5192" ht="15.75" customHeight="1">
      <c r="A5192" s="2">
        <v>5195.0</v>
      </c>
      <c r="B5192" s="5" t="s">
        <v>9538</v>
      </c>
      <c r="C5192" s="6">
        <v>2.0</v>
      </c>
      <c r="D5192" s="7" t="s">
        <v>9538</v>
      </c>
      <c r="E5192" s="8" t="str">
        <f>IFERROR(__xludf.DUMMYFUNCTION("googletranslate(D5192,""id"",""en"")"),"ppkm: morning morning we meleyot")</f>
        <v>ppkm: morning morning we meleyot</v>
      </c>
    </row>
    <row r="5193" ht="15.75" customHeight="1">
      <c r="A5193" s="2">
        <v>5196.0</v>
      </c>
      <c r="B5193" s="5" t="s">
        <v>9539</v>
      </c>
      <c r="C5193" s="6">
        <v>2.0</v>
      </c>
      <c r="D5193" s="7" t="s">
        <v>9539</v>
      </c>
      <c r="E5193" s="8" t="str">
        <f>IFERROR(__xludf.DUMMYFUNCTION("googletranslate(D5193,""id"",""en"")"),"PPKM continues to be more high")</f>
        <v>PPKM continues to be more high</v>
      </c>
    </row>
    <row r="5194" ht="15.75" customHeight="1">
      <c r="A5194" s="2">
        <v>5197.0</v>
      </c>
      <c r="B5194" s="5" t="s">
        <v>9540</v>
      </c>
      <c r="C5194" s="6">
        <v>2.0</v>
      </c>
      <c r="D5194" s="7" t="s">
        <v>9541</v>
      </c>
      <c r="E5194" s="8" t="str">
        <f>IFERROR(__xludf.DUMMYFUNCTION("googletranslate(D5194,""id"",""en"")"),"instead of ppkm nder")</f>
        <v>instead of ppkm nder</v>
      </c>
    </row>
    <row r="5195" ht="15.75" customHeight="1">
      <c r="A5195" s="2">
        <v>5198.0</v>
      </c>
      <c r="B5195" s="5" t="s">
        <v>9542</v>
      </c>
      <c r="C5195" s="6">
        <v>3.0</v>
      </c>
      <c r="D5195" s="9" t="s">
        <v>9543</v>
      </c>
      <c r="E5195" s="8" t="str">
        <f>IFERROR(__xludf.DUMMYFUNCTION("googletranslate(D5195,""id"",""en"")"),"Entertainment used to be gaes so it doesn't tense also so that the immune doesn't ddrop during the PPKM level ..")</f>
        <v>Entertainment used to be gaes so it doesn't tense also so that the immune doesn't ddrop during the PPKM level ..</v>
      </c>
    </row>
    <row r="5196" ht="15.75" customHeight="1">
      <c r="A5196" s="2">
        <v>5199.0</v>
      </c>
      <c r="B5196" s="5" t="s">
        <v>9544</v>
      </c>
      <c r="C5196" s="6">
        <v>2.0</v>
      </c>
      <c r="D5196" s="7" t="s">
        <v>9545</v>
      </c>
      <c r="E5196" s="8" t="str">
        <f>IFERROR(__xludf.DUMMYFUNCTION("googletranslate(D5196,""id"",""en"")"),"JBS PPKM will be a PMP")</f>
        <v>JBS PPKM will be a PMP</v>
      </c>
    </row>
    <row r="5197" ht="15.75" customHeight="1">
      <c r="A5197" s="2">
        <v>5200.0</v>
      </c>
      <c r="B5197" s="5" t="s">
        <v>9546</v>
      </c>
      <c r="C5197" s="6">
        <v>1.0</v>
      </c>
      <c r="D5197" s="9" t="s">
        <v>9547</v>
      </c>
      <c r="E5197" s="8" t="str">
        <f>IFERROR(__xludf.DUMMYFUNCTION("googletranslate(D5197,""id"",""en"")"),"Only in Indonesia the people who asked for Lockdown but were afraid to die because of PPKM ... Tenan's stomach right?")</f>
        <v>Only in Indonesia the people who asked for Lockdown but were afraid to die because of PPKM ... Tenan's stomach right?</v>
      </c>
    </row>
    <row r="5198" ht="15.75" customHeight="1">
      <c r="A5198" s="2">
        <v>5201.0</v>
      </c>
      <c r="B5198" s="5" t="s">
        <v>9548</v>
      </c>
      <c r="C5198" s="6">
        <v>3.0</v>
      </c>
      <c r="D5198" s="7" t="s">
        <v>9549</v>
      </c>
      <c r="E5198" s="8" t="str">
        <f>IFERROR(__xludf.DUMMYFUNCTION("googletranslate(D5198,""id"",""en"")"),"For the sake of the safety of the people, Deputy Chairperson of the House Support PPKM is extended. Fight against Pandemi")</f>
        <v>For the sake of the safety of the people, Deputy Chairperson of the House Support PPKM is extended. Fight against Pandemi</v>
      </c>
    </row>
    <row r="5199" ht="15.75" customHeight="1">
      <c r="A5199" s="2">
        <v>5202.0</v>
      </c>
      <c r="B5199" s="5" t="s">
        <v>9550</v>
      </c>
      <c r="C5199" s="6">
        <v>1.0</v>
      </c>
      <c r="D5199" s="7" t="s">
        <v>9551</v>
      </c>
      <c r="E5199" s="8" t="str">
        <f>IFERROR(__xludf.DUMMYFUNCTION("googletranslate(D5199,""id"",""en"")"),"Tomorrow he said finished. the person is not open during this ppkm")</f>
        <v>Tomorrow he said finished. the person is not open during this ppkm</v>
      </c>
    </row>
    <row r="5200" ht="15.75" customHeight="1">
      <c r="A5200" s="2">
        <v>5203.0</v>
      </c>
      <c r="B5200" s="5" t="s">
        <v>9552</v>
      </c>
      <c r="C5200" s="6">
        <v>1.0</v>
      </c>
      <c r="D5200" s="7" t="s">
        <v>9553</v>
      </c>
      <c r="E5200" s="8" t="str">
        <f>IFERROR(__xludf.DUMMYFUNCTION("googletranslate(D5200,""id"",""en"")"),"Males ppkm ... afraid of spraying damkar")</f>
        <v>Males ppkm ... afraid of spraying damkar</v>
      </c>
    </row>
    <row r="5201" ht="15.75" customHeight="1">
      <c r="A5201" s="2">
        <v>5204.0</v>
      </c>
      <c r="B5201" s="5" t="s">
        <v>9554</v>
      </c>
      <c r="C5201" s="6">
        <v>3.0</v>
      </c>
      <c r="D5201" s="7" t="s">
        <v>9555</v>
      </c>
      <c r="E5201" s="8" t="str">
        <f>IFERROR(__xludf.DUMMYFUNCTION("googletranslate(D5201,""id"",""en"")"),"Agree PPKM extended, Dasco: For the sake of people's safety. Fight against Pandemi")</f>
        <v>Agree PPKM extended, Dasco: For the sake of people's safety. Fight against Pandemi</v>
      </c>
    </row>
    <row r="5202" ht="15.75" customHeight="1">
      <c r="A5202" s="2">
        <v>5205.0</v>
      </c>
      <c r="B5202" s="5" t="s">
        <v>9556</v>
      </c>
      <c r="C5202" s="6">
        <v>2.0</v>
      </c>
      <c r="D5202" s="9" t="s">
        <v>9557</v>
      </c>
      <c r="E5202" s="8" t="str">
        <f>IFERROR(__xludf.DUMMYFUNCTION("googletranslate(D5202,""id"",""en"")"),"The lockdown turns off Covid directly through the sun and prevents covid to get the host.Vaksin turn off covid in the body. PPKM, slowly spread germs, aka slow release.")</f>
        <v>The lockdown turns off Covid directly through the sun and prevents covid to get the host.Vaksin turn off covid in the body. PPKM, slowly spread germs, aka slow release.</v>
      </c>
    </row>
    <row r="5203" ht="15.75" customHeight="1">
      <c r="A5203" s="2">
        <v>5206.0</v>
      </c>
      <c r="B5203" s="5" t="s">
        <v>9558</v>
      </c>
      <c r="C5203" s="6">
        <v>3.0</v>
      </c>
      <c r="D5203" s="7" t="s">
        <v>9559</v>
      </c>
      <c r="E5203" s="8" t="str">
        <f>IFERROR(__xludf.DUMMYFUNCTION("googletranslate(D5203,""id"",""en"")"),"Support Extension of Emergency PPKM, PBNU: careful decision. Fight against Pandemi")</f>
        <v>Support Extension of Emergency PPKM, PBNU: careful decision. Fight against Pandemi</v>
      </c>
    </row>
    <row r="5204" ht="15.75" customHeight="1">
      <c r="A5204" s="2">
        <v>5207.0</v>
      </c>
      <c r="B5204" s="5" t="s">
        <v>9560</v>
      </c>
      <c r="C5204" s="6">
        <v>3.0</v>
      </c>
      <c r="D5204" s="7" t="s">
        <v>9561</v>
      </c>
      <c r="E5204" s="8" t="str">
        <f>IFERROR(__xludf.DUMMYFUNCTION("googletranslate(D5204,""id"",""en"")"),"Extension of PPKM forms the commitment of the government prioritizing people's health. Fight against Pandemi")</f>
        <v>Extension of PPKM forms the commitment of the government prioritizing people's health. Fight against Pandemi</v>
      </c>
    </row>
    <row r="5205" ht="15.75" customHeight="1">
      <c r="A5205" s="2">
        <v>5208.0</v>
      </c>
      <c r="B5205" s="5" t="s">
        <v>9562</v>
      </c>
      <c r="C5205" s="6">
        <v>1.0</v>
      </c>
      <c r="D5205" s="7" t="s">
        <v>9563</v>
      </c>
      <c r="E5205" s="8" t="str">
        <f>IFERROR(__xludf.DUMMYFUNCTION("googletranslate(D5205,""id"",""en"")"),"I really have to wait for the PPKM")</f>
        <v>I really have to wait for the PPKM</v>
      </c>
    </row>
    <row r="5206" ht="15.75" customHeight="1">
      <c r="A5206" s="2">
        <v>5209.0</v>
      </c>
      <c r="B5206" s="5" t="s">
        <v>9564</v>
      </c>
      <c r="C5206" s="6">
        <v>1.0</v>
      </c>
      <c r="D5206" s="7" t="s">
        <v>9564</v>
      </c>
      <c r="E5206" s="8" t="str">
        <f>IFERROR(__xludf.DUMMYFUNCTION("googletranslate(D5206,""id"",""en"")"),"again ppkm like this is just an event?")</f>
        <v>again ppkm like this is just an event?</v>
      </c>
    </row>
    <row r="5207" ht="15.75" customHeight="1">
      <c r="A5207" s="2">
        <v>5210.0</v>
      </c>
      <c r="B5207" s="5" t="s">
        <v>9565</v>
      </c>
      <c r="C5207" s="6">
        <v>1.0</v>
      </c>
      <c r="D5207" s="9" t="s">
        <v>9566</v>
      </c>
      <c r="E5207" s="8" t="str">
        <f>IFERROR(__xludf.DUMMYFUNCTION("googletranslate(D5207,""id"",""en"")"),"Mr. President, tomorrow, PPKM is expired. Covid hasn't run out. Even though it has slopped, there are only new cases and will continue to exist. Not hydroping; Change all covid central to provincial countermeasures. Mrk has been denied Masyminta Kemensos "&amp;"control!")</f>
        <v>Mr. President, tomorrow, PPKM is expired. Covid hasn't run out. Even though it has slopped, there are only new cases and will continue to exist. Not hydroping; Change all covid central to provincial countermeasures. Mrk has been denied Masyminta Kemensos control!</v>
      </c>
    </row>
    <row r="5208" ht="15.75" customHeight="1">
      <c r="A5208" s="2">
        <v>5211.0</v>
      </c>
      <c r="B5208" s="5" t="s">
        <v>9567</v>
      </c>
      <c r="C5208" s="6">
        <v>1.0</v>
      </c>
      <c r="D5208" s="7" t="s">
        <v>9568</v>
      </c>
      <c r="E5208" s="8" t="str">
        <f>IFERROR(__xludf.DUMMYFUNCTION("googletranslate(D5208,""id"",""en"")"),"PPKM Plis Don't Extend Yes, Mingdep I want to buy a Tupal Crispy shrimp")</f>
        <v>PPKM Plis Don't Extend Yes, Mingdep I want to buy a Tupal Crispy shrimp</v>
      </c>
    </row>
    <row r="5209" ht="15.75" customHeight="1">
      <c r="A5209" s="2">
        <v>5212.0</v>
      </c>
      <c r="B5209" s="5" t="s">
        <v>9569</v>
      </c>
      <c r="C5209" s="6">
        <v>1.0</v>
      </c>
      <c r="D5209" s="9" t="s">
        <v>9570</v>
      </c>
      <c r="E5209" s="8" t="str">
        <f>IFERROR(__xludf.DUMMYFUNCTION("googletranslate(D5209,""id"",""en"")"),"Happy Sunday Mbak VI. Here it hasn't been a church still PPKM")</f>
        <v>Happy Sunday Mbak VI. Here it hasn't been a church still PPKM</v>
      </c>
    </row>
    <row r="5210" ht="15.75" customHeight="1">
      <c r="A5210" s="2">
        <v>5213.0</v>
      </c>
      <c r="B5210" s="5" t="s">
        <v>9571</v>
      </c>
      <c r="C5210" s="6">
        <v>1.0</v>
      </c>
      <c r="D5210" s="7" t="s">
        <v>9572</v>
      </c>
      <c r="E5210" s="8" t="str">
        <f>IFERROR(__xludf.DUMMYFUNCTION("googletranslate(D5210,""id"",""en"")"),"knp holiday semester fitting ppkm gini si? bosen bgt, mo where does it gabisa")</f>
        <v>knp holiday semester fitting ppkm gini si? bosen bgt, mo where does it gabisa</v>
      </c>
    </row>
    <row r="5211" ht="15.75" customHeight="1">
      <c r="A5211" s="2">
        <v>5214.0</v>
      </c>
      <c r="B5211" s="5" t="s">
        <v>9573</v>
      </c>
      <c r="C5211" s="6">
        <v>2.0</v>
      </c>
      <c r="D5211" s="7" t="s">
        <v>9574</v>
      </c>
      <c r="E5211" s="8" t="str">
        <f>IFERROR(__xludf.DUMMYFUNCTION("googletranslate(D5211,""id"",""en"")"),"Hopefully the PPKM will not continue")</f>
        <v>Hopefully the PPKM will not continue</v>
      </c>
    </row>
    <row r="5212" ht="15.75" customHeight="1">
      <c r="A5212" s="2">
        <v>5215.0</v>
      </c>
      <c r="B5212" s="5" t="s">
        <v>9575</v>
      </c>
      <c r="C5212" s="6">
        <v>3.0</v>
      </c>
      <c r="D5212" s="9" t="s">
        <v>9576</v>
      </c>
      <c r="E5212" s="8" t="str">
        <f>IFERROR(__xludf.DUMMYFUNCTION("googletranslate(D5212,""id"",""en"")"),"Good healthy morning sllu ya all of the hri sanct wooly the plump smoga ppkm not level up so we can find cuan")</f>
        <v>Good healthy morning sllu ya all of the hri sanct wooly the plump smoga ppkm not level up so we can find cuan</v>
      </c>
    </row>
    <row r="5213" ht="15.75" customHeight="1">
      <c r="A5213" s="2">
        <v>5216.0</v>
      </c>
      <c r="B5213" s="5" t="s">
        <v>9577</v>
      </c>
      <c r="C5213" s="6">
        <v>1.0</v>
      </c>
      <c r="D5213" s="9" t="s">
        <v>9578</v>
      </c>
      <c r="E5213" s="8" t="str">
        <f>IFERROR(__xludf.DUMMYFUNCTION("googletranslate(D5213,""id"",""en"")"),"Then what is the different PPKM Lockdown Cing? Here, I know, I know, you're ... During the government lockdown, it must cost the needs of the people because there is in the Act and PPKM, it doesn't cost the people, but it can't be everywhere ... what you "&amp;"don't need money to eat for example.")</f>
        <v>Then what is the different PPKM Lockdown Cing? Here, I know, I know, you're ... During the government lockdown, it must cost the needs of the people because there is in the Act and PPKM, it doesn't cost the people, but it can't be everywhere ... what you don't need money to eat for example.</v>
      </c>
    </row>
    <row r="5214" ht="15.75" customHeight="1">
      <c r="A5214" s="2">
        <v>5217.0</v>
      </c>
      <c r="B5214" s="5" t="s">
        <v>9579</v>
      </c>
      <c r="C5214" s="6">
        <v>1.0</v>
      </c>
      <c r="D5214" s="7" t="s">
        <v>9580</v>
      </c>
      <c r="E5214" s="8" t="str">
        <f>IFERROR(__xludf.DUMMYFUNCTION("googletranslate(D5214,""id"",""en"")"),"This high death case was also due to wrong policy but did not want to admit, this emergency PPKM was wrong policy instead made the case of death soar")</f>
        <v>This high death case was also due to wrong policy but did not want to admit, this emergency PPKM was wrong policy instead made the case of death soar</v>
      </c>
    </row>
    <row r="5215" ht="15.75" customHeight="1">
      <c r="A5215" s="2">
        <v>5218.0</v>
      </c>
      <c r="B5215" s="5" t="s">
        <v>9581</v>
      </c>
      <c r="C5215" s="6">
        <v>1.0</v>
      </c>
      <c r="D5215" s="7" t="s">
        <v>9581</v>
      </c>
      <c r="E5215" s="8" t="str">
        <f>IFERROR(__xludf.DUMMYFUNCTION("googletranslate(D5215,""id"",""en"")"),"PPKM should be removed because students are tired of learning online ..")</f>
        <v>PPKM should be removed because students are tired of learning online ..</v>
      </c>
    </row>
    <row r="5216" ht="15.75" customHeight="1">
      <c r="A5216" s="2">
        <v>5219.0</v>
      </c>
      <c r="B5216" s="5" t="s">
        <v>9582</v>
      </c>
      <c r="C5216" s="6">
        <v>2.0</v>
      </c>
      <c r="D5216" s="7" t="s">
        <v>9583</v>
      </c>
      <c r="E5216" s="8" t="str">
        <f>IFERROR(__xludf.DUMMYFUNCTION("googletranslate(D5216,""id"",""en"")"),"No, again PPKM gini nder. I just yesterday with my friend agreed to make it hard. Reduced")</f>
        <v>No, again PPKM gini nder. I just yesterday with my friend agreed to make it hard. Reduced</v>
      </c>
    </row>
    <row r="5217" ht="15.75" customHeight="1">
      <c r="A5217" s="2">
        <v>5220.0</v>
      </c>
      <c r="B5217" s="5" t="s">
        <v>9584</v>
      </c>
      <c r="C5217" s="6">
        <v>1.0</v>
      </c>
      <c r="D5217" s="7" t="s">
        <v>9585</v>
      </c>
      <c r="E5217" s="8" t="str">
        <f>IFERROR(__xludf.DUMMYFUNCTION("googletranslate(D5217,""id"",""en"")"),"PPKM effect Yes. Dagabg people close early:")</f>
        <v>PPKM effect Yes. Dagabg people close early:</v>
      </c>
    </row>
    <row r="5218" ht="15.75" customHeight="1">
      <c r="A5218" s="2">
        <v>5221.0</v>
      </c>
      <c r="B5218" s="5" t="s">
        <v>9586</v>
      </c>
      <c r="C5218" s="6">
        <v>2.0</v>
      </c>
      <c r="D5218" s="7" t="s">
        <v>9587</v>
      </c>
      <c r="E5218" s="8" t="str">
        <f>IFERROR(__xludf.DUMMYFUNCTION("googletranslate(D5218,""id"",""en"")"),"PPKM further or not? Covid-19 still threatens not to be careless -")</f>
        <v>PPKM further or not? Covid-19 still threatens not to be careless -</v>
      </c>
    </row>
    <row r="5219" ht="15.75" customHeight="1">
      <c r="A5219" s="2">
        <v>5222.0</v>
      </c>
      <c r="B5219" s="5" t="s">
        <v>9588</v>
      </c>
      <c r="C5219" s="6">
        <v>2.0</v>
      </c>
      <c r="D5219" s="9" t="s">
        <v>9589</v>
      </c>
      <c r="E5219" s="8" t="str">
        <f>IFERROR(__xludf.DUMMYFUNCTION("googletranslate(D5219,""id"",""en"")"),"If it runs out for the PPKM, how come hehe")</f>
        <v>If it runs out for the PPKM, how come hehe</v>
      </c>
    </row>
    <row r="5220" ht="15.75" customHeight="1">
      <c r="A5220" s="2">
        <v>5223.0</v>
      </c>
      <c r="B5220" s="5" t="s">
        <v>9590</v>
      </c>
      <c r="C5220" s="6">
        <v>1.0</v>
      </c>
      <c r="D5220" s="12" t="s">
        <v>9591</v>
      </c>
      <c r="E5220" s="8" t="str">
        <f>IFERROR(__xludf.DUMMYFUNCTION("googletranslate(D5220,""id"",""en"")"),"Ppkm, blog!")</f>
        <v>Ppkm, blog!</v>
      </c>
    </row>
    <row r="5221" ht="15.75" customHeight="1">
      <c r="A5221" s="2">
        <v>5224.0</v>
      </c>
      <c r="B5221" s="5" t="s">
        <v>9592</v>
      </c>
      <c r="C5221" s="6">
        <v>2.0</v>
      </c>
      <c r="D5221" s="10" t="s">
        <v>9593</v>
      </c>
      <c r="E5221" s="8" t="str">
        <f>IFERROR(__xludf.DUMMYFUNCTION("googletranslate(D5221,""id"",""en"")"),"After PPKM.")</f>
        <v>After PPKM.</v>
      </c>
    </row>
    <row r="5222" ht="15.75" customHeight="1">
      <c r="A5222" s="2">
        <v>5225.0</v>
      </c>
      <c r="B5222" s="5" t="s">
        <v>9594</v>
      </c>
      <c r="C5222" s="6">
        <v>2.0</v>
      </c>
      <c r="D5222" s="9" t="s">
        <v>9595</v>
      </c>
      <c r="E5222" s="8" t="str">
        <f>IFERROR(__xludf.DUMMYFUNCTION("googletranslate(D5222,""id"",""en"")"),"A day before the end of the PPKM Level of Java and Bali. For those of you who have opinions, opinions, suggestions, UNEK-UNEK related to PPKM now, today is the best time to say it to the President's Government before it is decided what tomorrow will be en"&amp;"ded or extended")</f>
        <v>A day before the end of the PPKM Level of Java and Bali. For those of you who have opinions, opinions, suggestions, UNEK-UNEK related to PPKM now, today is the best time to say it to the President's Government before it is decided what tomorrow will be ended or extended</v>
      </c>
    </row>
    <row r="5223" ht="15.75" customHeight="1">
      <c r="A5223" s="2">
        <v>5226.0</v>
      </c>
      <c r="B5223" s="5" t="s">
        <v>9596</v>
      </c>
      <c r="C5223" s="6">
        <v>1.0</v>
      </c>
      <c r="D5223" s="7" t="s">
        <v>9597</v>
      </c>
      <c r="E5223" s="8" t="str">
        <f>IFERROR(__xludf.DUMMYFUNCTION("googletranslate(D5223,""id"",""en"")"),"It is not obedient to the constitution. It should be if PSBB is not able to overcome a pandemic, the state carries out the regional quarantine. This is said the Chapter Law. Maybe sir don't read the family. In the Chapter Law there are no micro, emergency"&amp;", IV levels. The basis of the law is not clear.")</f>
        <v>It is not obedient to the constitution. It should be if PSBB is not able to overcome a pandemic, the state carries out the regional quarantine. This is said the Chapter Law. Maybe sir don't read the family. In the Chapter Law there are no micro, emergency, IV levels. The basis of the law is not clear.</v>
      </c>
    </row>
    <row r="5224" ht="15.75" customHeight="1">
      <c r="A5224" s="2">
        <v>5227.0</v>
      </c>
      <c r="B5224" s="5" t="s">
        <v>9598</v>
      </c>
      <c r="C5224" s="6">
        <v>1.0</v>
      </c>
      <c r="D5224" s="7" t="s">
        <v>9599</v>
      </c>
      <c r="E5224" s="8" t="str">
        <f>IFERROR(__xludf.DUMMYFUNCTION("googletranslate(D5224,""id"",""en"")"),"Tomorrow has it been ppkm right? Is not it? PLEASE YES. Tired every time you want to go to the mega brass, you have to go to the orange kebon")</f>
        <v>Tomorrow has it been ppkm right? Is not it? PLEASE YES. Tired every time you want to go to the mega brass, you have to go to the orange kebon</v>
      </c>
    </row>
    <row r="5225" ht="15.75" customHeight="1">
      <c r="A5225" s="2">
        <v>5228.0</v>
      </c>
      <c r="B5225" s="5" t="s">
        <v>9600</v>
      </c>
      <c r="C5225" s="6">
        <v>2.0</v>
      </c>
      <c r="D5225" s="7" t="s">
        <v>9601</v>
      </c>
      <c r="E5225" s="8" t="str">
        <f>IFERROR(__xludf.DUMMYFUNCTION("googletranslate(D5225,""id"",""en"")"),"PPKM period that can travel is just a thought")</f>
        <v>PPKM period that can travel is just a thought</v>
      </c>
    </row>
    <row r="5226" ht="15.75" customHeight="1">
      <c r="A5226" s="2">
        <v>5229.0</v>
      </c>
      <c r="B5226" s="5" t="s">
        <v>9602</v>
      </c>
      <c r="C5226" s="6">
        <v>2.0</v>
      </c>
      <c r="D5226" s="10" t="s">
        <v>1635</v>
      </c>
      <c r="E5226" s="8" t="str">
        <f>IFERROR(__xludf.DUMMYFUNCTION("googletranslate(D5226,""id"",""en"")"),"Again PPKM.")</f>
        <v>Again PPKM.</v>
      </c>
    </row>
    <row r="5227" ht="15.75" customHeight="1">
      <c r="A5227" s="2">
        <v>5230.0</v>
      </c>
      <c r="B5227" s="5" t="s">
        <v>9603</v>
      </c>
      <c r="C5227" s="6">
        <v>1.0</v>
      </c>
      <c r="D5227" s="9" t="s">
        <v>9604</v>
      </c>
      <c r="E5227" s="8" t="str">
        <f>IFERROR(__xludf.DUMMYFUNCTION("googletranslate(D5227,""id"",""en"")"),"Assessing ""Lock Down"" is better than PPKM. Unfortunately it was conveyed by someone who was not on, still TRM Rp. JT / month.")</f>
        <v>Assessing "Lock Down" is better than PPKM. Unfortunately it was conveyed by someone who was not on, still TRM Rp. JT / month.</v>
      </c>
    </row>
    <row r="5228" ht="15.75" customHeight="1">
      <c r="A5228" s="2">
        <v>5231.0</v>
      </c>
      <c r="B5228" s="5" t="s">
        <v>9605</v>
      </c>
      <c r="C5228" s="6">
        <v>2.0</v>
      </c>
      <c r="D5228" s="7" t="s">
        <v>9606</v>
      </c>
      <c r="E5228" s="8" t="str">
        <f>IFERROR(__xludf.DUMMYFUNCTION("googletranslate(D5228,""id"",""en"")"),"Ready. When when playing to Jogja if it's not GK PPKM.")</f>
        <v>Ready. When when playing to Jogja if it's not GK PPKM.</v>
      </c>
    </row>
    <row r="5229" ht="15.75" customHeight="1">
      <c r="A5229" s="2">
        <v>5232.0</v>
      </c>
      <c r="B5229" s="5" t="s">
        <v>9607</v>
      </c>
      <c r="C5229" s="6">
        <v>1.0</v>
      </c>
      <c r="D5229" s="9" t="s">
        <v>9608</v>
      </c>
      <c r="E5229" s="8" t="str">
        <f>IFERROR(__xludf.DUMMYFUNCTION("googletranslate(D5229,""id"",""en"")"),"Previously, thank you because Kaka already has this ga, in the middle of the PPKM and this pandemic right ""There is no income because of the school from the house, want to ask for parents to be the same again, pliss, Sis, Makasi Previous")</f>
        <v>Previously, thank you because Kaka already has this ga, in the middle of the PPKM and this pandemic right "There is no income because of the school from the house, want to ask for parents to be the same again, pliss, Sis, Makasi Previous</v>
      </c>
    </row>
    <row r="5230" ht="15.75" customHeight="1">
      <c r="A5230" s="2">
        <v>5233.0</v>
      </c>
      <c r="B5230" s="5" t="s">
        <v>9609</v>
      </c>
      <c r="C5230" s="6">
        <v>2.0</v>
      </c>
      <c r="D5230" s="7" t="s">
        <v>9610</v>
      </c>
      <c r="E5230" s="8" t="str">
        <f>IFERROR(__xludf.DUMMYFUNCTION("googletranslate(D5230,""id"",""en"")"),"ppkm finished want to buy batagor")</f>
        <v>ppkm finished want to buy batagor</v>
      </c>
    </row>
    <row r="5231" ht="15.75" customHeight="1">
      <c r="A5231" s="2">
        <v>5234.0</v>
      </c>
      <c r="B5231" s="5" t="s">
        <v>9611</v>
      </c>
      <c r="C5231" s="6">
        <v>1.0</v>
      </c>
      <c r="D5231" s="9" t="s">
        <v>9612</v>
      </c>
      <c r="E5231" s="8" t="str">
        <f>IFERROR(__xludf.DUMMYFUNCTION("googletranslate(D5231,""id"",""en"")"),"Until now I still don't understand, the point is to make a road fitting PPKM to make a fuck?")</f>
        <v>Until now I still don't understand, the point is to make a road fitting PPKM to make a fuck?</v>
      </c>
    </row>
    <row r="5232" ht="15.75" customHeight="1">
      <c r="A5232" s="2">
        <v>5235.0</v>
      </c>
      <c r="B5232" s="5" t="s">
        <v>9613</v>
      </c>
      <c r="C5232" s="6">
        <v>2.0</v>
      </c>
      <c r="D5232" s="7" t="s">
        <v>9614</v>
      </c>
      <c r="E5232" s="8" t="str">
        <f>IFERROR(__xludf.DUMMYFUNCTION("googletranslate(D5232,""id"",""en"")"),"Because again PPKM.")</f>
        <v>Because again PPKM.</v>
      </c>
    </row>
    <row r="5233" ht="15.75" customHeight="1">
      <c r="A5233" s="2">
        <v>5236.0</v>
      </c>
      <c r="B5233" s="5" t="s">
        <v>9615</v>
      </c>
      <c r="C5233" s="6">
        <v>1.0</v>
      </c>
      <c r="D5233" s="7" t="s">
        <v>9616</v>
      </c>
      <c r="E5233" s="8" t="str">
        <f>IFERROR(__xludf.DUMMYFUNCTION("googletranslate(D5233,""id"",""en"")"),"Kyk there is an extension of lgi jdi ppkm level up hot jetetot")</f>
        <v>Kyk there is an extension of lgi jdi ppkm level up hot jetetot</v>
      </c>
    </row>
    <row r="5234" ht="15.75" customHeight="1">
      <c r="A5234" s="2">
        <v>5237.0</v>
      </c>
      <c r="B5234" s="5" t="s">
        <v>9617</v>
      </c>
      <c r="C5234" s="6">
        <v>1.0</v>
      </c>
      <c r="D5234" s="7" t="s">
        <v>9618</v>
      </c>
      <c r="E5234" s="8" t="str">
        <f>IFERROR(__xludf.DUMMYFUNCTION("googletranslate(D5234,""id"",""en"")"),"the part of the political party, how come the fool of ginilockdonw ma ppkm aje can't be able to use big doank bacot")</f>
        <v>the part of the political party, how come the fool of ginilockdonw ma ppkm aje can't be able to use big doank bacot</v>
      </c>
    </row>
    <row r="5235" ht="15.75" customHeight="1">
      <c r="A5235" s="2">
        <v>5238.0</v>
      </c>
      <c r="B5235" s="5" t="s">
        <v>9619</v>
      </c>
      <c r="C5235" s="6">
        <v>1.0</v>
      </c>
      <c r="D5235" s="7" t="s">
        <v>9620</v>
      </c>
      <c r="E5235" s="8" t="str">
        <f>IFERROR(__xludf.DUMMYFUNCTION("googletranslate(D5235,""id"",""en"")"),"The store closes kak because of PPKM. Can I help ?")</f>
        <v>The store closes kak because of PPKM. Can I help ?</v>
      </c>
    </row>
    <row r="5236" ht="15.75" customHeight="1">
      <c r="A5236" s="2">
        <v>5239.0</v>
      </c>
      <c r="B5236" s="5" t="s">
        <v>9621</v>
      </c>
      <c r="C5236" s="6">
        <v>1.0</v>
      </c>
      <c r="D5236" s="7" t="s">
        <v>9622</v>
      </c>
      <c r="E5236" s="8" t="str">
        <f>IFERROR(__xludf.DUMMYFUNCTION("googletranslate(D5236,""id"",""en"")"),"Want to copy it also can't ye ppkm")</f>
        <v>Want to copy it also can't ye ppkm</v>
      </c>
    </row>
    <row r="5237" ht="15.75" customHeight="1">
      <c r="A5237" s="2">
        <v>5240.0</v>
      </c>
      <c r="B5237" s="5" t="s">
        <v>9623</v>
      </c>
      <c r="C5237" s="6">
        <v>1.0</v>
      </c>
      <c r="D5237" s="9" t="s">
        <v>9623</v>
      </c>
      <c r="E5237" s="8" t="str">
        <f>IFERROR(__xludf.DUMMYFUNCTION("googletranslate(D5237,""id"",""en"")"),"tomorrow, the last day of the PPKM is just a GBLok calendar")</f>
        <v>tomorrow, the last day of the PPKM is just a GBLok calendar</v>
      </c>
    </row>
    <row r="5238" ht="15.75" customHeight="1">
      <c r="A5238" s="2">
        <v>5241.0</v>
      </c>
      <c r="B5238" s="5" t="s">
        <v>9624</v>
      </c>
      <c r="C5238" s="6">
        <v>1.0</v>
      </c>
      <c r="D5238" s="9" t="s">
        <v>9625</v>
      </c>
      <c r="E5238" s="8" t="str">
        <f>IFERROR(__xludf.DUMMYFUNCTION("googletranslate(D5238,""id"",""en"")"),"It's a stupid people, of course, choose Lockdown Lahkalau Lockdown which costs the people. If the PPKM level is called the people.")</f>
        <v>It's a stupid people, of course, choose Lockdown Lahkalau Lockdown which costs the people. If the PPKM level is called the people.</v>
      </c>
    </row>
    <row r="5239" ht="15.75" customHeight="1">
      <c r="A5239" s="2">
        <v>5242.0</v>
      </c>
      <c r="B5239" s="5" t="s">
        <v>9626</v>
      </c>
      <c r="C5239" s="6">
        <v>1.0</v>
      </c>
      <c r="D5239" s="7" t="s">
        <v>9626</v>
      </c>
      <c r="E5239" s="8" t="str">
        <f>IFERROR(__xludf.DUMMYFUNCTION("googletranslate(D5239,""id"",""en"")"),"I thought I had entered the summer, just wanted to trade in water, eh hit PPKM from God was driven using real Ujan.")</f>
        <v>I thought I had entered the summer, just wanted to trade in water, eh hit PPKM from God was driven using real Ujan.</v>
      </c>
    </row>
    <row r="5240" ht="15.75" customHeight="1">
      <c r="A5240" s="2">
        <v>5243.0</v>
      </c>
      <c r="B5240" s="5" t="s">
        <v>9627</v>
      </c>
      <c r="C5240" s="6">
        <v>2.0</v>
      </c>
      <c r="D5240" s="7" t="s">
        <v>9628</v>
      </c>
      <c r="E5240" s="8" t="str">
        <f>IFERROR(__xludf.DUMMYFUNCTION("googletranslate(D5240,""id"",""en"")"),"Yes, so ... the original HBS PPKM finished I left for JKT but was told to wait for the marriage cousin")</f>
        <v>Yes, so ... the original HBS PPKM finished I left for JKT but was told to wait for the marriage cousin</v>
      </c>
    </row>
    <row r="5241" ht="15.75" customHeight="1">
      <c r="A5241" s="2">
        <v>5244.0</v>
      </c>
      <c r="B5241" s="5" t="s">
        <v>9629</v>
      </c>
      <c r="C5241" s="6">
        <v>1.0</v>
      </c>
      <c r="D5241" s="9" t="s">
        <v>9630</v>
      </c>
      <c r="E5241" s="8" t="str">
        <f>IFERROR(__xludf.DUMMYFUNCTION("googletranslate(D5241,""id"",""en"")"),"Nearly a month PPKM has not given hope to the final round of Pandemi in Indonesia. Feeling the fog responded to the Covid-19 pandemic, the President apparently wanted to forget his call to live peacefully with Corona. Now the government is helpless, hopes"&amp;" he is full")</f>
        <v>Nearly a month PPKM has not given hope to the final round of Pandemi in Indonesia. Feeling the fog responded to the Covid-19 pandemic, the President apparently wanted to forget his call to live peacefully with Corona. Now the government is helpless, hopes he is full</v>
      </c>
    </row>
    <row r="5242" ht="15.75" customHeight="1">
      <c r="A5242" s="2">
        <v>5245.0</v>
      </c>
      <c r="B5242" s="5" t="s">
        <v>9631</v>
      </c>
      <c r="C5242" s="6">
        <v>1.0</v>
      </c>
      <c r="D5242" s="9" t="s">
        <v>9632</v>
      </c>
      <c r="E5242" s="8" t="str">
        <f>IFERROR(__xludf.DUMMYFUNCTION("googletranslate(D5242,""id"",""en"")"),"Lockdown = Cost borne by the GovernmentPPKM = the cost of being borne by our owner, we seem reluctant to pay a fee. Principle if you can profit, fuck it with humans")</f>
        <v>Lockdown = Cost borne by the GovernmentPPKM = the cost of being borne by our owner, we seem reluctant to pay a fee. Principle if you can profit, fuck it with humans</v>
      </c>
    </row>
    <row r="5243" ht="15.75" customHeight="1">
      <c r="A5243" s="2">
        <v>5246.0</v>
      </c>
      <c r="B5243" s="5" t="s">
        <v>9633</v>
      </c>
      <c r="C5243" s="6">
        <v>1.0</v>
      </c>
      <c r="D5243" s="7" t="s">
        <v>9634</v>
      </c>
      <c r="E5243" s="8" t="str">
        <f>IFERROR(__xludf.DUMMYFUNCTION("googletranslate(D5243,""id"",""en"")"),"In the past PPKM it doesn't know no night anymore. All the same, the clock is used for laying too")</f>
        <v>In the past PPKM it doesn't know no night anymore. All the same, the clock is used for laying too</v>
      </c>
    </row>
    <row r="5244" ht="15.75" customHeight="1">
      <c r="A5244" s="2">
        <v>5247.0</v>
      </c>
      <c r="B5244" s="5" t="s">
        <v>9635</v>
      </c>
      <c r="C5244" s="6">
        <v>2.0</v>
      </c>
      <c r="D5244" s="7" t="s">
        <v>9636</v>
      </c>
      <c r="E5244" s="8" t="str">
        <f>IFERROR(__xludf.DUMMYFUNCTION("googletranslate(D5244,""id"",""en"")"),"""Extended PPKM"" ~ he said")</f>
        <v>"Extended PPKM" ~ he said</v>
      </c>
    </row>
    <row r="5245" ht="15.75" customHeight="1">
      <c r="A5245" s="2">
        <v>5248.0</v>
      </c>
      <c r="B5245" s="5" t="s">
        <v>9637</v>
      </c>
      <c r="C5245" s="6">
        <v>1.0</v>
      </c>
      <c r="D5245" s="9" t="s">
        <v>9638</v>
      </c>
      <c r="E5245" s="8" t="str">
        <f>IFERROR(__xludf.DUMMYFUNCTION("googletranslate(D5245,""id"",""en"")"),"Does not change the febal, the longer the PPKM. It should be highlighted")</f>
        <v>Does not change the febal, the longer the PPKM. It should be highlighted</v>
      </c>
    </row>
    <row r="5246" ht="15.75" customHeight="1">
      <c r="A5246" s="2">
        <v>5249.0</v>
      </c>
      <c r="B5246" s="5" t="s">
        <v>9639</v>
      </c>
      <c r="C5246" s="6">
        <v>2.0</v>
      </c>
      <c r="D5246" s="7" t="s">
        <v>9639</v>
      </c>
      <c r="E5246" s="8" t="str">
        <f>IFERROR(__xludf.DUMMYFUNCTION("googletranslate(D5246,""id"",""en"")"),"Means today PPKM finished?")</f>
        <v>Means today PPKM finished?</v>
      </c>
    </row>
    <row r="5247" ht="15.75" customHeight="1">
      <c r="A5247" s="2">
        <v>5250.0</v>
      </c>
      <c r="B5247" s="5" t="s">
        <v>9640</v>
      </c>
      <c r="C5247" s="6">
        <v>2.0</v>
      </c>
      <c r="D5247" s="7" t="s">
        <v>9641</v>
      </c>
      <c r="E5247" s="8" t="str">
        <f>IFERROR(__xludf.DUMMYFUNCTION("googletranslate(D5247,""id"",""en"")"),"Rent the ppkm ppkm yok field playing badminton")</f>
        <v>Rent the ppkm ppkm yok field playing badminton</v>
      </c>
    </row>
    <row r="5248" ht="15.75" customHeight="1">
      <c r="A5248" s="2">
        <v>5251.0</v>
      </c>
      <c r="B5248" s="5" t="s">
        <v>9642</v>
      </c>
      <c r="C5248" s="6">
        <v>3.0</v>
      </c>
      <c r="D5248" s="9" t="s">
        <v>9642</v>
      </c>
      <c r="E5248" s="8" t="str">
        <f>IFERROR(__xludf.DUMMYFUNCTION("googletranslate(D5248,""id"",""en"")"),"This single must be happy because of this PPKM, so you don't need to hurt the content of uwwu weekend with a boyfriend")</f>
        <v>This single must be happy because of this PPKM, so you don't need to hurt the content of uwwu weekend with a boyfriend</v>
      </c>
    </row>
    <row r="5249" ht="15.75" customHeight="1">
      <c r="A5249" s="2">
        <v>5252.0</v>
      </c>
      <c r="B5249" s="5" t="s">
        <v>9643</v>
      </c>
      <c r="C5249" s="6">
        <v>1.0</v>
      </c>
      <c r="D5249" s="9" t="s">
        <v>9644</v>
      </c>
      <c r="E5249" s="8" t="str">
        <f>IFERROR(__xludf.DUMMYFUNCTION("googletranslate(D5249,""id"",""en"")"),"Yusril assessed the government's legal basis in handling Covid-19 MSH problematic. Example PPKM Level $ Number $ which is only arranged through the Minister of Home Affairs Instructions. Likewise the involvement of the Minister of BUMN &amp; amp; Menko Marves"&amp;" in handling Covid-19 which is considered not in accordance with the task.")</f>
        <v>Yusril assessed the government's legal basis in handling Covid-19 MSH problematic. Example PPKM Level $ Number $ which is only arranged through the Minister of Home Affairs Instructions. Likewise the involvement of the Minister of BUMN &amp; amp; Menko Marves in handling Covid-19 which is considered not in accordance with the task.</v>
      </c>
    </row>
    <row r="5250" ht="15.75" customHeight="1">
      <c r="A5250" s="2">
        <v>5253.0</v>
      </c>
      <c r="B5250" s="5" t="s">
        <v>9645</v>
      </c>
      <c r="C5250" s="6">
        <v>2.0</v>
      </c>
      <c r="D5250" s="7" t="s">
        <v>9646</v>
      </c>
      <c r="E5250" s="8" t="str">
        <f>IFERROR(__xludf.DUMMYFUNCTION("googletranslate(D5250,""id"",""en"")"),"Hopefully the account g will join Emergency PPKM.")</f>
        <v>Hopefully the account g will join Emergency PPKM.</v>
      </c>
    </row>
    <row r="5251" ht="15.75" customHeight="1">
      <c r="A5251" s="2">
        <v>5254.0</v>
      </c>
      <c r="B5251" s="5" t="s">
        <v>9647</v>
      </c>
      <c r="C5251" s="6">
        <v>1.0</v>
      </c>
      <c r="D5251" s="7" t="s">
        <v>9647</v>
      </c>
      <c r="E5251" s="8" t="str">
        <f>IFERROR(__xludf.DUMMYFUNCTION("googletranslate(D5251,""id"",""en"")"),"Until whenever a policy is not accompanied by a legal sanction will continue to prevention Covid-19 it will not work optimally. Moreover, accompanied by each person's behavior does not heed PPKM ...")</f>
        <v>Until whenever a policy is not accompanied by a legal sanction will continue to prevention Covid-19 it will not work optimally. Moreover, accompanied by each person's behavior does not heed PPKM ...</v>
      </c>
    </row>
    <row r="5252" ht="15.75" customHeight="1">
      <c r="A5252" s="2">
        <v>5255.0</v>
      </c>
      <c r="B5252" s="5" t="s">
        <v>9648</v>
      </c>
      <c r="C5252" s="6">
        <v>1.0</v>
      </c>
      <c r="D5252" s="9" t="s">
        <v>9649</v>
      </c>
      <c r="E5252" s="8" t="str">
        <f>IFERROR(__xludf.DUMMYFUNCTION("googletranslate(D5252,""id"",""en"")"),"It's crazy, there are a lot of people who watch ... when they are junior high school, they have participated in the competition to the SMD, the inn is really right in the area, imagine at 3:5 a.m., I have with a friend, bro, they are ready to practice, th"&amp;"ey are still noisy motorbike again, wild racing, but it's strange that this is the PPKM period")</f>
        <v>It's crazy, there are a lot of people who watch ... when they are junior high school, they have participated in the competition to the SMD, the inn is really right in the area, imagine at 3:5 a.m., I have with a friend, bro, they are ready to practice, they are still noisy motorbike again, wild racing, but it's strange that this is the PPKM period</v>
      </c>
    </row>
    <row r="5253" ht="15.75" customHeight="1">
      <c r="A5253" s="2">
        <v>5256.0</v>
      </c>
      <c r="B5253" s="5" t="s">
        <v>9650</v>
      </c>
      <c r="C5253" s="6">
        <v>2.0</v>
      </c>
      <c r="D5253" s="7" t="s">
        <v>9651</v>
      </c>
      <c r="E5253" s="8" t="str">
        <f>IFERROR(__xludf.DUMMYFUNCTION("googletranslate(D5253,""id"",""en"")"),"Good morning the LDR, may meet at the date, it's already ppkm")</f>
        <v>Good morning the LDR, may meet at the date, it's already ppkm</v>
      </c>
    </row>
    <row r="5254" ht="15.75" customHeight="1">
      <c r="A5254" s="2">
        <v>5257.0</v>
      </c>
      <c r="B5254" s="5" t="s">
        <v>9652</v>
      </c>
      <c r="C5254" s="6">
        <v>2.0</v>
      </c>
      <c r="D5254" s="7" t="s">
        <v>9653</v>
      </c>
      <c r="E5254" s="8" t="str">
        <f>IFERROR(__xludf.DUMMYFUNCTION("googletranslate(D5254,""id"",""en"")"),"Kangen Night Ride in Surabaya Doesn't Min? I miss it. Hopefully the PPKM is quickly finished, and Coronice is also fast finished")</f>
        <v>Kangen Night Ride in Surabaya Doesn't Min? I miss it. Hopefully the PPKM is quickly finished, and Coronice is also fast finished</v>
      </c>
    </row>
    <row r="5255" ht="15.75" customHeight="1">
      <c r="A5255" s="2">
        <v>5258.0</v>
      </c>
      <c r="B5255" s="5" t="s">
        <v>9654</v>
      </c>
      <c r="C5255" s="6">
        <v>2.0</v>
      </c>
      <c r="D5255" s="7" t="s">
        <v>9655</v>
      </c>
      <c r="E5255" s="8" t="str">
        <f>IFERROR(__xludf.DUMMYFUNCTION("googletranslate(D5255,""id"",""en"")"),"I haven't heard for a long time, how come the morning arrived today there was a dawn educated? again ppkm too")</f>
        <v>I haven't heard for a long time, how come the morning arrived today there was a dawn educated? again ppkm too</v>
      </c>
    </row>
    <row r="5256" ht="15.75" customHeight="1">
      <c r="A5256" s="2">
        <v>5259.0</v>
      </c>
      <c r="B5256" s="5" t="s">
        <v>9656</v>
      </c>
      <c r="C5256" s="6">
        <v>2.0</v>
      </c>
      <c r="D5256" s="7" t="s">
        <v>9657</v>
      </c>
      <c r="E5256" s="8" t="str">
        <f>IFERROR(__xludf.DUMMYFUNCTION("googletranslate(D5256,""id"",""en"")"),"Hopefully it remains stable even though PPKM")</f>
        <v>Hopefully it remains stable even though PPKM</v>
      </c>
    </row>
    <row r="5257" ht="15.75" customHeight="1">
      <c r="A5257" s="2">
        <v>5260.0</v>
      </c>
      <c r="B5257" s="5" t="s">
        <v>9658</v>
      </c>
      <c r="C5257" s="6">
        <v>1.0</v>
      </c>
      <c r="D5257" s="9" t="s">
        <v>9659</v>
      </c>
      <c r="E5257" s="8" t="str">
        <f>IFERROR(__xludf.DUMMYFUNCTION("googletranslate(D5257,""id"",""en"")"),"Iyaaa from elementary school, it's only new to the tonsils. Want to ENT but I'm afraid of Gini's PPKM again")</f>
        <v>Iyaaa from elementary school, it's only new to the tonsils. Want to ENT but I'm afraid of Gini's PPKM again</v>
      </c>
    </row>
    <row r="5258" ht="15.75" customHeight="1">
      <c r="A5258" s="2">
        <v>5261.0</v>
      </c>
      <c r="B5258" s="5" t="s">
        <v>9660</v>
      </c>
      <c r="C5258" s="6">
        <v>2.0</v>
      </c>
      <c r="D5258" s="9" t="s">
        <v>9661</v>
      </c>
      <c r="E5258" s="8" t="str">
        <f>IFERROR(__xludf.DUMMYFUNCTION("googletranslate(D5258,""id"",""en"")"),"Fun motives, abg bring cars in the morning blind, come out right again ppkm ....?!")</f>
        <v>Fun motives, abg bring cars in the morning blind, come out right again ppkm ....?!</v>
      </c>
    </row>
    <row r="5259" ht="15.75" customHeight="1">
      <c r="A5259" s="2">
        <v>5262.0</v>
      </c>
      <c r="B5259" s="5" t="s">
        <v>9662</v>
      </c>
      <c r="C5259" s="6">
        <v>2.0</v>
      </c>
      <c r="D5259" s="9" t="s">
        <v>9663</v>
      </c>
      <c r="E5259" s="8" t="str">
        <f>IFERROR(__xludf.DUMMYFUNCTION("googletranslate(D5259,""id"",""en"")"),"Well ... I'm not saying goodbye to the high school cpk ppkm .. want to find ssorg sbntr just gt..wkwkwk")</f>
        <v>Well ... I'm not saying goodbye to the high school cpk ppkm .. want to find ssorg sbntr just gt..wkwkwk</v>
      </c>
    </row>
    <row r="5260" ht="15.75" customHeight="1">
      <c r="A5260" s="2">
        <v>5263.0</v>
      </c>
      <c r="B5260" s="5" t="s">
        <v>9664</v>
      </c>
      <c r="C5260" s="6">
        <v>2.0</v>
      </c>
      <c r="D5260" s="7" t="s">
        <v>9665</v>
      </c>
      <c r="E5260" s="8" t="str">
        <f>IFERROR(__xludf.DUMMYFUNCTION("googletranslate(D5260,""id"",""en"")"),": PSBB2021: PPKM2022: MPLS")</f>
        <v>: PSBB2021: PPKM2022: MPLS</v>
      </c>
    </row>
    <row r="5261" ht="15.75" customHeight="1">
      <c r="A5261" s="2">
        <v>5264.0</v>
      </c>
      <c r="B5261" s="5" t="s">
        <v>9666</v>
      </c>
      <c r="C5261" s="6">
        <v>1.0</v>
      </c>
      <c r="D5261" s="9" t="s">
        <v>9666</v>
      </c>
      <c r="E5261" s="8" t="str">
        <f>IFERROR(__xludf.DUMMYFUNCTION("googletranslate(D5261,""id"",""en"")"),"PPKM: Never cared then forget")</f>
        <v>PPKM: Never cared then forget</v>
      </c>
    </row>
    <row r="5262" ht="15.75" customHeight="1">
      <c r="A5262" s="2">
        <v>5265.0</v>
      </c>
      <c r="B5262" s="5" t="s">
        <v>9667</v>
      </c>
      <c r="C5262" s="6">
        <v>2.0</v>
      </c>
      <c r="D5262" s="7" t="s">
        <v>9667</v>
      </c>
      <c r="E5262" s="8" t="str">
        <f>IFERROR(__xludf.DUMMYFUNCTION("googletranslate(D5262,""id"",""en"")"),"Woi august, there is a spicy crazy ppkm menu or not?")</f>
        <v>Woi august, there is a spicy crazy ppkm menu or not?</v>
      </c>
    </row>
    <row r="5263" ht="15.75" customHeight="1">
      <c r="A5263" s="2">
        <v>5266.0</v>
      </c>
      <c r="B5263" s="5" t="s">
        <v>9668</v>
      </c>
      <c r="C5263" s="6">
        <v>1.0</v>
      </c>
      <c r="D5263" s="7" t="s">
        <v>9669</v>
      </c>
      <c r="E5263" s="8" t="str">
        <f>IFERROR(__xludf.DUMMYFUNCTION("googletranslate(D5263,""id"",""en"")"),"It's been this year, psbb, what ppkm who is a volume is, not a poor category that is megaped, this has all fallen bro, and it's not clear where, ..")</f>
        <v>It's been this year, psbb, what ppkm who is a volume is, not a poor category that is megaped, this has all fallen bro, and it's not clear where, ..</v>
      </c>
    </row>
    <row r="5264" ht="15.75" customHeight="1">
      <c r="A5264" s="2">
        <v>5267.0</v>
      </c>
      <c r="B5264" s="5" t="s">
        <v>9670</v>
      </c>
      <c r="C5264" s="6">
        <v>1.0</v>
      </c>
      <c r="D5264" s="7" t="s">
        <v>9671</v>
      </c>
      <c r="E5264" s="8" t="str">
        <f>IFERROR(__xludf.DUMMYFUNCTION("googletranslate(D5264,""id"",""en"")"),"Tomorrow day (020821) PPKM will rename again. Dizziness of the regime thinking about the name of the activity instead of the contents of the activity.")</f>
        <v>Tomorrow day (020821) PPKM will rename again. Dizziness of the regime thinking about the name of the activity instead of the contents of the activity.</v>
      </c>
    </row>
    <row r="5265" ht="15.75" customHeight="1">
      <c r="A5265" s="2">
        <v>5268.0</v>
      </c>
      <c r="B5265" s="5" t="s">
        <v>9672</v>
      </c>
      <c r="C5265" s="6">
        <v>2.0</v>
      </c>
      <c r="D5265" s="7" t="s">
        <v>9673</v>
      </c>
      <c r="E5265" s="8" t="str">
        <f>IFERROR(__xludf.DUMMYFUNCTION("googletranslate(D5265,""id"",""en"")"),"It's the same, PPKM makes me often dream. The most exciting dream was pursued by zombies.")</f>
        <v>It's the same, PPKM makes me often dream. The most exciting dream was pursued by zombies.</v>
      </c>
    </row>
    <row r="5266" ht="15.75" customHeight="1">
      <c r="A5266" s="2">
        <v>5269.0</v>
      </c>
      <c r="B5266" s="5" t="s">
        <v>9674</v>
      </c>
      <c r="C5266" s="6">
        <v>1.0</v>
      </c>
      <c r="D5266" s="9" t="s">
        <v>9675</v>
      </c>
      <c r="E5266" s="8" t="str">
        <f>IFERROR(__xludf.DUMMYFUNCTION("googletranslate(D5266,""id"",""en"")"),"We are not Elergy PSBB, PPKM, Lock Down sir. country questions that make our elergy. Wong our lives are guaranteed according to the Constitution")</f>
        <v>We are not Elergy PSBB, PPKM, Lock Down sir. country questions that make our elergy. Wong our lives are guaranteed according to the Constitution</v>
      </c>
    </row>
    <row r="5267" ht="15.75" customHeight="1">
      <c r="A5267" s="2">
        <v>5270.0</v>
      </c>
      <c r="B5267" s="5" t="s">
        <v>9676</v>
      </c>
      <c r="C5267" s="6">
        <v>1.0</v>
      </c>
      <c r="D5267" s="7" t="s">
        <v>9677</v>
      </c>
      <c r="E5267" s="8" t="str">
        <f>IFERROR(__xludf.DUMMYFUNCTION("googletranslate(D5267,""id"",""en"")"),"Now where can it be able to because PPKM")</f>
        <v>Now where can it be able to because PPKM</v>
      </c>
    </row>
    <row r="5268" ht="15.75" customHeight="1">
      <c r="A5268" s="2">
        <v>5271.0</v>
      </c>
      <c r="B5268" s="5" t="s">
        <v>9678</v>
      </c>
      <c r="C5268" s="6">
        <v>1.0</v>
      </c>
      <c r="D5268" s="7" t="s">
        <v>9679</v>
      </c>
      <c r="E5268" s="8" t="str">
        <f>IFERROR(__xludf.DUMMYFUNCTION("googletranslate(D5268,""id"",""en"")"),"Want to check but still scared to ENT because of PPKM Gini")</f>
        <v>Want to check but still scared to ENT because of PPKM Gini</v>
      </c>
    </row>
    <row r="5269" ht="15.75" customHeight="1">
      <c r="A5269" s="2">
        <v>5272.0</v>
      </c>
      <c r="B5269" s="5" t="s">
        <v>9680</v>
      </c>
      <c r="C5269" s="6">
        <v>1.0</v>
      </c>
      <c r="D5269" s="9" t="s">
        <v>9681</v>
      </c>
      <c r="E5269" s="8" t="str">
        <f>IFERROR(__xludf.DUMMYFUNCTION("googletranslate(D5269,""id"",""en"")"),"Please, the president of the Covid D TV President was stopped. Call all TV station owners, soothing news will be much better and make strong immuns. For the Satpol PP doesn't make a noisy if there is a PPKM enforcement task")</f>
        <v>Please, the president of the Covid D TV President was stopped. Call all TV station owners, soothing news will be much better and make strong immuns. For the Satpol PP doesn't make a noisy if there is a PPKM enforcement task</v>
      </c>
    </row>
    <row r="5270" ht="15.75" customHeight="1">
      <c r="A5270" s="2">
        <v>5273.0</v>
      </c>
      <c r="B5270" s="5" t="s">
        <v>9682</v>
      </c>
      <c r="C5270" s="6">
        <v>1.0</v>
      </c>
      <c r="D5270" s="9" t="s">
        <v>9683</v>
      </c>
      <c r="E5270" s="8" t="str">
        <f>IFERROR(__xludf.DUMMYFUNCTION("googletranslate(D5270,""id"",""en"")"),"Durable because again the ppkm we just play first")</f>
        <v>Durable because again the ppkm we just play first</v>
      </c>
    </row>
    <row r="5271" ht="15.75" customHeight="1">
      <c r="A5271" s="2">
        <v>5274.0</v>
      </c>
      <c r="B5271" s="5" t="s">
        <v>9684</v>
      </c>
      <c r="C5271" s="6">
        <v>2.0</v>
      </c>
      <c r="D5271" s="10" t="s">
        <v>2939</v>
      </c>
      <c r="E5271" s="8" t="str">
        <f>IFERROR(__xludf.DUMMYFUNCTION("googletranslate(D5271,""id"",""en"")"),"PPKM Mas.")</f>
        <v>PPKM Mas.</v>
      </c>
    </row>
    <row r="5272" ht="15.75" customHeight="1">
      <c r="A5272" s="2">
        <v>5275.0</v>
      </c>
      <c r="B5272" s="5" t="s">
        <v>9685</v>
      </c>
      <c r="C5272" s="6">
        <v>2.0</v>
      </c>
      <c r="D5272" s="10" t="s">
        <v>9686</v>
      </c>
      <c r="E5272" s="8" t="str">
        <f>IFERROR(__xludf.DUMMYFUNCTION("googletranslate(D5272,""id"",""en"")"),"Ppkm again .....")</f>
        <v>Ppkm again .....</v>
      </c>
    </row>
    <row r="5273" ht="15.75" customHeight="1">
      <c r="A5273" s="2">
        <v>5276.0</v>
      </c>
      <c r="B5273" s="5" t="s">
        <v>9687</v>
      </c>
      <c r="C5273" s="6">
        <v>2.0</v>
      </c>
      <c r="D5273" s="7" t="s">
        <v>9687</v>
      </c>
      <c r="E5273" s="8" t="str">
        <f>IFERROR(__xludf.DUMMYFUNCTION("googletranslate(D5273,""id"",""en"")"),"Good morning, so today is still ppkm huh?")</f>
        <v>Good morning, so today is still ppkm huh?</v>
      </c>
    </row>
    <row r="5274" ht="15.75" customHeight="1">
      <c r="A5274" s="2">
        <v>5277.0</v>
      </c>
      <c r="B5274" s="5" t="s">
        <v>9688</v>
      </c>
      <c r="C5274" s="6">
        <v>1.0</v>
      </c>
      <c r="D5274" s="7" t="s">
        <v>9689</v>
      </c>
      <c r="E5274" s="8" t="str">
        <f>IFERROR(__xludf.DUMMYFUNCTION("googletranslate(D5274,""id"",""en"")"),"The government's ability to examine the PPKM has succeeded in making the people anxious due to the actions of law enforcers who actually become a more tangled handling of covid pandemic. Those who give input instead are nyinyir. Squat IQ")</f>
        <v>The government's ability to examine the PPKM has succeeded in making the people anxious due to the actions of law enforcers who actually become a more tangled handling of covid pandemic. Those who give input instead are nyinyir. Squat IQ</v>
      </c>
    </row>
    <row r="5275" ht="15.75" customHeight="1">
      <c r="A5275" s="2">
        <v>5278.0</v>
      </c>
      <c r="B5275" s="5" t="s">
        <v>9690</v>
      </c>
      <c r="C5275" s="6">
        <v>2.0</v>
      </c>
      <c r="D5275" s="7" t="s">
        <v>9690</v>
      </c>
      <c r="E5275" s="8" t="str">
        <f>IFERROR(__xludf.DUMMYFUNCTION("googletranslate(D5275,""id"",""en"")"),"Hopefully this August has no PPKM PPKM again")</f>
        <v>Hopefully this August has no PPKM PPKM again</v>
      </c>
    </row>
    <row r="5276" ht="15.75" customHeight="1">
      <c r="A5276" s="2">
        <v>5279.0</v>
      </c>
      <c r="B5276" s="5" t="s">
        <v>9691</v>
      </c>
      <c r="C5276" s="6">
        <v>1.0</v>
      </c>
      <c r="D5276" s="9" t="s">
        <v>9692</v>
      </c>
      <c r="E5276" s="8" t="str">
        <f>IFERROR(__xludf.DUMMYFUNCTION("googletranslate(D5276,""id"",""en"")"),"Blaming the people of the head of the state of the country fuck, just try the dwon lock sir a tight pack of ppkm nangung society in the persuine with unclear policy, implementing the PPKM Kan the government does not go out a lot of costs, and and can kill"&amp;" the people because they are sandwiched")</f>
        <v>Blaming the people of the head of the state of the country fuck, just try the dwon lock sir a tight pack of ppkm nangung society in the persuine with unclear policy, implementing the PPKM Kan the government does not go out a lot of costs, and and can kill the people because they are sandwiched</v>
      </c>
    </row>
    <row r="5277" ht="15.75" customHeight="1">
      <c r="A5277" s="2">
        <v>5280.0</v>
      </c>
      <c r="B5277" s="5" t="s">
        <v>9693</v>
      </c>
      <c r="C5277" s="6">
        <v>2.0</v>
      </c>
      <c r="D5277" s="9" t="s">
        <v>9694</v>
      </c>
      <c r="E5277" s="8" t="str">
        <f>IFERROR(__xludf.DUMMYFUNCTION("googletranslate(D5277,""id"",""en"")"),"The solution in the PPKM period is endless")</f>
        <v>The solution in the PPKM period is endless</v>
      </c>
    </row>
    <row r="5278" ht="15.75" customHeight="1">
      <c r="A5278" s="2">
        <v>5281.0</v>
      </c>
      <c r="B5278" s="5" t="s">
        <v>9695</v>
      </c>
      <c r="C5278" s="6">
        <v>2.0</v>
      </c>
      <c r="D5278" s="7" t="s">
        <v>9696</v>
      </c>
      <c r="E5278" s="8" t="str">
        <f>IFERROR(__xludf.DUMMYFUNCTION("googletranslate(D5278,""id"",""en"")"),"Answered by the mystery at the art of sleeping in the PPKM period, which is less tired of being born inner. Yes, how usually x a week Muaythai. There is no attachment")</f>
        <v>Answered by the mystery at the art of sleeping in the PPKM period, which is less tired of being born inner. Yes, how usually x a week Muaythai. There is no attachment</v>
      </c>
    </row>
    <row r="5279" ht="15.75" customHeight="1">
      <c r="A5279" s="2">
        <v>5282.0</v>
      </c>
      <c r="B5279" s="5" t="s">
        <v>9697</v>
      </c>
      <c r="C5279" s="6">
        <v>1.0</v>
      </c>
      <c r="D5279" s="7" t="s">
        <v>9698</v>
      </c>
      <c r="E5279" s="8" t="str">
        <f>IFERROR(__xludf.DUMMYFUNCTION("googletranslate(D5279,""id"",""en"")"),"hope that the last bnr2 bnr2 ppkm, sue emang ..")</f>
        <v>hope that the last bnr2 bnr2 ppkm, sue emang ..</v>
      </c>
    </row>
    <row r="5280" ht="15.75" customHeight="1">
      <c r="A5280" s="2">
        <v>5283.0</v>
      </c>
      <c r="B5280" s="5" t="s">
        <v>9699</v>
      </c>
      <c r="C5280" s="6">
        <v>1.0</v>
      </c>
      <c r="D5280" s="9" t="s">
        <v>9700</v>
      </c>
      <c r="E5280" s="8" t="str">
        <f>IFERROR(__xludf.DUMMYFUNCTION("googletranslate(D5280,""id"",""en"")"),"Jokowi said the people had screamed because of the Emergency PPKM, Epidemiologist UI: Then what can we do sir? Yes, wait for the boss help")</f>
        <v>Jokowi said the people had screamed because of the Emergency PPKM, Epidemiologist UI: Then what can we do sir? Yes, wait for the boss help</v>
      </c>
    </row>
    <row r="5281" ht="15.75" customHeight="1">
      <c r="A5281" s="2">
        <v>5284.0</v>
      </c>
      <c r="B5281" s="5" t="s">
        <v>9701</v>
      </c>
      <c r="C5281" s="6">
        <v>1.0</v>
      </c>
      <c r="D5281" s="7" t="s">
        <v>9701</v>
      </c>
      <c r="E5281" s="8" t="str">
        <f>IFERROR(__xludf.DUMMYFUNCTION("googletranslate(D5281,""id"",""en"")"),"kl nga ppkm uda dating w")</f>
        <v>kl nga ppkm uda dating w</v>
      </c>
    </row>
    <row r="5282" ht="15.75" customHeight="1">
      <c r="A5282" s="2">
        <v>5285.0</v>
      </c>
      <c r="B5282" s="5" t="s">
        <v>9702</v>
      </c>
      <c r="C5282" s="6">
        <v>1.0</v>
      </c>
      <c r="D5282" s="7" t="s">
        <v>9703</v>
      </c>
      <c r="E5282" s="8" t="str">
        <f>IFERROR(__xludf.DUMMYFUNCTION("googletranslate(D5282,""id"",""en"")"),"They are probably probably because there is a PPKM continued times, the incident of the peak of public anger")</f>
        <v>They are probably probably because there is a PPKM continued times, the incident of the peak of public anger</v>
      </c>
    </row>
    <row r="5283" ht="15.75" customHeight="1">
      <c r="A5283" s="2">
        <v>5286.0</v>
      </c>
      <c r="B5283" s="5" t="s">
        <v>9704</v>
      </c>
      <c r="C5283" s="6">
        <v>1.0</v>
      </c>
      <c r="D5283" s="9" t="s">
        <v>9704</v>
      </c>
      <c r="E5283" s="8" t="str">
        <f>IFERROR(__xludf.DUMMYFUNCTION("googletranslate(D5283,""id"",""en"")"),"ppkm makes w")</f>
        <v>ppkm makes w</v>
      </c>
    </row>
    <row r="5284" ht="15.75" customHeight="1">
      <c r="A5284" s="2">
        <v>5287.0</v>
      </c>
      <c r="B5284" s="5" t="s">
        <v>9705</v>
      </c>
      <c r="C5284" s="6">
        <v>1.0</v>
      </c>
      <c r="D5284" s="9" t="s">
        <v>9706</v>
      </c>
      <c r="E5284" s="8" t="str">
        <f>IFERROR(__xludf.DUMMYFUNCTION("googletranslate(D5284,""id"",""en"")"),"You can not give you a thrown of the end of the PPKM, the H-1 is announced that the previous few days have been evaluated, so the other agencies that depend on the policy can also quickly plan")</f>
        <v>You can not give you a thrown of the end of the PPKM, the H-1 is announced that the previous few days have been evaluated, so the other agencies that depend on the policy can also quickly plan</v>
      </c>
    </row>
    <row r="5285" ht="15.75" customHeight="1">
      <c r="A5285" s="2">
        <v>5288.0</v>
      </c>
      <c r="B5285" s="5" t="s">
        <v>9707</v>
      </c>
      <c r="C5285" s="6">
        <v>2.0</v>
      </c>
      <c r="D5285" s="7" t="s">
        <v>9708</v>
      </c>
      <c r="E5285" s="8" t="str">
        <f>IFERROR(__xludf.DUMMYFUNCTION("googletranslate(D5285,""id"",""en"")"),"Tomorrow finished PPKM already able to ride the KRL without a road certificate, no one knows? Fess.")</f>
        <v>Tomorrow finished PPKM already able to ride the KRL without a road certificate, no one knows? Fess.</v>
      </c>
    </row>
    <row r="5286" ht="15.75" customHeight="1">
      <c r="A5286" s="2">
        <v>5289.0</v>
      </c>
      <c r="B5286" s="5" t="s">
        <v>9709</v>
      </c>
      <c r="C5286" s="6">
        <v>2.0</v>
      </c>
      <c r="D5286" s="7" t="s">
        <v>9710</v>
      </c>
      <c r="E5286" s="8" t="str">
        <f>IFERROR(__xludf.DUMMYFUNCTION("googletranslate(D5286,""id"",""en"")"),"Extended PPKM?")</f>
        <v>Extended PPKM?</v>
      </c>
    </row>
    <row r="5287" ht="15.75" customHeight="1">
      <c r="A5287" s="2">
        <v>5290.0</v>
      </c>
      <c r="B5287" s="5" t="s">
        <v>9711</v>
      </c>
      <c r="C5287" s="6">
        <v>2.0</v>
      </c>
      <c r="D5287" s="7" t="s">
        <v>9712</v>
      </c>
      <c r="E5287" s="8" t="str">
        <f>IFERROR(__xludf.DUMMYFUNCTION("googletranslate(D5287,""id"",""en"")"),"Orange follows PPKM too?")</f>
        <v>Orange follows PPKM too?</v>
      </c>
    </row>
    <row r="5288" ht="15.75" customHeight="1">
      <c r="A5288" s="2">
        <v>5291.0</v>
      </c>
      <c r="B5288" s="5" t="s">
        <v>9713</v>
      </c>
      <c r="C5288" s="6">
        <v>1.0</v>
      </c>
      <c r="D5288" s="9" t="s">
        <v>9714</v>
      </c>
      <c r="E5288" s="8" t="str">
        <f>IFERROR(__xludf.DUMMYFUNCTION("googletranslate(D5288,""id"",""en"")"),"Bosen ah at home mulu, ppkm let's hurry up !!")</f>
        <v>Bosen ah at home mulu, ppkm let's hurry up !!</v>
      </c>
    </row>
    <row r="5289" ht="15.75" customHeight="1">
      <c r="A5289" s="2">
        <v>5292.0</v>
      </c>
      <c r="B5289" s="5" t="s">
        <v>9715</v>
      </c>
      <c r="C5289" s="6">
        <v>1.0</v>
      </c>
      <c r="D5289" s="7" t="s">
        <v>9716</v>
      </c>
      <c r="E5289" s="8" t="str">
        <f>IFERROR(__xludf.DUMMYFUNCTION("googletranslate(D5289,""id"",""en"")"),"Sorry Prof. ... Mr. Kan Legal Expert ... How did you respond to discount punishment of corruptors, small demands of bansos corruptors and PCNU cases that violate PPKM ..")</f>
        <v>Sorry Prof. ... Mr. Kan Legal Expert ... How did you respond to discount punishment of corruptors, small demands of bansos corruptors and PCNU cases that violate PPKM ..</v>
      </c>
    </row>
    <row r="5290" ht="15.75" customHeight="1">
      <c r="A5290" s="2">
        <v>5293.0</v>
      </c>
      <c r="B5290" s="5" t="s">
        <v>9717</v>
      </c>
      <c r="C5290" s="6">
        <v>1.0</v>
      </c>
      <c r="D5290" s="7" t="s">
        <v>9718</v>
      </c>
      <c r="E5290" s="8" t="str">
        <f>IFERROR(__xludf.DUMMYFUNCTION("googletranslate(D5290,""id"",""en"")"),"ppkm finished when is Sie? want to buy dh, mls gofud mhal wkwk")</f>
        <v>ppkm finished when is Sie? want to buy dh, mls gofud mhal wkwk</v>
      </c>
    </row>
    <row r="5291" ht="15.75" customHeight="1">
      <c r="A5291" s="2">
        <v>5294.0</v>
      </c>
      <c r="B5291" s="5" t="s">
        <v>9719</v>
      </c>
      <c r="C5291" s="6">
        <v>1.0</v>
      </c>
      <c r="D5291" s="7" t="s">
        <v>9720</v>
      </c>
      <c r="E5291" s="8" t="str">
        <f>IFERROR(__xludf.DUMMYFUNCTION("googletranslate(D5291,""id"",""en"")"),"PPKM ... the party of corruptors mangkalppkm ... ever the winner is now metongnoh not adding two more ...")</f>
        <v>PPKM ... the party of corruptors mangkalppkm ... ever the winner is now metongnoh not adding two more ...</v>
      </c>
    </row>
    <row r="5292" ht="15.75" customHeight="1">
      <c r="A5292" s="2">
        <v>5295.0</v>
      </c>
      <c r="B5292" s="5" t="s">
        <v>9721</v>
      </c>
      <c r="C5292" s="6">
        <v>2.0</v>
      </c>
      <c r="D5292" s="7" t="s">
        <v>9722</v>
      </c>
      <c r="E5292" s="8" t="str">
        <f>IFERROR(__xludf.DUMMYFUNCTION("googletranslate(D5292,""id"",""en"")"),"Amen what wants to be chased by Lae? Right PPKM ...")</f>
        <v>Amen what wants to be chased by Lae? Right PPKM ...</v>
      </c>
    </row>
    <row r="5293" ht="15.75" customHeight="1">
      <c r="A5293" s="2">
        <v>5296.0</v>
      </c>
      <c r="B5293" s="5" t="s">
        <v>9723</v>
      </c>
      <c r="C5293" s="6">
        <v>1.0</v>
      </c>
      <c r="D5293" s="7" t="s">
        <v>9724</v>
      </c>
      <c r="E5293" s="8" t="str">
        <f>IFERROR(__xludf.DUMMYFUNCTION("googletranslate(D5293,""id"",""en"")"),"Ga discipline jgppkm yo cat2an")</f>
        <v>Ga discipline jgppkm yo cat2an</v>
      </c>
    </row>
    <row r="5294" ht="15.75" customHeight="1">
      <c r="A5294" s="2">
        <v>5297.0</v>
      </c>
      <c r="B5294" s="5" t="s">
        <v>9725</v>
      </c>
      <c r="C5294" s="6">
        <v>2.0</v>
      </c>
      <c r="D5294" s="7" t="s">
        <v>9725</v>
      </c>
      <c r="E5294" s="8" t="str">
        <f>IFERROR(__xludf.DUMMYFUNCTION("googletranslate(D5294,""id"",""en"")"),"Ppkm extended or not?")</f>
        <v>Ppkm extended or not?</v>
      </c>
    </row>
    <row r="5295" ht="15.75" customHeight="1">
      <c r="A5295" s="2">
        <v>5298.0</v>
      </c>
      <c r="B5295" s="5" t="s">
        <v>9726</v>
      </c>
      <c r="C5295" s="6">
        <v>1.0</v>
      </c>
      <c r="D5295" s="9" t="s">
        <v>9727</v>
      </c>
      <c r="E5295" s="8" t="str">
        <f>IFERROR(__xludf.DUMMYFUNCTION("googletranslate(D5295,""id"",""en"")"),"Just catch the pack if it breaks PPKM! RT: Scratch Hater to Bojonegoro when PPKM, Covid Sentil Tinggas Ortu Ayu Ting Ting")</f>
        <v>Just catch the pack if it breaks PPKM! RT: Scratch Hater to Bojonegoro when PPKM, Covid Sentil Tinggas Ortu Ayu Ting Ting</v>
      </c>
    </row>
    <row r="5296" ht="15.75" customHeight="1">
      <c r="A5296" s="2">
        <v>5299.0</v>
      </c>
      <c r="B5296" s="5" t="s">
        <v>9728</v>
      </c>
      <c r="C5296" s="6">
        <v>2.0</v>
      </c>
      <c r="D5296" s="7" t="s">
        <v>9728</v>
      </c>
      <c r="E5296" s="8" t="str">
        <f>IFERROR(__xludf.DUMMYFUNCTION("googletranslate(D5296,""id"",""en"")"),"last day ppkm let's see whether it's extended")</f>
        <v>last day ppkm let's see whether it's extended</v>
      </c>
    </row>
    <row r="5297" ht="15.75" customHeight="1">
      <c r="A5297" s="2">
        <v>5300.0</v>
      </c>
      <c r="B5297" s="5" t="s">
        <v>9729</v>
      </c>
      <c r="C5297" s="6">
        <v>2.0</v>
      </c>
      <c r="D5297" s="7" t="s">
        <v>9730</v>
      </c>
      <c r="E5297" s="8" t="str">
        <f>IFERROR(__xludf.DUMMYFUNCTION("googletranslate(D5297,""id"",""en"")"),"Does anyone want to receive? Again gini ppkm.")</f>
        <v>Does anyone want to receive? Again gini ppkm.</v>
      </c>
    </row>
    <row r="5298" ht="15.75" customHeight="1">
      <c r="A5298" s="2">
        <v>5301.0</v>
      </c>
      <c r="B5298" s="5" t="s">
        <v>9731</v>
      </c>
      <c r="C5298" s="6">
        <v>2.0</v>
      </c>
      <c r="D5298" s="7" t="s">
        <v>9731</v>
      </c>
      <c r="E5298" s="8" t="str">
        <f>IFERROR(__xludf.DUMMYFUNCTION("googletranslate(D5298,""id"",""en"")"),"Ppkm has finished it is not extended again right")</f>
        <v>Ppkm has finished it is not extended again right</v>
      </c>
    </row>
    <row r="5299" ht="15.75" customHeight="1">
      <c r="A5299" s="2">
        <v>5302.0</v>
      </c>
      <c r="B5299" s="5" t="s">
        <v>9732</v>
      </c>
      <c r="C5299" s="6">
        <v>1.0</v>
      </c>
      <c r="D5299" s="9" t="s">
        <v>9733</v>
      </c>
      <c r="E5299" s="8" t="str">
        <f>IFERROR(__xludf.DUMMYFUNCTION("googletranslate(D5299,""id"",""en"")"),"I want to CURHATTT I was left by my friend's marriage from the beginning of the initial go to the campus of the sadness of the people, but the friends are still friends, where is it, it can't be an outside Java GGra, then it's also a bestie hiksties, why "&amp;"are you married to Dolooo Marriage")</f>
        <v>I want to CURHATTT I was left by my friend's marriage from the beginning of the initial go to the campus of the sadness of the people, but the friends are still friends, where is it, it can't be an outside Java GGra, then it's also a bestie hiksties, why are you married to Dolooo Marriage</v>
      </c>
    </row>
    <row r="5300" ht="15.75" customHeight="1">
      <c r="A5300" s="2">
        <v>5303.0</v>
      </c>
      <c r="B5300" s="5" t="s">
        <v>9734</v>
      </c>
      <c r="C5300" s="6">
        <v>1.0</v>
      </c>
      <c r="D5300" s="7" t="s">
        <v>9735</v>
      </c>
      <c r="E5300" s="8" t="str">
        <f>IFERROR(__xludf.DUMMYFUNCTION("googletranslate(D5300,""id"",""en"")"),"PSBB Already Emergency has been extended with the PPKM level which will end in August. Contact the results as well as the Plant's committee is preparing to prepare a penalty shootout")</f>
        <v>PSBB Already Emergency has been extended with the PPKM level which will end in August. Contact the results as well as the Plant's committee is preparing to prepare a penalty shootout</v>
      </c>
    </row>
    <row r="5301" ht="15.75" customHeight="1">
      <c r="A5301" s="2">
        <v>5304.0</v>
      </c>
      <c r="B5301" s="5" t="s">
        <v>9736</v>
      </c>
      <c r="C5301" s="6">
        <v>2.0</v>
      </c>
      <c r="D5301" s="7" t="s">
        <v>9737</v>
      </c>
      <c r="E5301" s="8" t="str">
        <f>IFERROR(__xludf.DUMMYFUNCTION("googletranslate(D5301,""id"",""en"")"),"Ga everywhere lg ppkm")</f>
        <v>Ga everywhere lg ppkm</v>
      </c>
    </row>
    <row r="5302" ht="15.75" customHeight="1">
      <c r="A5302" s="2">
        <v>5305.0</v>
      </c>
      <c r="B5302" s="5" t="s">
        <v>9738</v>
      </c>
      <c r="C5302" s="6">
        <v>2.0</v>
      </c>
      <c r="D5302" s="9" t="s">
        <v>9738</v>
      </c>
      <c r="E5302" s="8" t="str">
        <f>IFERROR(__xludf.DUMMYFUNCTION("googletranslate(D5302,""id"",""en"")"),"As long as Elsa hasn't been imprisoned, the PPKM will continue to be extended")</f>
        <v>As long as Elsa hasn't been imprisoned, the PPKM will continue to be extended</v>
      </c>
    </row>
    <row r="5303" ht="15.75" customHeight="1">
      <c r="A5303" s="2">
        <v>5306.0</v>
      </c>
      <c r="B5303" s="5" t="s">
        <v>9739</v>
      </c>
      <c r="C5303" s="6">
        <v>2.0</v>
      </c>
      <c r="D5303" s="7" t="s">
        <v>9740</v>
      </c>
      <c r="E5303" s="8" t="str">
        <f>IFERROR(__xludf.DUMMYFUNCTION("googletranslate(D5303,""id"",""en"")"),"This HRI was last, PPKM Mah Dri Kmrn kmrn")</f>
        <v>This HRI was last, PPKM Mah Dri Kmrn kmrn</v>
      </c>
    </row>
    <row r="5304" ht="15.75" customHeight="1">
      <c r="A5304" s="2">
        <v>5307.0</v>
      </c>
      <c r="B5304" s="5" t="s">
        <v>9741</v>
      </c>
      <c r="C5304" s="6">
        <v>1.0</v>
      </c>
      <c r="D5304" s="9" t="s">
        <v>9742</v>
      </c>
      <c r="E5304" s="8" t="str">
        <f>IFERROR(__xludf.DUMMYFUNCTION("googletranslate(D5304,""id"",""en"")"),"Ente the official, at home, the PPKM salary remains smooth. We're at home, my wife, our wife, who love you? Bahalul Ente! * Complained about Rakjat")</f>
        <v>Ente the official, at home, the PPKM salary remains smooth. We're at home, my wife, our wife, who love you? Bahalul Ente! * Complained about Rakjat</v>
      </c>
    </row>
    <row r="5305" ht="15.75" customHeight="1">
      <c r="A5305" s="2">
        <v>5308.0</v>
      </c>
      <c r="B5305" s="5" t="s">
        <v>9743</v>
      </c>
      <c r="C5305" s="6">
        <v>3.0</v>
      </c>
      <c r="D5305" s="9" t="s">
        <v>9744</v>
      </c>
      <c r="E5305" s="8" t="str">
        <f>IFERROR(__xludf.DUMMYFUNCTION("googletranslate(D5305,""id"",""en"")"),"Family-based Covid-19 Vaccine is expected to break the spread of Covid-19.Senin August PPKM")</f>
        <v>Family-based Covid-19 Vaccine is expected to break the spread of Covid-19.Senin August PPKM</v>
      </c>
    </row>
    <row r="5306" ht="15.75" customHeight="1">
      <c r="A5306" s="2">
        <v>5309.0</v>
      </c>
      <c r="B5306" s="5" t="s">
        <v>9745</v>
      </c>
      <c r="C5306" s="6">
        <v>1.0</v>
      </c>
      <c r="D5306" s="7" t="s">
        <v>9746</v>
      </c>
      <c r="E5306" s="8" t="str">
        <f>IFERROR(__xludf.DUMMYFUNCTION("googletranslate(D5306,""id"",""en"")"),"When did PPKM finish anjengggg, I want to buy glasses ()")</f>
        <v>When did PPKM finish anjengggg, I want to buy glasses ()</v>
      </c>
    </row>
    <row r="5307" ht="15.75" customHeight="1">
      <c r="A5307" s="2">
        <v>5310.0</v>
      </c>
      <c r="B5307" s="5" t="s">
        <v>9747</v>
      </c>
      <c r="C5307" s="6">
        <v>2.0</v>
      </c>
      <c r="D5307" s="9" t="s">
        <v>9748</v>
      </c>
      <c r="E5307" s="8" t="str">
        <f>IFERROR(__xludf.DUMMYFUNCTION("googletranslate(D5307,""id"",""en"")"),"iyaa ppkm but don't know ... I'm Dom Tangsel but every back to West Java can always be")</f>
        <v>iyaa ppkm but don't know ... I'm Dom Tangsel but every back to West Java can always be</v>
      </c>
    </row>
    <row r="5308" ht="15.75" customHeight="1">
      <c r="A5308" s="2">
        <v>5311.0</v>
      </c>
      <c r="B5308" s="5" t="s">
        <v>9749</v>
      </c>
      <c r="C5308" s="6">
        <v>1.0</v>
      </c>
      <c r="D5308" s="9" t="s">
        <v>9750</v>
      </c>
      <c r="E5308" s="8" t="str">
        <f>IFERROR(__xludf.DUMMYFUNCTION("googletranslate(D5308,""id"",""en"")"),"btw ppkm or it's not just in front of my house rich for example on the road, it's not quiet, not if the ppkm should be quiet ??")</f>
        <v>btw ppkm or it's not just in front of my house rich for example on the road, it's not quiet, not if the ppkm should be quiet ??</v>
      </c>
    </row>
    <row r="5309" ht="15.75" customHeight="1">
      <c r="A5309" s="2">
        <v>5312.0</v>
      </c>
      <c r="B5309" s="5" t="s">
        <v>9751</v>
      </c>
      <c r="C5309" s="6">
        <v>2.0</v>
      </c>
      <c r="D5309" s="7" t="s">
        <v>9751</v>
      </c>
      <c r="E5309" s="8" t="str">
        <f>IFERROR(__xludf.DUMMYFUNCTION("googletranslate(D5309,""id"",""en"")"),"PPKM continues to extend until the gfriend redman")</f>
        <v>PPKM continues to extend until the gfriend redman</v>
      </c>
    </row>
    <row r="5310" ht="15.75" customHeight="1">
      <c r="A5310" s="2">
        <v>5313.0</v>
      </c>
      <c r="B5310" s="5" t="s">
        <v>9752</v>
      </c>
      <c r="C5310" s="6">
        <v>1.0</v>
      </c>
      <c r="D5310" s="7" t="s">
        <v>9752</v>
      </c>
      <c r="E5310" s="8" t="str">
        <f>IFERROR(__xludf.DUMMYFUNCTION("googletranslate(D5310,""id"",""en"")"),"He gatau times yes a month PPKM can make org in the cut. KNTL.")</f>
        <v>He gatau times yes a month PPKM can make org in the cut. KNTL.</v>
      </c>
    </row>
    <row r="5311" ht="15.75" customHeight="1">
      <c r="A5311" s="2">
        <v>5314.0</v>
      </c>
      <c r="B5311" s="5" t="s">
        <v>9753</v>
      </c>
      <c r="C5311" s="6">
        <v>2.0</v>
      </c>
      <c r="D5311" s="7" t="s">
        <v>9754</v>
      </c>
      <c r="E5311" s="8" t="str">
        <f>IFERROR(__xludf.DUMMYFUNCTION("googletranslate(D5311,""id"",""en"")"),"The Last Day PPKM Level, Tomorrow I can walk together with Crush")</f>
        <v>The Last Day PPKM Level, Tomorrow I can walk together with Crush</v>
      </c>
    </row>
    <row r="5312" ht="15.75" customHeight="1">
      <c r="A5312" s="2">
        <v>5315.0</v>
      </c>
      <c r="B5312" s="5" t="s">
        <v>9755</v>
      </c>
      <c r="C5312" s="6">
        <v>1.0</v>
      </c>
      <c r="D5312" s="7" t="s">
        <v>9755</v>
      </c>
      <c r="E5312" s="8" t="str">
        <f>IFERROR(__xludf.DUMMYFUNCTION("googletranslate(D5312,""id"",""en"")"),"In the morning the PPKM dilemma extended or no.")</f>
        <v>In the morning the PPKM dilemma extended or no.</v>
      </c>
    </row>
    <row r="5313" ht="15.75" customHeight="1">
      <c r="A5313" s="2">
        <v>5316.0</v>
      </c>
      <c r="B5313" s="5" t="s">
        <v>9756</v>
      </c>
      <c r="C5313" s="6">
        <v>2.0</v>
      </c>
      <c r="D5313" s="7" t="s">
        <v>9757</v>
      </c>
      <c r="E5313" s="8" t="str">
        <f>IFERROR(__xludf.DUMMYFUNCTION("googletranslate(D5313,""id"",""en"")"),"Maybe, because the pandemic atmosphere ... plus PPKM")</f>
        <v>Maybe, because the pandemic atmosphere ... plus PPKM</v>
      </c>
    </row>
    <row r="5314" ht="15.75" customHeight="1">
      <c r="A5314" s="2">
        <v>5317.0</v>
      </c>
      <c r="B5314" s="5" t="s">
        <v>9758</v>
      </c>
      <c r="C5314" s="6">
        <v>1.0</v>
      </c>
      <c r="D5314" s="9" t="s">
        <v>9759</v>
      </c>
      <c r="E5314" s="8" t="str">
        <f>IFERROR(__xludf.DUMMYFUNCTION("googletranslate(D5314,""id"",""en"")"),"sir, please not want to be auctioned sm bank hr because as long as covid &amp; ampkm mother i can't pay cicilandagang quiet sir during covidgk ask for money sir.cuma ask for a payment dispensation")</f>
        <v>sir, please not want to be auctioned sm bank hr because as long as covid &amp; ampkm mother i can't pay cicilandagang quiet sir during covidgk ask for money sir.cuma ask for a payment dispensation</v>
      </c>
    </row>
    <row r="5315" ht="15.75" customHeight="1">
      <c r="A5315" s="2">
        <v>5318.0</v>
      </c>
      <c r="B5315" s="5" t="s">
        <v>9760</v>
      </c>
      <c r="C5315" s="6">
        <v>2.0</v>
      </c>
      <c r="D5315" s="7" t="s">
        <v>9760</v>
      </c>
      <c r="E5315" s="8" t="str">
        <f>IFERROR(__xludf.DUMMYFUNCTION("googletranslate(D5315,""id"",""en"")"),"ppkm until the time?")</f>
        <v>ppkm until the time?</v>
      </c>
    </row>
    <row r="5316" ht="15.75" customHeight="1">
      <c r="A5316" s="2">
        <v>5319.0</v>
      </c>
      <c r="B5316" s="5" t="s">
        <v>9761</v>
      </c>
      <c r="C5316" s="6">
        <v>2.0</v>
      </c>
      <c r="D5316" s="7" t="s">
        <v>9762</v>
      </c>
      <c r="E5316" s="8" t="str">
        <f>IFERROR(__xludf.DUMMYFUNCTION("googletranslate(D5316,""id"",""en"")"),"Tight bgt clothes like PPKM rules")</f>
        <v>Tight bgt clothes like PPKM rules</v>
      </c>
    </row>
    <row r="5317" ht="15.75" customHeight="1">
      <c r="A5317" s="2">
        <v>5320.0</v>
      </c>
      <c r="B5317" s="5" t="s">
        <v>9763</v>
      </c>
      <c r="C5317" s="6">
        <v>1.0</v>
      </c>
      <c r="D5317" s="7" t="s">
        <v>9764</v>
      </c>
      <c r="E5317" s="8" t="str">
        <f>IFERROR(__xludf.DUMMYFUNCTION("googletranslate(D5317,""id"",""en"")"),"Yes clearly tall, because the ppkm is just the term but the practice is not the way")</f>
        <v>Yes clearly tall, because the ppkm is just the term but the practice is not the way</v>
      </c>
    </row>
    <row r="5318" ht="15.75" customHeight="1">
      <c r="A5318" s="2">
        <v>5321.0</v>
      </c>
      <c r="B5318" s="5" t="s">
        <v>9765</v>
      </c>
      <c r="C5318" s="6">
        <v>2.0</v>
      </c>
      <c r="D5318" s="7" t="s">
        <v>9766</v>
      </c>
      <c r="E5318" s="8" t="str">
        <f>IFERROR(__xludf.DUMMYFUNCTION("googletranslate(D5318,""id"",""en"")"),"Remember the PPKM, which is extended ... you are the one who is the shorter ... Yuk aware of Kawand! ??")</f>
        <v>Remember the PPKM, which is extended ... you are the one who is the shorter ... Yuk aware of Kawand! ??</v>
      </c>
    </row>
    <row r="5319" ht="15.75" customHeight="1">
      <c r="A5319" s="2">
        <v>5322.0</v>
      </c>
      <c r="B5319" s="5" t="s">
        <v>9767</v>
      </c>
      <c r="C5319" s="6">
        <v>3.0</v>
      </c>
      <c r="D5319" s="7" t="s">
        <v>9768</v>
      </c>
      <c r="E5319" s="8" t="str">
        <f>IFERROR(__xludf.DUMMYFUNCTION("googletranslate(D5319,""id"",""en"")"),"Extend Trs PPKM and Sangsi Strictly HRS Applied for those who violate, insulation HRS multiply in Kaga Watch Guard HRS plus")</f>
        <v>Extend Trs PPKM and Sangsi Strictly HRS Applied for those who violate, insulation HRS multiply in Kaga Watch Guard HRS plus</v>
      </c>
    </row>
    <row r="5320" ht="15.75" customHeight="1">
      <c r="A5320" s="2">
        <v>5323.0</v>
      </c>
      <c r="B5320" s="5" t="s">
        <v>9769</v>
      </c>
      <c r="C5320" s="6">
        <v>2.0</v>
      </c>
      <c r="D5320" s="9" t="s">
        <v>9770</v>
      </c>
      <c r="E5320" s="8" t="str">
        <f>IFERROR(__xludf.DUMMYFUNCTION("googletranslate(D5320,""id"",""en"")"),"Recommend Jarkoni ... ips..psbbppkmkalau hasn't finished yet, make a new term again.")</f>
        <v>Recommend Jarkoni ... ips..psbbppkmkalau hasn't finished yet, make a new term again.</v>
      </c>
    </row>
    <row r="5321" ht="15.75" customHeight="1">
      <c r="A5321" s="2">
        <v>5324.0</v>
      </c>
      <c r="B5321" s="5" t="s">
        <v>9771</v>
      </c>
      <c r="C5321" s="6">
        <v>2.0</v>
      </c>
      <c r="D5321" s="7" t="s">
        <v>9771</v>
      </c>
      <c r="E5321" s="8" t="str">
        <f>IFERROR(__xludf.DUMMYFUNCTION("googletranslate(D5321,""id"",""en"")"),"SYG! Is there an extension of the ppkm or not?")</f>
        <v>SYG! Is there an extension of the ppkm or not?</v>
      </c>
    </row>
    <row r="5322" ht="15.75" customHeight="1">
      <c r="A5322" s="2">
        <v>5325.0</v>
      </c>
      <c r="B5322" s="5" t="s">
        <v>9772</v>
      </c>
      <c r="C5322" s="6">
        <v>2.0</v>
      </c>
      <c r="D5322" s="7" t="s">
        <v>9773</v>
      </c>
      <c r="E5322" s="8" t="str">
        <f>IFERROR(__xludf.DUMMYFUNCTION("googletranslate(D5322,""id"",""en"")"),"from thinking of Mending PPKM Tilling Flowers")</f>
        <v>from thinking of Mending PPKM Tilling Flowers</v>
      </c>
    </row>
    <row r="5323" ht="15.75" customHeight="1">
      <c r="A5323" s="2">
        <v>5326.0</v>
      </c>
      <c r="B5323" s="5" t="s">
        <v>9774</v>
      </c>
      <c r="C5323" s="6">
        <v>3.0</v>
      </c>
      <c r="D5323" s="9" t="s">
        <v>9775</v>
      </c>
      <c r="E5323" s="8" t="str">
        <f>IFERROR(__xludf.DUMMYFUNCTION("googletranslate(D5323,""id"",""en"")"),"Sar, I've stuck the moon too. But this PPKM right can go down again. Don't stress and sedia first. Let's fight together.")</f>
        <v>Sar, I've stuck the moon too. But this PPKM right can go down again. Don't stress and sedia first. Let's fight together.</v>
      </c>
    </row>
    <row r="5324" ht="15.75" customHeight="1">
      <c r="A5324" s="2">
        <v>5327.0</v>
      </c>
      <c r="B5324" s="5" t="s">
        <v>9776</v>
      </c>
      <c r="C5324" s="6">
        <v>1.0</v>
      </c>
      <c r="D5324" s="7" t="s">
        <v>9777</v>
      </c>
      <c r="E5324" s="8" t="str">
        <f>IFERROR(__xludf.DUMMYFUNCTION("googletranslate(D5324,""id"",""en"")"),"The mortality rate is above a thousand, if you don't want any dies. The period of PPKM stopped if there were no dead, weird")</f>
        <v>The mortality rate is above a thousand, if you don't want any dies. The period of PPKM stopped if there were no dead, weird</v>
      </c>
    </row>
    <row r="5325" ht="15.75" customHeight="1">
      <c r="A5325" s="2">
        <v>5328.0</v>
      </c>
      <c r="B5325" s="5" t="s">
        <v>9778</v>
      </c>
      <c r="C5325" s="6">
        <v>1.0</v>
      </c>
      <c r="D5325" s="7" t="s">
        <v>9779</v>
      </c>
      <c r="E5325" s="8" t="str">
        <f>IFERROR(__xludf.DUMMYFUNCTION("googletranslate(D5325,""id"",""en"")"),"Maybe Mr. Ade is upset by the level of god because of the PPKM ... ignore the invisibility, Cardiaaaann the life of Ribeett")</f>
        <v>Maybe Mr. Ade is upset by the level of god because of the PPKM ... ignore the invisibility, Cardiaaaann the life of Ribeett</v>
      </c>
    </row>
    <row r="5326" ht="15.75" customHeight="1">
      <c r="A5326" s="2">
        <v>5329.0</v>
      </c>
      <c r="B5326" s="5" t="s">
        <v>9780</v>
      </c>
      <c r="C5326" s="6">
        <v>1.0</v>
      </c>
      <c r="D5326" s="7" t="s">
        <v>9781</v>
      </c>
      <c r="E5326" s="8" t="str">
        <f>IFERROR(__xludf.DUMMYFUNCTION("googletranslate(D5326,""id"",""en"")"),"Sir, already, don't renew the PPKM. Many miserable sir.")</f>
        <v>Sir, already, don't renew the PPKM. Many miserable sir.</v>
      </c>
    </row>
    <row r="5327" ht="15.75" customHeight="1">
      <c r="A5327" s="2">
        <v>5330.0</v>
      </c>
      <c r="B5327" s="5" t="s">
        <v>9782</v>
      </c>
      <c r="C5327" s="6">
        <v>2.0</v>
      </c>
      <c r="D5327" s="7" t="s">
        <v>9783</v>
      </c>
      <c r="E5327" s="8" t="str">
        <f>IFERROR(__xludf.DUMMYFUNCTION("googletranslate(D5327,""id"",""en"")"),"Pagibosq ... how do you report PPKM is extended not")</f>
        <v>Pagibosq ... how do you report PPKM is extended not</v>
      </c>
    </row>
    <row r="5328" ht="15.75" customHeight="1">
      <c r="A5328" s="2">
        <v>5331.0</v>
      </c>
      <c r="B5328" s="5" t="s">
        <v>9784</v>
      </c>
      <c r="C5328" s="6">
        <v>1.0</v>
      </c>
      <c r="D5328" s="7" t="s">
        <v>9785</v>
      </c>
      <c r="E5328" s="8" t="str">
        <f>IFERROR(__xludf.DUMMYFUNCTION("googletranslate(D5328,""id"",""en"")"),"Terms - terms in the psbb psbb psbb period totalpsbb transmissipkmppkm microppkm emerguratppkm level ppkm level ppkm level ppkm level spicy ppkm gilappkm spicy spicy setanppkm really ampe bolster")</f>
        <v>Terms - terms in the psbb psbb psbb period totalpsbb transmissipkmppkm microppkm emerguratppkm level ppkm level ppkm level ppkm level spicy ppkm gilappkm spicy spicy setanppkm really ampe bolster</v>
      </c>
    </row>
    <row r="5329" ht="15.75" customHeight="1">
      <c r="A5329" s="2">
        <v>5332.0</v>
      </c>
      <c r="B5329" s="5" t="s">
        <v>9786</v>
      </c>
      <c r="C5329" s="6">
        <v>3.0</v>
      </c>
      <c r="D5329" s="7" t="s">
        <v>9787</v>
      </c>
      <c r="E5329" s="8" t="str">
        <f>IFERROR(__xludf.DUMMYFUNCTION("googletranslate(D5329,""id"",""en"")"),"This really feels the application of the PPKM, the streets are lenggang.")</f>
        <v>This really feels the application of the PPKM, the streets are lenggang.</v>
      </c>
    </row>
    <row r="5330" ht="15.75" customHeight="1">
      <c r="A5330" s="2">
        <v>5333.0</v>
      </c>
      <c r="B5330" s="5" t="s">
        <v>9788</v>
      </c>
      <c r="C5330" s="6">
        <v>1.0</v>
      </c>
      <c r="D5330" s="7" t="s">
        <v>9788</v>
      </c>
      <c r="E5330" s="8" t="str">
        <f>IFERROR(__xludf.DUMMYFUNCTION("googletranslate(D5330,""id"",""en"")"),"PPKM PLIS Don't Extend Dongg")</f>
        <v>PPKM PLIS Don't Extend Dongg</v>
      </c>
    </row>
    <row r="5331" ht="15.75" customHeight="1">
      <c r="A5331" s="2">
        <v>5334.0</v>
      </c>
      <c r="B5331" s="5" t="s">
        <v>9789</v>
      </c>
      <c r="C5331" s="6">
        <v>1.0</v>
      </c>
      <c r="D5331" s="7" t="s">
        <v>9790</v>
      </c>
      <c r="E5331" s="8" t="str">
        <f>IFERROR(__xludf.DUMMYFUNCTION("googletranslate(D5331,""id"",""en"")"),"I've not yet extended PPKM")</f>
        <v>I've not yet extended PPKM</v>
      </c>
    </row>
    <row r="5332" ht="15.75" customHeight="1">
      <c r="A5332" s="2">
        <v>5335.0</v>
      </c>
      <c r="B5332" s="5" t="s">
        <v>9791</v>
      </c>
      <c r="C5332" s="6">
        <v>2.0</v>
      </c>
      <c r="D5332" s="7" t="s">
        <v>9792</v>
      </c>
      <c r="E5332" s="8" t="str">
        <f>IFERROR(__xludf.DUMMYFUNCTION("googletranslate(D5332,""id"",""en"")"),"Multipurpose PPKM ...")</f>
        <v>Multipurpose PPKM ...</v>
      </c>
    </row>
    <row r="5333" ht="15.75" customHeight="1">
      <c r="A5333" s="2">
        <v>5336.0</v>
      </c>
      <c r="B5333" s="5" t="s">
        <v>9793</v>
      </c>
      <c r="C5333" s="6">
        <v>2.0</v>
      </c>
      <c r="D5333" s="9" t="s">
        <v>9794</v>
      </c>
      <c r="E5333" s="8" t="str">
        <f>IFERROR(__xludf.DUMMYFUNCTION("googletranslate(D5333,""id"",""en"")"),"We see, whether PPKM will be in the perpetuation or not ... it doesn't wait for what else to stand more from the government to EVERY ""Semi Lockdown"" Hihihihi.")</f>
        <v>We see, whether PPKM will be in the perpetuation or not ... it doesn't wait for what else to stand more from the government to EVERY "Semi Lockdown" Hihihihi.</v>
      </c>
    </row>
    <row r="5334" ht="15.75" customHeight="1">
      <c r="A5334" s="2">
        <v>5337.0</v>
      </c>
      <c r="B5334" s="5" t="s">
        <v>9795</v>
      </c>
      <c r="C5334" s="6">
        <v>1.0</v>
      </c>
      <c r="D5334" s="7" t="s">
        <v>9796</v>
      </c>
      <c r="E5334" s="8" t="str">
        <f>IFERROR(__xludf.DUMMYFUNCTION("googletranslate(D5334,""id"",""en"")"),"PPKM Don't Extend LGI PLIS")</f>
        <v>PPKM Don't Extend LGI PLIS</v>
      </c>
    </row>
    <row r="5335" ht="15.75" customHeight="1">
      <c r="A5335" s="2">
        <v>5338.0</v>
      </c>
      <c r="B5335" s="5" t="s">
        <v>9797</v>
      </c>
      <c r="C5335" s="6">
        <v>1.0</v>
      </c>
      <c r="D5335" s="7" t="s">
        <v>9798</v>
      </c>
      <c r="E5335" s="8" t="str">
        <f>IFERROR(__xludf.DUMMYFUNCTION("googletranslate(D5335,""id"",""en"")"),"Just ppkm announcement, bro!")</f>
        <v>Just ppkm announcement, bro!</v>
      </c>
    </row>
    <row r="5336" ht="15.75" customHeight="1">
      <c r="A5336" s="2">
        <v>5339.0</v>
      </c>
      <c r="B5336" s="5" t="s">
        <v>9799</v>
      </c>
      <c r="C5336" s="6">
        <v>2.0</v>
      </c>
      <c r="D5336" s="9" t="s">
        <v>9800</v>
      </c>
      <c r="E5336" s="8" t="str">
        <f>IFERROR(__xludf.DUMMYFUNCTION("googletranslate(D5336,""id"",""en"")"),"I used to go to school when there was a ppkm there was MTK")</f>
        <v>I used to go to school when there was a ppkm there was MTK</v>
      </c>
    </row>
    <row r="5337" ht="15.75" customHeight="1">
      <c r="A5337" s="2">
        <v>5340.0</v>
      </c>
      <c r="B5337" s="5" t="s">
        <v>9801</v>
      </c>
      <c r="C5337" s="6">
        <v>2.0</v>
      </c>
      <c r="D5337" s="10" t="s">
        <v>9802</v>
      </c>
      <c r="E5337" s="8" t="str">
        <f>IFERROR(__xludf.DUMMYFUNCTION("googletranslate(D5337,""id"",""en"")"),"ppkm right")</f>
        <v>ppkm right</v>
      </c>
    </row>
    <row r="5338" ht="15.75" customHeight="1">
      <c r="A5338" s="2">
        <v>5341.0</v>
      </c>
      <c r="B5338" s="5" t="s">
        <v>9803</v>
      </c>
      <c r="C5338" s="6">
        <v>2.0</v>
      </c>
      <c r="D5338" s="9" t="s">
        <v>9804</v>
      </c>
      <c r="E5338" s="8" t="str">
        <f>IFERROR(__xludf.DUMMYFUNCTION("googletranslate(D5338,""id"",""en"")"),"PPKM if extended whether the level has an increase from to for example and so on")</f>
        <v>PPKM if extended whether the level has an increase from to for example and so on</v>
      </c>
    </row>
    <row r="5339" ht="15.75" customHeight="1">
      <c r="A5339" s="2">
        <v>5342.0</v>
      </c>
      <c r="B5339" s="5" t="s">
        <v>9805</v>
      </c>
      <c r="C5339" s="6">
        <v>2.0</v>
      </c>
      <c r="D5339" s="9" t="s">
        <v>9805</v>
      </c>
      <c r="E5339" s="8" t="str">
        <f>IFERROR(__xludf.DUMMYFUNCTION("googletranslate(D5339,""id"",""en"")"),"NOH PPKM? Let's explore JKarta")</f>
        <v>NOH PPKM? Let's explore JKarta</v>
      </c>
    </row>
    <row r="5340" ht="15.75" customHeight="1">
      <c r="A5340" s="2">
        <v>5343.0</v>
      </c>
      <c r="B5340" s="5" t="s">
        <v>9806</v>
      </c>
      <c r="C5340" s="6">
        <v>2.0</v>
      </c>
      <c r="D5340" s="7" t="s">
        <v>9807</v>
      </c>
      <c r="E5340" s="8" t="str">
        <f>IFERROR(__xludf.DUMMYFUNCTION("googletranslate(D5340,""id"",""en"")"),"PPKM = Enforcement of restrictions on Menpa activities")</f>
        <v>PPKM = Enforcement of restrictions on Menpa activities</v>
      </c>
    </row>
    <row r="5341" ht="15.75" customHeight="1">
      <c r="A5341" s="2">
        <v>5344.0</v>
      </c>
      <c r="B5341" s="5" t="s">
        <v>9808</v>
      </c>
      <c r="C5341" s="6">
        <v>2.0</v>
      </c>
      <c r="D5341" s="10" t="s">
        <v>9808</v>
      </c>
      <c r="E5341" s="8" t="str">
        <f>IFERROR(__xludf.DUMMYFUNCTION("googletranslate(D5341,""id"",""en"")"),"ppkm dh lse gk")</f>
        <v>ppkm dh lse gk</v>
      </c>
    </row>
    <row r="5342" ht="15.75" customHeight="1">
      <c r="A5342" s="2">
        <v>5345.0</v>
      </c>
      <c r="B5342" s="5" t="s">
        <v>9809</v>
      </c>
      <c r="C5342" s="6">
        <v>2.0</v>
      </c>
      <c r="D5342" s="7" t="s">
        <v>9809</v>
      </c>
      <c r="E5342" s="8" t="str">
        <f>IFERROR(__xludf.DUMMYFUNCTION("googletranslate(D5342,""id"",""en"")"),"Come on the ppkm")</f>
        <v>Come on the ppkm</v>
      </c>
    </row>
    <row r="5343" ht="15.75" customHeight="1">
      <c r="A5343" s="2">
        <v>5346.0</v>
      </c>
      <c r="B5343" s="5" t="s">
        <v>9810</v>
      </c>
      <c r="C5343" s="6">
        <v>2.0</v>
      </c>
      <c r="D5343" s="7" t="s">
        <v>9811</v>
      </c>
      <c r="E5343" s="8" t="str">
        <f>IFERROR(__xludf.DUMMYFUNCTION("googletranslate(D5343,""id"",""en"")"),"Ayoo Abis PPKM Want to Climb Tida?")</f>
        <v>Ayoo Abis PPKM Want to Climb Tida?</v>
      </c>
    </row>
    <row r="5344" ht="15.75" customHeight="1">
      <c r="A5344" s="2">
        <v>5347.0</v>
      </c>
      <c r="B5344" s="5" t="s">
        <v>9812</v>
      </c>
      <c r="C5344" s="6">
        <v>1.0</v>
      </c>
      <c r="D5344" s="9" t="s">
        <v>9813</v>
      </c>
      <c r="E5344" s="8" t="str">
        <f>IFERROR(__xludf.DUMMYFUNCTION("googletranslate(D5344,""id"",""en"")"),"Jangan, my school if the PPKM is not extended, the plan is to be luring '((")</f>
        <v>Jangan, my school if the PPKM is not extended, the plan is to be luring '((</v>
      </c>
    </row>
    <row r="5345" ht="15.75" customHeight="1">
      <c r="A5345" s="2">
        <v>5348.0</v>
      </c>
      <c r="B5345" s="5" t="s">
        <v>9814</v>
      </c>
      <c r="C5345" s="6">
        <v>1.0</v>
      </c>
      <c r="D5345" s="7" t="s">
        <v>9814</v>
      </c>
      <c r="E5345" s="8" t="str">
        <f>IFERROR(__xludf.DUMMYFUNCTION("googletranslate(D5345,""id"",""en"")"),"PPKM Garahan Yes, Kasian MBA Fashionable YK Already Ngebet Know Menuhin Le Travel.")</f>
        <v>PPKM Garahan Yes, Kasian MBA Fashionable YK Already Ngebet Know Menuhin Le Travel.</v>
      </c>
    </row>
    <row r="5346" ht="15.75" customHeight="1">
      <c r="A5346" s="2">
        <v>5349.0</v>
      </c>
      <c r="B5346" s="5" t="s">
        <v>9815</v>
      </c>
      <c r="C5346" s="6">
        <v>1.0</v>
      </c>
      <c r="D5346" s="9" t="s">
        <v>9816</v>
      </c>
      <c r="E5346" s="8" t="str">
        <f>IFERROR(__xludf.DUMMYFUNCTION("googletranslate(D5346,""id"",""en"")"),"PPKM wants to be full, it will not affect Mr. Wong, the people have not been aware of the prokes at least using a mask + not the crowd, PPKM or not the same as the mask is expensive? no. Can still use a dry wash fabric mask using. At least all use masks. "&amp;"ALL.")</f>
        <v>PPKM wants to be full, it will not affect Mr. Wong, the people have not been aware of the prokes at least using a mask + not the crowd, PPKM or not the same as the mask is expensive? no. Can still use a dry wash fabric mask using. At least all use masks. ALL.</v>
      </c>
    </row>
    <row r="5347" ht="15.75" customHeight="1">
      <c r="A5347" s="2">
        <v>5350.0</v>
      </c>
      <c r="B5347" s="5" t="s">
        <v>9817</v>
      </c>
      <c r="C5347" s="6">
        <v>2.0</v>
      </c>
      <c r="D5347" s="7" t="s">
        <v>9818</v>
      </c>
      <c r="E5347" s="8" t="str">
        <f>IFERROR(__xludf.DUMMYFUNCTION("googletranslate(D5347,""id"",""en"")"),"Morning gest, hopefully today ppkm is not continued huh ~")</f>
        <v>Morning gest, hopefully today ppkm is not continued huh ~</v>
      </c>
    </row>
    <row r="5348" ht="15.75" customHeight="1">
      <c r="A5348" s="2">
        <v>5351.0</v>
      </c>
      <c r="B5348" s="5" t="s">
        <v>9819</v>
      </c>
      <c r="C5348" s="6">
        <v>2.0</v>
      </c>
      <c r="D5348" s="9" t="s">
        <v>9819</v>
      </c>
      <c r="E5348" s="8" t="str">
        <f>IFERROR(__xludf.DUMMYFUNCTION("googletranslate(D5348,""id"",""en"")"),"During the PPKM, shopping for side dishes is more diligent via online. Especially in Surabaya there are so many seafood meat is willing to send home.")</f>
        <v>During the PPKM, shopping for side dishes is more diligent via online. Especially in Surabaya there are so many seafood meat is willing to send home.</v>
      </c>
    </row>
    <row r="5349" ht="15.75" customHeight="1">
      <c r="A5349" s="2">
        <v>5352.0</v>
      </c>
      <c r="B5349" s="5" t="s">
        <v>9820</v>
      </c>
      <c r="C5349" s="6">
        <v>2.0</v>
      </c>
      <c r="D5349" s="7" t="s">
        <v>9821</v>
      </c>
      <c r="E5349" s="8" t="str">
        <f>IFERROR(__xludf.DUMMYFUNCTION("googletranslate(D5349,""id"",""en"")"),"Don't seem like it. But yesterday it was Dinaekin to LVL4 PPKM.")</f>
        <v>Don't seem like it. But yesterday it was Dinaekin to LVL4 PPKM.</v>
      </c>
    </row>
    <row r="5350" ht="15.75" customHeight="1">
      <c r="A5350" s="2">
        <v>5353.0</v>
      </c>
      <c r="B5350" s="5" t="s">
        <v>9822</v>
      </c>
      <c r="C5350" s="6">
        <v>2.0</v>
      </c>
      <c r="D5350" s="7" t="s">
        <v>9823</v>
      </c>
      <c r="E5350" s="8" t="str">
        <f>IFERROR(__xludf.DUMMYFUNCTION("googletranslate(D5350,""id"",""en"")"),"Because there will be PPKM Level and Solders")</f>
        <v>Because there will be PPKM Level and Solders</v>
      </c>
    </row>
    <row r="5351" ht="15.75" customHeight="1">
      <c r="A5351" s="2">
        <v>5354.0</v>
      </c>
      <c r="B5351" s="5" t="s">
        <v>9824</v>
      </c>
      <c r="C5351" s="6">
        <v>2.0</v>
      </c>
      <c r="D5351" s="7" t="s">
        <v>9824</v>
      </c>
      <c r="E5351" s="8" t="str">
        <f>IFERROR(__xludf.DUMMYFUNCTION("googletranslate(D5351,""id"",""en"")"),"Hopefully not extended PPKM")</f>
        <v>Hopefully not extended PPKM</v>
      </c>
    </row>
    <row r="5352" ht="15.75" customHeight="1">
      <c r="A5352" s="2">
        <v>5355.0</v>
      </c>
      <c r="B5352" s="5" t="s">
        <v>9825</v>
      </c>
      <c r="C5352" s="6">
        <v>2.0</v>
      </c>
      <c r="D5352" s="9" t="s">
        <v>9826</v>
      </c>
      <c r="E5352" s="8" t="str">
        <f>IFERROR(__xludf.DUMMYFUNCTION("googletranslate(D5352,""id"",""en"")"),"ppkm if it's not very strong")</f>
        <v>ppkm if it's not very strong</v>
      </c>
    </row>
    <row r="5353" ht="15.75" customHeight="1">
      <c r="A5353" s="2">
        <v>5356.0</v>
      </c>
      <c r="B5353" s="5" t="s">
        <v>9827</v>
      </c>
      <c r="C5353" s="6">
        <v>1.0</v>
      </c>
      <c r="D5353" s="9" t="s">
        <v>9828</v>
      </c>
      <c r="E5353" s="8" t="str">
        <f>IFERROR(__xludf.DUMMYFUNCTION("googletranslate(D5353,""id"",""en"")"),"This MAH PPKM defeated the Mustaqim Sirotol Bridge if it was extended again.")</f>
        <v>This MAH PPKM defeated the Mustaqim Sirotol Bridge if it was extended again.</v>
      </c>
    </row>
    <row r="5354" ht="15.75" customHeight="1">
      <c r="A5354" s="2">
        <v>5357.0</v>
      </c>
      <c r="B5354" s="5" t="s">
        <v>9829</v>
      </c>
      <c r="C5354" s="6">
        <v>2.0</v>
      </c>
      <c r="D5354" s="7" t="s">
        <v>9830</v>
      </c>
      <c r="E5354" s="8" t="str">
        <f>IFERROR(__xludf.DUMMYFUNCTION("googletranslate(D5354,""id"",""en"")"),"- Wait for Inpo PPKM - Wait for the chaotic, wait for the news from you more fun wkwk")</f>
        <v>- Wait for Inpo PPKM - Wait for the chaotic, wait for the news from you more fun wkwk</v>
      </c>
    </row>
    <row r="5355" ht="15.75" customHeight="1">
      <c r="A5355" s="2">
        <v>5358.0</v>
      </c>
      <c r="B5355" s="5" t="s">
        <v>9831</v>
      </c>
      <c r="C5355" s="6">
        <v>1.0</v>
      </c>
      <c r="D5355" s="7" t="s">
        <v>9832</v>
      </c>
      <c r="E5355" s="8" t="str">
        <f>IFERROR(__xludf.DUMMYFUNCTION("googletranslate(D5355,""id"",""en"")"),"His mother was sick of his son still in elementary school. His father in Jakarta because PPKM can't go home. The mother died this morning and her child can still reply to her mother's friend, ""Thank you all who prayed""")</f>
        <v>His mother was sick of his son still in elementary school. His father in Jakarta because PPKM can't go home. The mother died this morning and her child can still reply to her mother's friend, "Thank you all who prayed"</v>
      </c>
    </row>
    <row r="5356" ht="15.75" customHeight="1">
      <c r="A5356" s="2">
        <v>5359.0</v>
      </c>
      <c r="B5356" s="5" t="s">
        <v>9833</v>
      </c>
      <c r="C5356" s="6">
        <v>1.0</v>
      </c>
      <c r="D5356" s="9" t="s">
        <v>9834</v>
      </c>
      <c r="E5356" s="8" t="str">
        <f>IFERROR(__xludf.DUMMYFUNCTION("googletranslate(D5356,""id"",""en"")"),"Mngkin Lockdown, PPKM also uses X, JK Ms. Maryarkt is less aware of Prokes")</f>
        <v>Mngkin Lockdown, PPKM also uses X, JK Ms. Maryarkt is less aware of Prokes</v>
      </c>
    </row>
    <row r="5357" ht="15.75" customHeight="1">
      <c r="A5357" s="2">
        <v>5360.0</v>
      </c>
      <c r="B5357" s="5" t="s">
        <v>9835</v>
      </c>
      <c r="C5357" s="6">
        <v>1.0</v>
      </c>
      <c r="D5357" s="9" t="s">
        <v>9835</v>
      </c>
      <c r="E5357" s="8" t="str">
        <f>IFERROR(__xludf.DUMMYFUNCTION("googletranslate(D5357,""id"",""en"")"),"yes, the morning morning, I want to give you what the task is told to be ordered in the newspaper looking for where the PPKM doesn't have my newspaper, let's give up")</f>
        <v>yes, the morning morning, I want to give you what the task is told to be ordered in the newspaper looking for where the PPKM doesn't have my newspaper, let's give up</v>
      </c>
    </row>
    <row r="5358" ht="15.75" customHeight="1">
      <c r="A5358" s="2">
        <v>5361.0</v>
      </c>
      <c r="B5358" s="5" t="s">
        <v>9836</v>
      </c>
      <c r="C5358" s="6">
        <v>2.0</v>
      </c>
      <c r="D5358" s="7" t="s">
        <v>9837</v>
      </c>
      <c r="E5358" s="8" t="str">
        <f>IFERROR(__xludf.DUMMYFUNCTION("googletranslate(D5358,""id"",""en"")"),"Kang Procedures for Complaining PDAM Tirtawening, how come in this time? What office is open? Nuhun Min")</f>
        <v>Kang Procedures for Complaining PDAM Tirtawening, how come in this time? What office is open? Nuhun Min</v>
      </c>
    </row>
    <row r="5359" ht="15.75" customHeight="1">
      <c r="A5359" s="2">
        <v>5362.0</v>
      </c>
      <c r="B5359" s="5" t="s">
        <v>9838</v>
      </c>
      <c r="C5359" s="6">
        <v>2.0</v>
      </c>
      <c r="D5359" s="12" t="s">
        <v>9838</v>
      </c>
      <c r="E5359" s="8" t="str">
        <f>IFERROR(__xludf.DUMMYFUNCTION("googletranslate(D5359,""id"",""en"")"),"eh forget the ppkm ...")</f>
        <v>eh forget the ppkm ...</v>
      </c>
    </row>
    <row r="5360" ht="15.75" customHeight="1">
      <c r="A5360" s="2">
        <v>5363.0</v>
      </c>
      <c r="B5360" s="5" t="s">
        <v>9839</v>
      </c>
      <c r="C5360" s="6">
        <v>2.0</v>
      </c>
      <c r="D5360" s="7" t="s">
        <v>9839</v>
      </c>
      <c r="E5360" s="8" t="str">
        <f>IFERROR(__xludf.DUMMYFUNCTION("googletranslate(D5360,""id"",""en"")"),"Finished ppkm I want to squeal.")</f>
        <v>Finished ppkm I want to squeal.</v>
      </c>
    </row>
    <row r="5361" ht="15.75" customHeight="1">
      <c r="A5361" s="2">
        <v>5364.0</v>
      </c>
      <c r="B5361" s="5" t="s">
        <v>9840</v>
      </c>
      <c r="C5361" s="6">
        <v>3.0</v>
      </c>
      <c r="D5361" s="9" t="s">
        <v>9841</v>
      </c>
      <c r="E5361" s="8" t="str">
        <f>IFERROR(__xludf.DUMMYFUNCTION("googletranslate(D5361,""id"",""en"")"),"Targeted, the PPKM LV continued again until a week until it really came down the case. Which is there if GA GA PPKM case increases up long ago which eventually has to be PPKM from the beginning again")</f>
        <v>Targeted, the PPKM LV continued again until a week until it really came down the case. Which is there if GA GA PPKM case increases up long ago which eventually has to be PPKM from the beginning again</v>
      </c>
    </row>
    <row r="5362" ht="15.75" customHeight="1">
      <c r="A5362" s="2">
        <v>5365.0</v>
      </c>
      <c r="B5362" s="5" t="s">
        <v>9842</v>
      </c>
      <c r="C5362" s="6">
        <v>2.0</v>
      </c>
      <c r="D5362" s="10" t="s">
        <v>9843</v>
      </c>
      <c r="E5362" s="8" t="str">
        <f>IFERROR(__xludf.DUMMYFUNCTION("googletranslate(D5362,""id"",""en"")"),"PPKM Woy.")</f>
        <v>PPKM Woy.</v>
      </c>
    </row>
    <row r="5363" ht="15.75" customHeight="1">
      <c r="A5363" s="2">
        <v>5366.0</v>
      </c>
      <c r="B5363" s="5" t="s">
        <v>9844</v>
      </c>
      <c r="C5363" s="6">
        <v>1.0</v>
      </c>
      <c r="D5363" s="7" t="s">
        <v>9845</v>
      </c>
      <c r="E5363" s="8" t="str">
        <f>IFERROR(__xludf.DUMMYFUNCTION("googletranslate(D5363,""id"",""en"")"),"Don't, God Jangaannnn Plissss Getting Membaikkkkkkkkkkkkkkkkkkkkkkkkkkkkkkkkkkkkkkkk Gak Extended, Continuously Everything Retical Old Yes Allah Cauntkkk Tauge Capekkkk")</f>
        <v>Don't, God Jangaannnn Plissss Getting Membaikkkkkkkkkkkkkkkkkkkkkkkkkkkkkkkkkkkkkkkk Gak Extended, Continuously Everything Retical Old Yes Allah Cauntkkk Tauge Capekkkk</v>
      </c>
    </row>
    <row r="5364" ht="15.75" customHeight="1">
      <c r="A5364" s="2">
        <v>5367.0</v>
      </c>
      <c r="B5364" s="5" t="s">
        <v>9846</v>
      </c>
      <c r="C5364" s="6">
        <v>2.0</v>
      </c>
      <c r="D5364" s="7" t="s">
        <v>9847</v>
      </c>
      <c r="E5364" s="8" t="str">
        <f>IFERROR(__xludf.DUMMYFUNCTION("googletranslate(D5364,""id"",""en"")"),"Look at the decision of the PPKM Coks")</f>
        <v>Look at the decision of the PPKM Coks</v>
      </c>
    </row>
    <row r="5365" ht="15.75" customHeight="1">
      <c r="A5365" s="2">
        <v>5368.0</v>
      </c>
      <c r="B5365" s="5" t="s">
        <v>9848</v>
      </c>
      <c r="C5365" s="6">
        <v>3.0</v>
      </c>
      <c r="D5365" s="9" t="s">
        <v>9849</v>
      </c>
      <c r="E5365" s="8" t="str">
        <f>IFERROR(__xludf.DUMMYFUNCTION("googletranslate(D5365,""id"",""en"")"),"SBAR A Hopefully PPKM graduated")</f>
        <v>SBAR A Hopefully PPKM graduated</v>
      </c>
    </row>
    <row r="5366" ht="15.75" customHeight="1">
      <c r="A5366" s="2">
        <v>5369.0</v>
      </c>
      <c r="B5366" s="5" t="s">
        <v>9850</v>
      </c>
      <c r="C5366" s="6">
        <v>2.0</v>
      </c>
      <c r="D5366" s="9" t="s">
        <v>9851</v>
      </c>
      <c r="E5366" s="8" t="str">
        <f>IFERROR(__xludf.DUMMYFUNCTION("googletranslate(D5366,""id"",""en"")"),"Plot Twistnanti afternoon Mr. Jokowi Meeting Meeting to Extend PPKM")</f>
        <v>Plot Twistnanti afternoon Mr. Jokowi Meeting Meeting to Extend PPKM</v>
      </c>
    </row>
    <row r="5367" ht="15.75" customHeight="1">
      <c r="A5367" s="2">
        <v>5370.0</v>
      </c>
      <c r="B5367" s="5" t="s">
        <v>9852</v>
      </c>
      <c r="C5367" s="6">
        <v>2.0</v>
      </c>
      <c r="D5367" s="7" t="s">
        <v>9852</v>
      </c>
      <c r="E5367" s="8" t="str">
        <f>IFERROR(__xludf.DUMMYFUNCTION("googletranslate(D5367,""id"",""en"")"),"Hopefully the PPKM is reluctant")</f>
        <v>Hopefully the PPKM is reluctant</v>
      </c>
    </row>
    <row r="5368" ht="15.75" customHeight="1">
      <c r="A5368" s="2">
        <v>5371.0</v>
      </c>
      <c r="B5368" s="5" t="s">
        <v>9853</v>
      </c>
      <c r="C5368" s="6">
        <v>1.0</v>
      </c>
      <c r="D5368" s="7" t="s">
        <v>9854</v>
      </c>
      <c r="E5368" s="8" t="str">
        <f>IFERROR(__xludf.DUMMYFUNCTION("googletranslate(D5368,""id"",""en"")"),"Eye refresher. Dizziness of PPKM Trus SBY")</f>
        <v>Eye refresher. Dizziness of PPKM Trus SBY</v>
      </c>
    </row>
    <row r="5369" ht="15.75" customHeight="1">
      <c r="A5369" s="2">
        <v>5372.0</v>
      </c>
      <c r="B5369" s="5" t="s">
        <v>9855</v>
      </c>
      <c r="C5369" s="6">
        <v>1.0</v>
      </c>
      <c r="D5369" s="9" t="s">
        <v>9856</v>
      </c>
      <c r="E5369" s="8" t="str">
        <f>IFERROR(__xludf.DUMMYFUNCTION("googletranslate(D5369,""id"",""en"")"),"Don't bang !! He said he wanted to go around the city so we strange again PPKM instead invited out")</f>
        <v>Don't bang !! He said he wanted to go around the city so we strange again PPKM instead invited out</v>
      </c>
    </row>
    <row r="5370" ht="15.75" customHeight="1">
      <c r="A5370" s="2">
        <v>5373.0</v>
      </c>
      <c r="B5370" s="5" t="s">
        <v>9857</v>
      </c>
      <c r="C5370" s="6">
        <v>2.0</v>
      </c>
      <c r="D5370" s="7" t="s">
        <v>9857</v>
      </c>
      <c r="E5370" s="8" t="str">
        <f>IFERROR(__xludf.DUMMYFUNCTION("googletranslate(D5370,""id"",""en"")"),"Hopefully the ppkm is not extended again")</f>
        <v>Hopefully the ppkm is not extended again</v>
      </c>
    </row>
    <row r="5371" ht="15.75" customHeight="1">
      <c r="A5371" s="2">
        <v>5374.0</v>
      </c>
      <c r="B5371" s="5" t="s">
        <v>9858</v>
      </c>
      <c r="C5371" s="6">
        <v>3.0</v>
      </c>
      <c r="D5371" s="9" t="s">
        <v>9859</v>
      </c>
      <c r="E5371" s="8" t="str">
        <f>IFERROR(__xludf.DUMMYFUNCTION("googletranslate(D5371,""id"",""en"")"),"BISMILLAHIRRAHMANIRRAHIM ... assalamu'alaikum..pageee .... it's already Monday again .... PPKM extended baeklaaah ... it's time we are kokoreh ... spirit and keep celloow")</f>
        <v>BISMILLAHIRRAHMANIRRAHIM ... assalamu'alaikum..pageee .... it's already Monday again .... PPKM extended baeklaaah ... it's time we are kokoreh ... spirit and keep celloow</v>
      </c>
    </row>
    <row r="5372" ht="15.75" customHeight="1">
      <c r="A5372" s="2">
        <v>5375.0</v>
      </c>
      <c r="B5372" s="5" t="s">
        <v>9860</v>
      </c>
      <c r="C5372" s="6">
        <v>1.0</v>
      </c>
      <c r="D5372" s="7" t="s">
        <v>9861</v>
      </c>
      <c r="E5372" s="8" t="str">
        <f>IFERROR(__xludf.DUMMYFUNCTION("googletranslate(D5372,""id"",""en"")"),"Added the pressure of the regime with arrogant force PPKM. Keep connecting connecting. Money while thinning. Even what you want to sell is gone. Stress ... ride the stomach acid.")</f>
        <v>Added the pressure of the regime with arrogant force PPKM. Keep connecting connecting. Money while thinning. Even what you want to sell is gone. Stress ... ride the stomach acid.</v>
      </c>
    </row>
    <row r="5373" ht="15.75" customHeight="1">
      <c r="A5373" s="2">
        <v>5376.0</v>
      </c>
      <c r="B5373" s="5" t="s">
        <v>9862</v>
      </c>
      <c r="C5373" s="6">
        <v>1.0</v>
      </c>
      <c r="D5373" s="9" t="s">
        <v>9863</v>
      </c>
      <c r="E5373" s="8" t="str">
        <f>IFERROR(__xludf.DUMMYFUNCTION("googletranslate(D5373,""id"",""en"")"),"This is trying to sarcasize what? More tried Kek Rildwan Kamaludin. Maybe he again analoged that PPKM is like an animal cage, the animal is a human who has been corona. Let people try to try to the zoo, like people to eat MNT instant noodles?")</f>
        <v>This is trying to sarcasize what? More tried Kek Rildwan Kamaludin. Maybe he again analoged that PPKM is like an animal cage, the animal is a human who has been corona. Let people try to try to the zoo, like people to eat MNT instant noodles?</v>
      </c>
    </row>
    <row r="5374" ht="15.75" customHeight="1">
      <c r="A5374" s="2">
        <v>5377.0</v>
      </c>
      <c r="B5374" s="5" t="s">
        <v>9864</v>
      </c>
      <c r="C5374" s="6">
        <v>2.0</v>
      </c>
      <c r="D5374" s="7" t="s">
        <v>9865</v>
      </c>
      <c r="E5374" s="8" t="str">
        <f>IFERROR(__xludf.DUMMYFUNCTION("googletranslate(D5374,""id"",""en"")"),"Ppkm extended again ...")</f>
        <v>Ppkm extended again ...</v>
      </c>
    </row>
    <row r="5375" ht="15.75" customHeight="1">
      <c r="A5375" s="2">
        <v>5378.0</v>
      </c>
      <c r="B5375" s="5" t="s">
        <v>9866</v>
      </c>
      <c r="C5375" s="6">
        <v>3.0</v>
      </c>
      <c r="D5375" s="9" t="s">
        <v>9867</v>
      </c>
      <c r="E5375" s="8" t="str">
        <f>IFERROR(__xludf.DUMMYFUNCTION("googletranslate(D5375,""id"",""en"")"),"Prev Jokowi's explanation yesterday related to the PPKM will be gradually relaxed and adjusted the condition of each area of ​​the area ADH is good, such a policy is quite flexible between the engineer wheels and how to deal with Covid-19.")</f>
        <v>Prev Jokowi's explanation yesterday related to the PPKM will be gradually relaxed and adjusted the condition of each area of ​​the area ADH is good, such a policy is quite flexible between the engineer wheels and how to deal with Covid-19.</v>
      </c>
    </row>
    <row r="5376" ht="15.75" customHeight="1">
      <c r="A5376" s="2">
        <v>5379.0</v>
      </c>
      <c r="B5376" s="5" t="s">
        <v>9868</v>
      </c>
      <c r="C5376" s="6">
        <v>2.0</v>
      </c>
      <c r="D5376" s="7" t="s">
        <v>9868</v>
      </c>
      <c r="E5376" s="8" t="str">
        <f>IFERROR(__xludf.DUMMYFUNCTION("googletranslate(D5376,""id"",""en"")"),"I like PPKM but Gapake PP")</f>
        <v>I like PPKM but Gapake PP</v>
      </c>
    </row>
    <row r="5377" ht="15.75" customHeight="1">
      <c r="A5377" s="2">
        <v>5380.0</v>
      </c>
      <c r="B5377" s="5" t="s">
        <v>9869</v>
      </c>
      <c r="C5377" s="6">
        <v>1.0</v>
      </c>
      <c r="D5377" s="7" t="s">
        <v>9870</v>
      </c>
      <c r="E5377" s="8" t="str">
        <f>IFERROR(__xludf.DUMMYFUNCTION("googletranslate(D5377,""id"",""en"")"),"The people are ready but change the term terms with real steps, cook PPKM HNY Urition of food stalls")</f>
        <v>The people are ready but change the term terms with real steps, cook PPKM HNY Urition of food stalls</v>
      </c>
    </row>
    <row r="5378" ht="15.75" customHeight="1">
      <c r="A5378" s="2">
        <v>5381.0</v>
      </c>
      <c r="B5378" s="5" t="s">
        <v>9871</v>
      </c>
      <c r="C5378" s="6">
        <v>2.0</v>
      </c>
      <c r="D5378" s="9" t="s">
        <v>9871</v>
      </c>
      <c r="E5378" s="8" t="str">
        <f>IFERROR(__xludf.DUMMYFUNCTION("googletranslate(D5378,""id"",""en"")"),"-Rek bank bc4 klo ppkm open until what time")</f>
        <v>-Rek bank bc4 klo ppkm open until what time</v>
      </c>
    </row>
    <row r="5379" ht="15.75" customHeight="1">
      <c r="A5379" s="2">
        <v>5382.0</v>
      </c>
      <c r="B5379" s="5" t="s">
        <v>9872</v>
      </c>
      <c r="C5379" s="6">
        <v>1.0</v>
      </c>
      <c r="D5379" s="9" t="s">
        <v>9872</v>
      </c>
      <c r="E5379" s="8" t="str">
        <f>IFERROR(__xludf.DUMMYFUNCTION("googletranslate(D5379,""id"",""en"")"),"I hope you don't renew it, my ppkm, I started a bit saturated, bund in Ruma")</f>
        <v>I hope you don't renew it, my ppkm, I started a bit saturated, bund in Ruma</v>
      </c>
    </row>
    <row r="5380" ht="15.75" customHeight="1">
      <c r="A5380" s="2">
        <v>5383.0</v>
      </c>
      <c r="B5380" s="5" t="s">
        <v>9873</v>
      </c>
      <c r="C5380" s="6">
        <v>1.0</v>
      </c>
      <c r="D5380" s="9" t="s">
        <v>9874</v>
      </c>
      <c r="E5380" s="8" t="str">
        <f>IFERROR(__xludf.DUMMYFUNCTION("googletranslate(D5380,""id"",""en"")"),"From the beginning of marriage, it hasn't felt honeymoon, because the lockdown is opened. Udh is planned when Anniv wants honeymoon, it turns out there are still PPKM. Yes, you want to vacation to Sg Kyk someone else")</f>
        <v>From the beginning of marriage, it hasn't felt honeymoon, because the lockdown is opened. Udh is planned when Anniv wants honeymoon, it turns out there are still PPKM. Yes, you want to vacation to Sg Kyk someone else</v>
      </c>
    </row>
    <row r="5381" ht="15.75" customHeight="1">
      <c r="A5381" s="2">
        <v>5384.0</v>
      </c>
      <c r="B5381" s="5" t="s">
        <v>9875</v>
      </c>
      <c r="C5381" s="6">
        <v>2.0</v>
      </c>
      <c r="D5381" s="7" t="s">
        <v>9876</v>
      </c>
      <c r="E5381" s="8" t="str">
        <f>IFERROR(__xludf.DUMMYFUNCTION("googletranslate(D5381,""id"",""en"")"),"Extra spicy PPKM.")</f>
        <v>Extra spicy PPKM.</v>
      </c>
    </row>
    <row r="5382" ht="15.75" customHeight="1">
      <c r="A5382" s="2">
        <v>5385.0</v>
      </c>
      <c r="B5382" s="5" t="s">
        <v>9877</v>
      </c>
      <c r="C5382" s="6">
        <v>1.0</v>
      </c>
      <c r="D5382" s="7" t="s">
        <v>9878</v>
      </c>
      <c r="E5382" s="8" t="str">
        <f>IFERROR(__xludf.DUMMYFUNCTION("googletranslate(D5382,""id"",""en"")"),"Medium PPKM level, is not good to be a resident, want to be a member of the Board who is a star hotel")</f>
        <v>Medium PPKM level, is not good to be a resident, want to be a member of the Board who is a star hotel</v>
      </c>
    </row>
    <row r="5383" ht="15.75" customHeight="1">
      <c r="A5383" s="2">
        <v>5386.0</v>
      </c>
      <c r="B5383" s="5" t="s">
        <v>9879</v>
      </c>
      <c r="C5383" s="6">
        <v>2.0</v>
      </c>
      <c r="D5383" s="9" t="s">
        <v>9880</v>
      </c>
      <c r="E5383" s="8" t="str">
        <f>IFERROR(__xludf.DUMMYFUNCTION("googletranslate(D5383,""id"",""en"")"),"Jan until the GRGM PPKM was held again, I started watching One Piece")</f>
        <v>Jan until the GRGM PPKM was held again, I started watching One Piece</v>
      </c>
    </row>
    <row r="5384" ht="15.75" customHeight="1">
      <c r="A5384" s="2">
        <v>5387.0</v>
      </c>
      <c r="B5384" s="5" t="s">
        <v>9881</v>
      </c>
      <c r="C5384" s="6">
        <v>2.0</v>
      </c>
      <c r="D5384" s="9" t="s">
        <v>9882</v>
      </c>
      <c r="E5384" s="8" t="str">
        <f>IFERROR(__xludf.DUMMYFUNCTION("googletranslate(D5384,""id"",""en"")"),"... even though I want to go to Ragunan finished PPKM ...")</f>
        <v>... even though I want to go to Ragunan finished PPKM ...</v>
      </c>
    </row>
    <row r="5385" ht="15.75" customHeight="1">
      <c r="A5385" s="2">
        <v>5388.0</v>
      </c>
      <c r="B5385" s="5" t="s">
        <v>9883</v>
      </c>
      <c r="C5385" s="6">
        <v>2.0</v>
      </c>
      <c r="D5385" s="7" t="s">
        <v>9883</v>
      </c>
      <c r="E5385" s="8" t="str">
        <f>IFERROR(__xludf.DUMMYFUNCTION("googletranslate(D5385,""id"",""en"")"),"dah tgl2, ppkm tomorrow or not yes")</f>
        <v>dah tgl2, ppkm tomorrow or not yes</v>
      </c>
    </row>
    <row r="5386" ht="15.75" customHeight="1">
      <c r="A5386" s="2">
        <v>5389.0</v>
      </c>
      <c r="B5386" s="5" t="s">
        <v>9884</v>
      </c>
      <c r="C5386" s="6">
        <v>1.0</v>
      </c>
      <c r="D5386" s="7" t="s">
        <v>9885</v>
      </c>
      <c r="E5386" s="8" t="str">
        <f>IFERROR(__xludf.DUMMYFUNCTION("googletranslate(D5386,""id"",""en"")"),"The benches are rich in rich stalls affected by PPKM")</f>
        <v>The benches are rich in rich stalls affected by PPKM</v>
      </c>
    </row>
    <row r="5387" ht="15.75" customHeight="1">
      <c r="A5387" s="2">
        <v>5390.0</v>
      </c>
      <c r="B5387" s="5" t="s">
        <v>9886</v>
      </c>
      <c r="C5387" s="6">
        <v>1.0</v>
      </c>
      <c r="D5387" s="7" t="s">
        <v>9887</v>
      </c>
      <c r="E5387" s="8" t="str">
        <f>IFERROR(__xludf.DUMMYFUNCTION("googletranslate(D5387,""id"",""en"")"),"The first reason for the two third Covidalalas PPKM")</f>
        <v>The first reason for the two third Covidalalas PPKM</v>
      </c>
    </row>
    <row r="5388" ht="15.75" customHeight="1">
      <c r="A5388" s="2">
        <v>5391.0</v>
      </c>
      <c r="B5388" s="5" t="s">
        <v>9888</v>
      </c>
      <c r="C5388" s="6">
        <v>3.0</v>
      </c>
      <c r="D5388" s="9" t="s">
        <v>9889</v>
      </c>
      <c r="E5388" s="8" t="str">
        <f>IFERROR(__xludf.DUMMYFUNCTION("googletranslate(D5388,""id"",""en"")"),"Thank you for the info. Skr was not confused again if the boss told the office for a while. In fact, hope PPKM is extended, so that the busway / commuterline is empty.")</f>
        <v>Thank you for the info. Skr was not confused again if the boss told the office for a while. In fact, hope PPKM is extended, so that the busway / commuterline is empty.</v>
      </c>
    </row>
    <row r="5389" ht="15.75" customHeight="1">
      <c r="A5389" s="2">
        <v>5392.0</v>
      </c>
      <c r="B5389" s="5" t="s">
        <v>9890</v>
      </c>
      <c r="C5389" s="6">
        <v>2.0</v>
      </c>
      <c r="D5389" s="7" t="s">
        <v>9890</v>
      </c>
      <c r="E5389" s="8" t="str">
        <f>IFERROR(__xludf.DUMMYFUNCTION("googletranslate(D5389,""id"",""en"")"),"Jog! ppkm in jogja until what date is it?")</f>
        <v>Jog! ppkm in jogja until what date is it?</v>
      </c>
    </row>
    <row r="5390" ht="15.75" customHeight="1">
      <c r="A5390" s="2">
        <v>5393.0</v>
      </c>
      <c r="B5390" s="5" t="s">
        <v>9891</v>
      </c>
      <c r="C5390" s="6">
        <v>2.0</v>
      </c>
      <c r="D5390" s="9" t="s">
        <v>9892</v>
      </c>
      <c r="E5390" s="8" t="str">
        <f>IFERROR(__xludf.DUMMYFUNCTION("googletranslate(D5390,""id"",""en"")"),"The anth passed the PPKM tuft")</f>
        <v>The anth passed the PPKM tuft</v>
      </c>
    </row>
    <row r="5391" ht="15.75" customHeight="1">
      <c r="A5391" s="2">
        <v>5394.0</v>
      </c>
      <c r="B5391" s="5" t="s">
        <v>9893</v>
      </c>
      <c r="C5391" s="6">
        <v>2.0</v>
      </c>
      <c r="D5391" s="9" t="s">
        <v>9894</v>
      </c>
      <c r="E5391" s="8" t="str">
        <f>IFERROR(__xludf.DUMMYFUNCTION("googletranslate(D5391,""id"",""en"")"),"Ppkm = want to hug Sis Mharuto")</f>
        <v>Ppkm = want to hug Sis Mharuto</v>
      </c>
    </row>
    <row r="5392" ht="15.75" customHeight="1">
      <c r="A5392" s="2">
        <v>5395.0</v>
      </c>
      <c r="B5392" s="5" t="s">
        <v>9895</v>
      </c>
      <c r="C5392" s="6">
        <v>2.0</v>
      </c>
      <c r="D5392" s="7" t="s">
        <v>9896</v>
      </c>
      <c r="E5392" s="8" t="str">
        <f>IFERROR(__xludf.DUMMYFUNCTION("googletranslate(D5392,""id"",""en"")"),"Extended PPKM / PPKM is not proposed by the people !!!")</f>
        <v>Extended PPKM / PPKM is not proposed by the people !!!</v>
      </c>
    </row>
    <row r="5393" ht="15.75" customHeight="1">
      <c r="A5393" s="2">
        <v>5396.0</v>
      </c>
      <c r="B5393" s="5" t="s">
        <v>9897</v>
      </c>
      <c r="C5393" s="6">
        <v>2.0</v>
      </c>
      <c r="D5393" s="7" t="s">
        <v>9898</v>
      </c>
      <c r="E5393" s="8" t="str">
        <f>IFERROR(__xludf.DUMMYFUNCTION("googletranslate(D5393,""id"",""en"")"),"It seems like it's down ... Level PPKM Woy, not Jokowi")</f>
        <v>It seems like it's down ... Level PPKM Woy, not Jokowi</v>
      </c>
    </row>
    <row r="5394" ht="15.75" customHeight="1">
      <c r="A5394" s="2">
        <v>5397.0</v>
      </c>
      <c r="B5394" s="5" t="s">
        <v>9899</v>
      </c>
      <c r="C5394" s="6">
        <v>3.0</v>
      </c>
      <c r="D5394" s="7" t="s">
        <v>9900</v>
      </c>
      <c r="E5394" s="8" t="str">
        <f>IFERROR(__xludf.DUMMYFUNCTION("googletranslate(D5394,""id"",""en"")"),"Bima Arya Sugiarto Supports Extension of PPKM Level with People")</f>
        <v>Bima Arya Sugiarto Supports Extension of PPKM Level with People</v>
      </c>
    </row>
    <row r="5395" ht="15.75" customHeight="1">
      <c r="A5395" s="2">
        <v>5398.0</v>
      </c>
      <c r="B5395" s="5" t="s">
        <v>9901</v>
      </c>
      <c r="C5395" s="6">
        <v>3.0</v>
      </c>
      <c r="D5395" s="10" t="s">
        <v>7294</v>
      </c>
      <c r="E5395" s="8" t="str">
        <f>IFERROR(__xludf.DUMMYFUNCTION("googletranslate(D5395,""id"",""en"")"),"Support PPKM")</f>
        <v>Support PPKM</v>
      </c>
    </row>
    <row r="5396" ht="15.75" customHeight="1">
      <c r="A5396" s="2">
        <v>5399.0</v>
      </c>
      <c r="B5396" s="5" t="s">
        <v>9902</v>
      </c>
      <c r="C5396" s="6">
        <v>2.0</v>
      </c>
      <c r="D5396" s="7" t="s">
        <v>9902</v>
      </c>
      <c r="E5396" s="8" t="str">
        <f>IFERROR(__xludf.DUMMYFUNCTION("googletranslate(D5396,""id"",""en"")"),"Plan on a road for tomorrow, hopefully the PPKM is not extended again")</f>
        <v>Plan on a road for tomorrow, hopefully the PPKM is not extended again</v>
      </c>
    </row>
    <row r="5397" ht="15.75" customHeight="1">
      <c r="A5397" s="2">
        <v>5400.0</v>
      </c>
      <c r="B5397" s="5" t="s">
        <v>9903</v>
      </c>
      <c r="C5397" s="6">
        <v>3.0</v>
      </c>
      <c r="D5397" s="7" t="s">
        <v>9900</v>
      </c>
      <c r="E5397" s="8" t="str">
        <f>IFERROR(__xludf.DUMMYFUNCTION("googletranslate(D5397,""id"",""en"")"),"Bima Arya Sugiarto Supports Extension of PPKM Level with People")</f>
        <v>Bima Arya Sugiarto Supports Extension of PPKM Level with People</v>
      </c>
    </row>
    <row r="5398" ht="15.75" customHeight="1">
      <c r="A5398" s="2">
        <v>5401.0</v>
      </c>
      <c r="B5398" s="5" t="s">
        <v>9904</v>
      </c>
      <c r="C5398" s="6">
        <v>2.0</v>
      </c>
      <c r="D5398" s="9" t="s">
        <v>9905</v>
      </c>
      <c r="E5398" s="8" t="str">
        <f>IFERROR(__xludf.DUMMYFUNCTION("googletranslate(D5398,""id"",""en"")"),"Today the last ppkm is not sii, but it doesn't know it's extended or not ... but it's not extended because it's also coming out when I see it")</f>
        <v>Today the last ppkm is not sii, but it doesn't know it's extended or not ... but it's not extended because it's also coming out when I see it</v>
      </c>
    </row>
    <row r="5399" ht="15.75" customHeight="1">
      <c r="A5399" s="2">
        <v>5402.0</v>
      </c>
      <c r="B5399" s="5" t="s">
        <v>9906</v>
      </c>
      <c r="C5399" s="6">
        <v>1.0</v>
      </c>
      <c r="D5399" s="7" t="s">
        <v>9907</v>
      </c>
      <c r="E5399" s="8" t="str">
        <f>IFERROR(__xludf.DUMMYFUNCTION("googletranslate(D5399,""id"",""en"")"),"Ppkm only for life so that the people run out of starvation.")</f>
        <v>Ppkm only for life so that the people run out of starvation.</v>
      </c>
    </row>
    <row r="5400" ht="15.75" customHeight="1">
      <c r="A5400" s="2">
        <v>5403.0</v>
      </c>
      <c r="B5400" s="5" t="s">
        <v>9908</v>
      </c>
      <c r="C5400" s="6">
        <v>2.0</v>
      </c>
      <c r="D5400" s="9" t="s">
        <v>9908</v>
      </c>
      <c r="E5400" s="8" t="str">
        <f>IFERROR(__xludf.DUMMYFUNCTION("googletranslate(D5400,""id"",""en"")"),"Hello, how do I do it? Is it extended? Looked on the news, yesterday yesterday was tap.")</f>
        <v>Hello, how do I do it? Is it extended? Looked on the news, yesterday yesterday was tap.</v>
      </c>
    </row>
    <row r="5401" ht="15.75" customHeight="1">
      <c r="A5401" s="2">
        <v>5404.0</v>
      </c>
      <c r="B5401" s="5" t="s">
        <v>9909</v>
      </c>
      <c r="C5401" s="6">
        <v>1.0</v>
      </c>
      <c r="D5401" s="7" t="s">
        <v>9910</v>
      </c>
      <c r="E5401" s="8" t="str">
        <f>IFERROR(__xludf.DUMMYFUNCTION("googletranslate(D5401,""id"",""en"")"),"Acceleration of vaccination, use a mask. PPKM if further erus is not dead because of Covid but starving. Delicious officials have a salary, which is the daily work ?? Bansos are only a handful of people who can but $ number $ day is also abis.")</f>
        <v>Acceleration of vaccination, use a mask. PPKM if further erus is not dead because of Covid but starving. Delicious officials have a salary, which is the daily work ?? Bansos are only a handful of people who can but $ number $ day is also abis.</v>
      </c>
    </row>
    <row r="5402" ht="15.75" customHeight="1">
      <c r="A5402" s="2">
        <v>5405.0</v>
      </c>
      <c r="B5402" s="5" t="s">
        <v>9911</v>
      </c>
      <c r="C5402" s="6">
        <v>3.0</v>
      </c>
      <c r="D5402" s="7" t="s">
        <v>9912</v>
      </c>
      <c r="E5402" s="8" t="str">
        <f>IFERROR(__xludf.DUMMYFUNCTION("googletranslate(D5402,""id"",""en"")"),"Bissmillah get a snack during the ekekeke ppkm")</f>
        <v>Bissmillah get a snack during the ekekeke ppkm</v>
      </c>
    </row>
    <row r="5403" ht="15.75" customHeight="1">
      <c r="A5403" s="2">
        <v>5406.0</v>
      </c>
      <c r="B5403" s="5" t="s">
        <v>9913</v>
      </c>
      <c r="C5403" s="6">
        <v>3.0</v>
      </c>
      <c r="D5403" s="10" t="s">
        <v>9914</v>
      </c>
      <c r="E5403" s="8" t="str">
        <f>IFERROR(__xludf.DUMMYFUNCTION("googletranslate(D5403,""id"",""en"")"),"Ppkm again")</f>
        <v>Ppkm again</v>
      </c>
    </row>
    <row r="5404" ht="15.75" customHeight="1">
      <c r="A5404" s="2">
        <v>5407.0</v>
      </c>
      <c r="B5404" s="5" t="s">
        <v>9915</v>
      </c>
      <c r="C5404" s="6">
        <v>1.0</v>
      </c>
      <c r="D5404" s="9" t="s">
        <v>9916</v>
      </c>
      <c r="E5404" s="8" t="str">
        <f>IFERROR(__xludf.DUMMYFUNCTION("googletranslate(D5404,""id"",""en"")"),"rather salary in phpin ppkm little want to finish extended all of them ae loh ppkm term month / 1 year wkakaka so that at the same time I survive in the world of kebaban at home")</f>
        <v>rather salary in phpin ppkm little want to finish extended all of them ae loh ppkm term month / 1 year wkakaka so that at the same time I survive in the world of kebaban at home</v>
      </c>
    </row>
    <row r="5405" ht="15.75" customHeight="1">
      <c r="A5405" s="2">
        <v>5408.0</v>
      </c>
      <c r="B5405" s="5" t="s">
        <v>9917</v>
      </c>
      <c r="C5405" s="6">
        <v>2.0</v>
      </c>
      <c r="D5405" s="7" t="s">
        <v>9918</v>
      </c>
      <c r="E5405" s="8" t="str">
        <f>IFERROR(__xludf.DUMMYFUNCTION("googletranslate(D5405,""id"",""en"")"),"Ppkm extended again or not ...")</f>
        <v>Ppkm extended again or not ...</v>
      </c>
    </row>
    <row r="5406" ht="15.75" customHeight="1">
      <c r="A5406" s="2">
        <v>5409.0</v>
      </c>
      <c r="B5406" s="5" t="s">
        <v>9919</v>
      </c>
      <c r="C5406" s="6">
        <v>3.0</v>
      </c>
      <c r="D5406" s="9" t="s">
        <v>9920</v>
      </c>
      <c r="E5406" s="8" t="str">
        <f>IFERROR(__xludf.DUMMYFUNCTION("googletranslate(D5406,""id"",""en"")"),"IMHO: Free Oxygen Charging is not overcoming a Covid-19 surge, but reduces the suffering and death of Covid cases that need O2. While to overcome the Covid-19 surge with prokes and PPKMmmiiw")</f>
        <v>IMHO: Free Oxygen Charging is not overcoming a Covid-19 surge, but reduces the suffering and death of Covid cases that need O2. While to overcome the Covid-19 surge with prokes and PPKMmmiiw</v>
      </c>
    </row>
    <row r="5407" ht="15.75" customHeight="1">
      <c r="A5407" s="2">
        <v>5410.0</v>
      </c>
      <c r="B5407" s="5" t="s">
        <v>9921</v>
      </c>
      <c r="C5407" s="6">
        <v>3.0</v>
      </c>
      <c r="D5407" s="7" t="s">
        <v>9922</v>
      </c>
      <c r="E5407" s="8" t="str">
        <f>IFERROR(__xludf.DUMMYFUNCTION("googletranslate(D5407,""id"",""en"")"),"Obey PPKM rules ...")</f>
        <v>Obey PPKM rules ...</v>
      </c>
    </row>
    <row r="5408" ht="15.75" customHeight="1">
      <c r="A5408" s="2">
        <v>5411.0</v>
      </c>
      <c r="B5408" s="5" t="s">
        <v>9923</v>
      </c>
      <c r="C5408" s="6">
        <v>1.0</v>
      </c>
      <c r="D5408" s="7" t="s">
        <v>9924</v>
      </c>
      <c r="E5408" s="8" t="str">
        <f>IFERROR(__xludf.DUMMYFUNCTION("googletranslate(D5408,""id"",""en"")"),"Let alone drink vitamins, just want to eat there are no one who wants to be eaten. The work is limited by rocks and this is the murder that is authorized by the Act.")</f>
        <v>Let alone drink vitamins, just want to eat there are no one who wants to be eaten. The work is limited by rocks and this is the murder that is authorized by the Act.</v>
      </c>
    </row>
    <row r="5409" ht="15.75" customHeight="1">
      <c r="A5409" s="2">
        <v>5412.0</v>
      </c>
      <c r="B5409" s="5" t="s">
        <v>9925</v>
      </c>
      <c r="C5409" s="6">
        <v>1.0</v>
      </c>
      <c r="D5409" s="7" t="s">
        <v>9926</v>
      </c>
      <c r="E5409" s="8" t="str">
        <f>IFERROR(__xludf.DUMMYFUNCTION("googletranslate(D5409,""id"",""en"")"),"Maybe the title of the new PPKM is normal or the PPKM transition or PPKM standby or the Mukidi backwards")</f>
        <v>Maybe the title of the new PPKM is normal or the PPKM transition or PPKM standby or the Mukidi backwards</v>
      </c>
    </row>
    <row r="5410" ht="15.75" customHeight="1">
      <c r="A5410" s="2">
        <v>5413.0</v>
      </c>
      <c r="B5410" s="5" t="s">
        <v>9927</v>
      </c>
      <c r="C5410" s="6">
        <v>2.0</v>
      </c>
      <c r="D5410" s="7" t="s">
        <v>9927</v>
      </c>
      <c r="E5410" s="8" t="str">
        <f>IFERROR(__xludf.DUMMYFUNCTION("googletranslate(D5410,""id"",""en"")"),"What kind of ppkm is it? Ko there is a level")</f>
        <v>What kind of ppkm is it? Ko there is a level</v>
      </c>
    </row>
    <row r="5411" ht="15.75" customHeight="1">
      <c r="A5411" s="2">
        <v>5414.0</v>
      </c>
      <c r="B5411" s="5" t="s">
        <v>9928</v>
      </c>
      <c r="C5411" s="6">
        <v>3.0</v>
      </c>
      <c r="D5411" s="7" t="s">
        <v>9929</v>
      </c>
      <c r="E5411" s="8" t="str">
        <f>IFERROR(__xludf.DUMMYFUNCTION("googletranslate(D5411,""id"",""en"")"),"With this condition, inevitably PPKM level in Java &amp; amp; Bali HRS is extended. Let's pray, be patient and repent. Lord ports to a number of countries tighten Covid-19 restrictions due to Delta variants, from China to Australialik to read:")</f>
        <v>With this condition, inevitably PPKM level in Java &amp; amp; Bali HRS is extended. Let's pray, be patient and repent. Lord ports to a number of countries tighten Covid-19 restrictions due to Delta variants, from China to Australialik to read:</v>
      </c>
    </row>
    <row r="5412" ht="15.75" customHeight="1">
      <c r="A5412" s="2">
        <v>5415.0</v>
      </c>
      <c r="B5412" s="5" t="s">
        <v>9930</v>
      </c>
      <c r="C5412" s="6">
        <v>2.0</v>
      </c>
      <c r="D5412" s="7" t="s">
        <v>9931</v>
      </c>
      <c r="E5412" s="8" t="str">
        <f>IFERROR(__xludf.DUMMYFUNCTION("googletranslate(D5412,""id"",""en"")"),"Even though the Ministry of Transportation has not obliged strp. Now also enter the PPKM level right? No longer emergency ppkm")</f>
        <v>Even though the Ministry of Transportation has not obliged strp. Now also enter the PPKM level right? No longer emergency ppkm</v>
      </c>
    </row>
    <row r="5413" ht="15.75" customHeight="1">
      <c r="A5413" s="2">
        <v>5416.0</v>
      </c>
      <c r="B5413" s="5" t="s">
        <v>9932</v>
      </c>
      <c r="C5413" s="6">
        <v>2.0</v>
      </c>
      <c r="D5413" s="7" t="s">
        <v>9933</v>
      </c>
      <c r="E5413" s="8" t="str">
        <f>IFERROR(__xludf.DUMMYFUNCTION("googletranslate(D5413,""id"",""en"")"),"Waiting for the latest episode of the PPKM term in Indonesia")</f>
        <v>Waiting for the latest episode of the PPKM term in Indonesia</v>
      </c>
    </row>
    <row r="5414" ht="15.75" customHeight="1">
      <c r="A5414" s="2">
        <v>5417.0</v>
      </c>
      <c r="B5414" s="5" t="s">
        <v>9934</v>
      </c>
      <c r="C5414" s="6">
        <v>3.0</v>
      </c>
      <c r="D5414" s="7" t="s">
        <v>9935</v>
      </c>
      <c r="E5414" s="8" t="str">
        <f>IFERROR(__xludf.DUMMYFUNCTION("googletranslate(D5414,""id"",""en"")"),"Alhamdulillah emergency PPKM in Jakarta managed to control Covid. Active cases fell almost two weeks. The back of the covid patient's bed down. The positivity rate fell which had% so% .pkm + vaccines work :: //")</f>
        <v>Alhamdulillah emergency PPKM in Jakarta managed to control Covid. Active cases fell almost two weeks. The back of the covid patient's bed down. The positivity rate fell which had% so% .pkm + vaccines work :: //</v>
      </c>
    </row>
    <row r="5415" ht="15.75" customHeight="1">
      <c r="A5415" s="2">
        <v>5418.0</v>
      </c>
      <c r="B5415" s="5" t="s">
        <v>9936</v>
      </c>
      <c r="C5415" s="6">
        <v>1.0</v>
      </c>
      <c r="D5415" s="9" t="s">
        <v>9936</v>
      </c>
      <c r="E5415" s="8" t="str">
        <f>IFERROR(__xludf.DUMMYFUNCTION("googletranslate(D5415,""id"",""en"")"),"I want the PPKM, how come the level is also if the people are with the government, they are gang")</f>
        <v>I want the PPKM, how come the level is also if the people are with the government, they are gang</v>
      </c>
    </row>
    <row r="5416" ht="15.75" customHeight="1">
      <c r="A5416" s="2">
        <v>5419.0</v>
      </c>
      <c r="B5416" s="5" t="s">
        <v>9937</v>
      </c>
      <c r="C5416" s="6">
        <v>1.0</v>
      </c>
      <c r="D5416" s="9" t="s">
        <v>9938</v>
      </c>
      <c r="E5416" s="8" t="str">
        <f>IFERROR(__xludf.DUMMYFUNCTION("googletranslate(D5416,""id"",""en"")"),"How do you want to improve the road, the road is still a lot of veils, where can you get away, just go home to the night or dawn")</f>
        <v>How do you want to improve the road, the road is still a lot of veils, where can you get away, just go home to the night or dawn</v>
      </c>
    </row>
    <row r="5417" ht="15.75" customHeight="1">
      <c r="A5417" s="2">
        <v>5420.0</v>
      </c>
      <c r="B5417" s="5" t="s">
        <v>9939</v>
      </c>
      <c r="C5417" s="6">
        <v>1.0</v>
      </c>
      <c r="D5417" s="7" t="s">
        <v>9940</v>
      </c>
      <c r="E5417" s="8" t="str">
        <f>IFERROR(__xludf.DUMMYFUNCTION("googletranslate(D5417,""id"",""en"")"),"Don't be extended again, I have a really impact on this PPKM, it's hard to find money to pay for college.")</f>
        <v>Don't be extended again, I have a really impact on this PPKM, it's hard to find money to pay for college.</v>
      </c>
    </row>
    <row r="5418" ht="15.75" customHeight="1">
      <c r="A5418" s="2">
        <v>5421.0</v>
      </c>
      <c r="B5418" s="5" t="s">
        <v>9941</v>
      </c>
      <c r="C5418" s="6">
        <v>2.0</v>
      </c>
      <c r="D5418" s="7" t="s">
        <v>9942</v>
      </c>
      <c r="E5418" s="8" t="str">
        <f>IFERROR(__xludf.DUMMYFUNCTION("googletranslate(D5418,""id"",""en"")"),"Hopefully the PPKM does not continue Aamiin, God")</f>
        <v>Hopefully the PPKM does not continue Aamiin, God</v>
      </c>
    </row>
    <row r="5419" ht="15.75" customHeight="1">
      <c r="A5419" s="2">
        <v>5422.0</v>
      </c>
      <c r="B5419" s="5" t="s">
        <v>9943</v>
      </c>
      <c r="C5419" s="6">
        <v>2.0</v>
      </c>
      <c r="D5419" s="7" t="s">
        <v>9943</v>
      </c>
      <c r="E5419" s="8" t="str">
        <f>IFERROR(__xludf.DUMMYFUNCTION("googletranslate(D5419,""id"",""en"")"),"The ppkm seems to be finished the train ticket until it doesn't work")</f>
        <v>The ppkm seems to be finished the train ticket until it doesn't work</v>
      </c>
    </row>
    <row r="5420" ht="15.75" customHeight="1">
      <c r="A5420" s="2">
        <v>5423.0</v>
      </c>
      <c r="B5420" s="5" t="s">
        <v>9944</v>
      </c>
      <c r="C5420" s="6">
        <v>1.0</v>
      </c>
      <c r="D5420" s="9" t="s">
        <v>9945</v>
      </c>
      <c r="E5420" s="8" t="str">
        <f>IFERROR(__xludf.DUMMYFUNCTION("googletranslate(D5420,""id"",""en"")"),"Risol Tu Why Is It Really Good?! Especially the Risol Mayo yes, really if you get a snack from the Tuu event, surely you can get Risol Mayo, if it doesn't work, it's hoped that Risol Mayonya hasn't been abiss, and now because of the ppkm, it's gabisa, ris"&amp;"ol again, huhuu pdhl bm bmettt")</f>
        <v>Risol Tu Why Is It Really Good?! Especially the Risol Mayo yes, really if you get a snack from the Tuu event, surely you can get Risol Mayo, if it doesn't work, it's hoped that Risol Mayonya hasn't been abiss, and now because of the ppkm, it's gabisa, risol again, huhuu pdhl bm bmettt</v>
      </c>
    </row>
    <row r="5421" ht="15.75" customHeight="1">
      <c r="A5421" s="2">
        <v>5424.0</v>
      </c>
      <c r="B5421" s="5" t="s">
        <v>9946</v>
      </c>
      <c r="C5421" s="6">
        <v>2.0</v>
      </c>
      <c r="D5421" s="7" t="s">
        <v>9947</v>
      </c>
      <c r="E5421" s="8" t="str">
        <f>IFERROR(__xludf.DUMMYFUNCTION("googletranslate(D5421,""id"",""en"")"),"I don't know, the PPKM is extended. eh yeah gk si?")</f>
        <v>I don't know, the PPKM is extended. eh yeah gk si?</v>
      </c>
    </row>
    <row r="5422" ht="15.75" customHeight="1">
      <c r="A5422" s="2">
        <v>5425.0</v>
      </c>
      <c r="B5422" s="5" t="s">
        <v>9948</v>
      </c>
      <c r="C5422" s="6">
        <v>2.0</v>
      </c>
      <c r="D5422" s="7" t="s">
        <v>9948</v>
      </c>
      <c r="E5422" s="8" t="str">
        <f>IFERROR(__xludf.DUMMYFUNCTION("googletranslate(D5422,""id"",""en"")"),"Ppkm is still extended again or not guys?")</f>
        <v>Ppkm is still extended again or not guys?</v>
      </c>
    </row>
    <row r="5423" ht="15.75" customHeight="1">
      <c r="A5423" s="2">
        <v>5426.0</v>
      </c>
      <c r="B5423" s="5" t="s">
        <v>9949</v>
      </c>
      <c r="C5423" s="6">
        <v>1.0</v>
      </c>
      <c r="D5423" s="7" t="s">
        <v>9950</v>
      </c>
      <c r="E5423" s="8" t="str">
        <f>IFERROR(__xludf.DUMMYFUNCTION("googletranslate(D5423,""id"",""en"")"),"The statement is not valid because Ude does not become a National Police Chief, what violates the PPKM does not include deviating? Ruwet")</f>
        <v>The statement is not valid because Ude does not become a National Police Chief, what violates the PPKM does not include deviating? Ruwet</v>
      </c>
    </row>
    <row r="5424" ht="15.75" customHeight="1">
      <c r="A5424" s="2">
        <v>5427.0</v>
      </c>
      <c r="B5424" s="5" t="s">
        <v>9951</v>
      </c>
      <c r="C5424" s="6">
        <v>2.0</v>
      </c>
      <c r="D5424" s="7" t="s">
        <v>9952</v>
      </c>
      <c r="E5424" s="8" t="str">
        <f>IFERROR(__xludf.DUMMYFUNCTION("googletranslate(D5424,""id"",""en"")"),"I've been a coy, hopefully it is not extended again")</f>
        <v>I've been a coy, hopefully it is not extended again</v>
      </c>
    </row>
    <row r="5425" ht="15.75" customHeight="1">
      <c r="A5425" s="2">
        <v>5428.0</v>
      </c>
      <c r="B5425" s="5" t="s">
        <v>9953</v>
      </c>
      <c r="C5425" s="6">
        <v>1.0</v>
      </c>
      <c r="D5425" s="7" t="s">
        <v>9954</v>
      </c>
      <c r="E5425" s="8" t="str">
        <f>IFERROR(__xludf.DUMMYFUNCTION("googletranslate(D5425,""id"",""en"")"),"It would be nice to extend the goodness of the people at home, bro, I was fasting, I wanted to give a grave soil.")</f>
        <v>It would be nice to extend the goodness of the people at home, bro, I was fasting, I wanted to give a grave soil.</v>
      </c>
    </row>
    <row r="5426" ht="15.75" customHeight="1">
      <c r="A5426" s="2">
        <v>5429.0</v>
      </c>
      <c r="B5426" s="5" t="s">
        <v>9955</v>
      </c>
      <c r="C5426" s="6">
        <v>3.0</v>
      </c>
      <c r="D5426" s="7" t="s">
        <v>9956</v>
      </c>
      <c r="E5426" s="8" t="str">
        <f>IFERROR(__xludf.DUMMYFUNCTION("googletranslate(D5426,""id"",""en"")"),"Be grateful because with the PPKM and Prokes Indonesia succeeded in pressing the spread of the Copid-19 virus .... PPKM is of course very helpful to save us ...")</f>
        <v>Be grateful because with the PPKM and Prokes Indonesia succeeded in pressing the spread of the Copid-19 virus .... PPKM is of course very helpful to save us ...</v>
      </c>
    </row>
    <row r="5427" ht="15.75" customHeight="1">
      <c r="A5427" s="2">
        <v>5430.0</v>
      </c>
      <c r="B5427" s="5" t="s">
        <v>9957</v>
      </c>
      <c r="C5427" s="6">
        <v>2.0</v>
      </c>
      <c r="D5427" s="10" t="s">
        <v>9958</v>
      </c>
      <c r="E5427" s="8" t="str">
        <f>IFERROR(__xludf.DUMMYFUNCTION("googletranslate(D5427,""id"",""en"")"),"Last PPKM")</f>
        <v>Last PPKM</v>
      </c>
    </row>
    <row r="5428" ht="15.75" customHeight="1">
      <c r="A5428" s="2">
        <v>5431.0</v>
      </c>
      <c r="B5428" s="5" t="s">
        <v>9959</v>
      </c>
      <c r="C5428" s="6">
        <v>2.0</v>
      </c>
      <c r="D5428" s="7" t="s">
        <v>9960</v>
      </c>
      <c r="E5428" s="8" t="str">
        <f>IFERROR(__xludf.DUMMYFUNCTION("googletranslate(D5428,""id"",""en"")"),"The PPKM has been completed, then the beginning of the month. GOW time?")</f>
        <v>The PPKM has been completed, then the beginning of the month. GOW time?</v>
      </c>
    </row>
    <row r="5429" ht="15.75" customHeight="1">
      <c r="A5429" s="2">
        <v>5432.0</v>
      </c>
      <c r="B5429" s="5" t="s">
        <v>9961</v>
      </c>
      <c r="C5429" s="6">
        <v>1.0</v>
      </c>
      <c r="D5429" s="7" t="s">
        <v>9962</v>
      </c>
      <c r="E5429" s="8" t="str">
        <f>IFERROR(__xludf.DUMMYFUNCTION("googletranslate(D5429,""id"",""en"")"),"What do you rely on the BPKMU. Overcoming the people who have just the victims of the PPKM on the mnjerit, they can have compensation for timesvyg at SMBIL for Beketja")</f>
        <v>What do you rely on the BPKMU. Overcoming the people who have just the victims of the PPKM on the mnjerit, they can have compensation for timesvyg at SMBIL for Beketja</v>
      </c>
    </row>
    <row r="5430" ht="15.75" customHeight="1">
      <c r="A5430" s="2">
        <v>5433.0</v>
      </c>
      <c r="B5430" s="5" t="s">
        <v>9963</v>
      </c>
      <c r="C5430" s="6">
        <v>2.0</v>
      </c>
      <c r="D5430" s="7" t="s">
        <v>9963</v>
      </c>
      <c r="E5430" s="8" t="str">
        <f>IFERROR(__xludf.DUMMYFUNCTION("googletranslate(D5430,""id"",""en"")"),"Ppkm continued or not ...")</f>
        <v>Ppkm continued or not ...</v>
      </c>
    </row>
    <row r="5431" ht="15.75" customHeight="1">
      <c r="A5431" s="2">
        <v>5434.0</v>
      </c>
      <c r="B5431" s="5" t="s">
        <v>9964</v>
      </c>
      <c r="C5431" s="6">
        <v>3.0</v>
      </c>
      <c r="D5431" s="7" t="s">
        <v>9965</v>
      </c>
      <c r="E5431" s="8" t="str">
        <f>IFERROR(__xludf.DUMMYFUNCTION("googletranslate(D5431,""id"",""en"")"),"So it becomes a citizen who is proud of our country Indonesia. Print the pride of MU THDP Indonesia by complying with the PPKM rules &amp; amp; Prokes. Can?")</f>
        <v>So it becomes a citizen who is proud of our country Indonesia. Print the pride of MU THDP Indonesia by complying with the PPKM rules &amp; amp; Prokes. Can?</v>
      </c>
    </row>
    <row r="5432" ht="15.75" customHeight="1">
      <c r="A5432" s="2">
        <v>5435.0</v>
      </c>
      <c r="B5432" s="5" t="s">
        <v>9966</v>
      </c>
      <c r="C5432" s="6">
        <v>2.0</v>
      </c>
      <c r="D5432" s="9" t="s">
        <v>9967</v>
      </c>
      <c r="E5432" s="8" t="str">
        <f>IFERROR(__xludf.DUMMYFUNCTION("googletranslate(D5432,""id"",""en"")"),"Be careful, if the PPKM is again ""the pesherfall to GeP Molo"" Same Detective Angel ..")</f>
        <v>Be careful, if the PPKM is again "the pesherfall to GeP Molo" Same Detective Angel ..</v>
      </c>
    </row>
    <row r="5433" ht="15.75" customHeight="1">
      <c r="A5433" s="2">
        <v>5436.0</v>
      </c>
      <c r="B5433" s="5" t="s">
        <v>9968</v>
      </c>
      <c r="C5433" s="6">
        <v>2.0</v>
      </c>
      <c r="D5433" s="7" t="s">
        <v>9968</v>
      </c>
      <c r="E5433" s="8" t="str">
        <f>IFERROR(__xludf.DUMMYFUNCTION("googletranslate(D5433,""id"",""en"")"),"Aja PPKM continued, your Chatan time he stopped at the sticker")</f>
        <v>Aja PPKM continued, your Chatan time he stopped at the sticker</v>
      </c>
    </row>
    <row r="5434" ht="15.75" customHeight="1">
      <c r="A5434" s="2">
        <v>5437.0</v>
      </c>
      <c r="B5434" s="5" t="s">
        <v>9969</v>
      </c>
      <c r="C5434" s="6">
        <v>3.0</v>
      </c>
      <c r="D5434" s="7" t="s">
        <v>9970</v>
      </c>
      <c r="E5434" s="8" t="str">
        <f>IFERROR(__xludf.DUMMYFUNCTION("googletranslate(D5434,""id"",""en"")"),"WKWK Bener Badminton accompanies my PPKM")</f>
        <v>WKWK Bener Badminton accompanies my PPKM</v>
      </c>
    </row>
    <row r="5435" ht="15.75" customHeight="1">
      <c r="A5435" s="2">
        <v>5438.0</v>
      </c>
      <c r="B5435" s="5" t="s">
        <v>9971</v>
      </c>
      <c r="C5435" s="6">
        <v>2.0</v>
      </c>
      <c r="D5435" s="7" t="s">
        <v>9971</v>
      </c>
      <c r="E5435" s="8" t="str">
        <f>IFERROR(__xludf.DUMMYFUNCTION("googletranslate(D5435,""id"",""en"")"),"Semalem I overslept. Do you want to extend or bgmn?")</f>
        <v>Semalem I overslept. Do you want to extend or bgmn?</v>
      </c>
    </row>
    <row r="5436" ht="15.75" customHeight="1">
      <c r="A5436" s="2">
        <v>5439.0</v>
      </c>
      <c r="B5436" s="5" t="s">
        <v>9972</v>
      </c>
      <c r="C5436" s="6">
        <v>1.0</v>
      </c>
      <c r="D5436" s="7" t="s">
        <v>9973</v>
      </c>
      <c r="E5436" s="8" t="str">
        <f>IFERROR(__xludf.DUMMYFUNCTION("googletranslate(D5436,""id"",""en"")"),"Replace Terms, PSBB, New Normal, Emergency Brakes, PPKM, PPKM Level ... Nothing Successful Vinite, Stupid Amat")</f>
        <v>Replace Terms, PSBB, New Normal, Emergency Brakes, PPKM, PPKM Level ... Nothing Successful Vinite, Stupid Amat</v>
      </c>
    </row>
    <row r="5437" ht="15.75" customHeight="1">
      <c r="A5437" s="2">
        <v>5440.0</v>
      </c>
      <c r="B5437" s="5" t="s">
        <v>9974</v>
      </c>
      <c r="C5437" s="6">
        <v>2.0</v>
      </c>
      <c r="D5437" s="7" t="s">
        <v>9975</v>
      </c>
      <c r="E5437" s="8" t="str">
        <f>IFERROR(__xludf.DUMMYFUNCTION("googletranslate(D5437,""id"",""en"")"),"Ppkm aka morning morning we flour")</f>
        <v>Ppkm aka morning morning we flour</v>
      </c>
    </row>
    <row r="5438" ht="15.75" customHeight="1">
      <c r="A5438" s="2">
        <v>5441.0</v>
      </c>
      <c r="B5438" s="5" t="s">
        <v>9976</v>
      </c>
      <c r="C5438" s="6">
        <v>1.0</v>
      </c>
      <c r="D5438" s="7" t="s">
        <v>9977</v>
      </c>
      <c r="E5438" s="8" t="str">
        <f>IFERROR(__xludf.DUMMYFUNCTION("googletranslate(D5438,""id"",""en"")"),"Aiiih ... the important thing is the important commentary of soap opera legal problems amid the PPKM. If you have a blind eye? Moreover, the legal issue is martyred, the perpetrator who is not detained until now, will not sound he, blind juwa too?")</f>
        <v>Aiiih ... the important thing is the important commentary of soap opera legal problems amid the PPKM. If you have a blind eye? Moreover, the legal issue is martyred, the perpetrator who is not detained until now, will not sound he, blind juwa too?</v>
      </c>
    </row>
    <row r="5439" ht="15.75" customHeight="1">
      <c r="A5439" s="2">
        <v>5442.0</v>
      </c>
      <c r="B5439" s="5" t="s">
        <v>9978</v>
      </c>
      <c r="C5439" s="6">
        <v>2.0</v>
      </c>
      <c r="D5439" s="9" t="s">
        <v>9979</v>
      </c>
      <c r="E5439" s="8" t="str">
        <f>IFERROR(__xludf.DUMMYFUNCTION("googletranslate(D5439,""id"",""en"")"),"Corona effect of the PPKM effect, yeah, I think, I think it's from the season semlam ... I don't have any passion for watching ... I want to watch the defense of the punishment")</f>
        <v>Corona effect of the PPKM effect, yeah, I think, I think it's from the season semlam ... I don't have any passion for watching ... I want to watch the defense of the punishment</v>
      </c>
    </row>
    <row r="5440" ht="15.75" customHeight="1">
      <c r="A5440" s="2">
        <v>5443.0</v>
      </c>
      <c r="B5440" s="5" t="s">
        <v>9980</v>
      </c>
      <c r="C5440" s="6">
        <v>1.0</v>
      </c>
      <c r="D5440" s="7" t="s">
        <v>9981</v>
      </c>
      <c r="E5440" s="8" t="str">
        <f>IFERROR(__xludf.DUMMYFUNCTION("googletranslate(D5440,""id"",""en"")"),"Oh so this feels like it's bored in a relationship. Past too yes ppkm one month jan add again ye, tired diposesifin")</f>
        <v>Oh so this feels like it's bored in a relationship. Past too yes ppkm one month jan add again ye, tired diposesifin</v>
      </c>
    </row>
    <row r="5441" ht="15.75" customHeight="1">
      <c r="A5441" s="2">
        <v>5444.0</v>
      </c>
      <c r="B5441" s="5" t="s">
        <v>9982</v>
      </c>
      <c r="C5441" s="6">
        <v>1.0</v>
      </c>
      <c r="D5441" s="9" t="s">
        <v>9983</v>
      </c>
      <c r="E5441" s="8" t="str">
        <f>IFERROR(__xludf.DUMMYFUNCTION("googletranslate(D5441,""id"",""en"")"),"Yes, it's rented, it should be the beginning of July, I have to move but failed by Gegara PPKM yesterday. If this is there again, I'll just be wrenched.")</f>
        <v>Yes, it's rented, it should be the beginning of July, I have to move but failed by Gegara PPKM yesterday. If this is there again, I'll just be wrenched.</v>
      </c>
    </row>
    <row r="5442" ht="15.75" customHeight="1">
      <c r="A5442" s="2">
        <v>5445.0</v>
      </c>
      <c r="B5442" s="5" t="s">
        <v>9984</v>
      </c>
      <c r="C5442" s="6">
        <v>1.0</v>
      </c>
      <c r="D5442" s="7" t="s">
        <v>9985</v>
      </c>
      <c r="E5442" s="8" t="str">
        <f>IFERROR(__xludf.DUMMYFUNCTION("googletranslate(D5442,""id"",""en"")"),"Now, just watch it, it appears that the PPKM news appears extended")</f>
        <v>Now, just watch it, it appears that the PPKM news appears extended</v>
      </c>
    </row>
    <row r="5443" ht="15.75" customHeight="1">
      <c r="A5443" s="2">
        <v>5446.0</v>
      </c>
      <c r="B5443" s="5" t="s">
        <v>9986</v>
      </c>
      <c r="C5443" s="6">
        <v>1.0</v>
      </c>
      <c r="D5443" s="9" t="s">
        <v>9987</v>
      </c>
      <c r="E5443" s="8" t="str">
        <f>IFERROR(__xludf.DUMMYFUNCTION("googletranslate(D5443,""id"",""en"")"),"Same as the party who asked for Lockdown to another government supported the PPKM demo, the edan party")</f>
        <v>Same as the party who asked for Lockdown to another government supported the PPKM demo, the edan party</v>
      </c>
    </row>
    <row r="5444" ht="15.75" customHeight="1">
      <c r="A5444" s="2">
        <v>5447.0</v>
      </c>
      <c r="B5444" s="5" t="s">
        <v>9988</v>
      </c>
      <c r="C5444" s="6">
        <v>1.0</v>
      </c>
      <c r="D5444" s="10" t="s">
        <v>9989</v>
      </c>
      <c r="E5444" s="8" t="str">
        <f>IFERROR(__xludf.DUMMYFUNCTION("googletranslate(D5444,""id"",""en"")"),"Anjg PPKM Trs.")</f>
        <v>Anjg PPKM Trs.</v>
      </c>
    </row>
    <row r="5445" ht="15.75" customHeight="1">
      <c r="A5445" s="2">
        <v>5448.0</v>
      </c>
      <c r="B5445" s="5" t="s">
        <v>9990</v>
      </c>
      <c r="C5445" s="6">
        <v>1.0</v>
      </c>
      <c r="D5445" s="7" t="s">
        <v>9991</v>
      </c>
      <c r="E5445" s="8" t="str">
        <f>IFERROR(__xludf.DUMMYFUNCTION("googletranslate(D5445,""id"",""en"")"),"Who says PPKM is extended because of the full stomach ... see the people down all difficulties")</f>
        <v>Who says PPKM is extended because of the full stomach ... see the people down all difficulties</v>
      </c>
    </row>
    <row r="5446" ht="15.75" customHeight="1">
      <c r="A5446" s="2">
        <v>5449.0</v>
      </c>
      <c r="B5446" s="5" t="s">
        <v>9992</v>
      </c>
      <c r="C5446" s="6">
        <v>2.0</v>
      </c>
      <c r="D5446" s="7" t="s">
        <v>9992</v>
      </c>
      <c r="E5446" s="8" t="str">
        <f>IFERROR(__xludf.DUMMYFUNCTION("googletranslate(D5446,""id"",""en"")"),"Approximately ppkm extended or not yes")</f>
        <v>Approximately ppkm extended or not yes</v>
      </c>
    </row>
    <row r="5447" ht="15.75" customHeight="1">
      <c r="A5447" s="2">
        <v>5450.0</v>
      </c>
      <c r="B5447" s="5" t="s">
        <v>9993</v>
      </c>
      <c r="C5447" s="6">
        <v>2.0</v>
      </c>
      <c r="D5447" s="9" t="s">
        <v>9993</v>
      </c>
      <c r="E5447" s="8" t="str">
        <f>IFERROR(__xludf.DUMMYFUNCTION("googletranslate(D5447,""id"",""en"")"),"Ppkm udhn yet? Want to take the train: ')")</f>
        <v>Ppkm udhn yet? Want to take the train: ')</v>
      </c>
    </row>
    <row r="5448" ht="15.75" customHeight="1">
      <c r="A5448" s="2">
        <v>5451.0</v>
      </c>
      <c r="B5448" s="5" t="s">
        <v>9994</v>
      </c>
      <c r="C5448" s="6">
        <v>2.0</v>
      </c>
      <c r="D5448" s="7" t="s">
        <v>9994</v>
      </c>
      <c r="E5448" s="8" t="str">
        <f>IFERROR(__xludf.DUMMYFUNCTION("googletranslate(D5448,""id"",""en"")"),"During the PPKM, it continues online shopping. yes rarely check the balance, just check with degdegal. Look at the balance, Alhamdulillah. it turns out I'm not a seboros that")</f>
        <v>During the PPKM, it continues online shopping. yes rarely check the balance, just check with degdegal. Look at the balance, Alhamdulillah. it turns out I'm not a seboros that</v>
      </c>
    </row>
    <row r="5449" ht="15.75" customHeight="1">
      <c r="A5449" s="2">
        <v>5452.0</v>
      </c>
      <c r="B5449" s="5" t="s">
        <v>9995</v>
      </c>
      <c r="C5449" s="6">
        <v>2.0</v>
      </c>
      <c r="D5449" s="9" t="s">
        <v>9995</v>
      </c>
      <c r="E5449" s="8" t="str">
        <f>IFERROR(__xludf.DUMMYFUNCTION("googletranslate(D5449,""id"",""en"")"),"Loh ppkm dh ends y?")</f>
        <v>Loh ppkm dh ends y?</v>
      </c>
    </row>
    <row r="5450" ht="15.75" customHeight="1">
      <c r="A5450" s="2">
        <v>5453.0</v>
      </c>
      <c r="B5450" s="5" t="s">
        <v>9996</v>
      </c>
      <c r="C5450" s="6">
        <v>1.0</v>
      </c>
      <c r="D5450" s="9" t="s">
        <v>9997</v>
      </c>
      <c r="E5450" s="8" t="str">
        <f>IFERROR(__xludf.DUMMYFUNCTION("googletranslate(D5450,""id"",""en"")"),"Billboards plus other plus plus costs can be JT? And how many billboards are like that? Mending buying the main needs of citizens affected by PPKM")</f>
        <v>Billboards plus other plus plus costs can be JT? And how many billboards are like that? Mending buying the main needs of citizens affected by PPKM</v>
      </c>
    </row>
    <row r="5451" ht="15.75" customHeight="1">
      <c r="A5451" s="2">
        <v>5454.0</v>
      </c>
      <c r="B5451" s="5" t="s">
        <v>9998</v>
      </c>
      <c r="C5451" s="6">
        <v>2.0</v>
      </c>
      <c r="D5451" s="7" t="s">
        <v>9998</v>
      </c>
      <c r="E5451" s="8" t="str">
        <f>IFERROR(__xludf.DUMMYFUNCTION("googletranslate(D5451,""id"",""en"")"),"Already this is not extended ppkm?")</f>
        <v>Already this is not extended ppkm?</v>
      </c>
    </row>
    <row r="5452" ht="15.75" customHeight="1">
      <c r="A5452" s="2">
        <v>5455.0</v>
      </c>
      <c r="B5452" s="5" t="s">
        <v>9999</v>
      </c>
      <c r="C5452" s="6">
        <v>1.0</v>
      </c>
      <c r="D5452" s="9" t="s">
        <v>10000</v>
      </c>
      <c r="E5452" s="8" t="str">
        <f>IFERROR(__xludf.DUMMYFUNCTION("googletranslate(D5452,""id"",""en"")"),"How come it's smooth, but it's been there, it's been there, hmmm you broke out myself, they talked to what language bastard ... * before the PPKM time at Wuhan KNTL")</f>
        <v>How come it's smooth, but it's been there, it's been there, hmmm you broke out myself, they talked to what language bastard ... * before the PPKM time at Wuhan KNTL</v>
      </c>
    </row>
    <row r="5453" ht="15.75" customHeight="1">
      <c r="A5453" s="2">
        <v>5456.0</v>
      </c>
      <c r="B5453" s="5" t="s">
        <v>10001</v>
      </c>
      <c r="C5453" s="6">
        <v>1.0</v>
      </c>
      <c r="D5453" s="7" t="s">
        <v>10002</v>
      </c>
      <c r="E5453" s="8" t="str">
        <f>IFERROR(__xludf.DUMMYFUNCTION("googletranslate(D5453,""id"",""en"")"),"Indeed, the affected PPKM is only art workers? Is it the fate of thousands of workers at the mall that has been closed? Sinting !!!! When it's rich, it's even a concert, there's no morals and empathy!")</f>
        <v>Indeed, the affected PPKM is only art workers? Is it the fate of thousands of workers at the mall that has been closed? Sinting !!!! When it's rich, it's even a concert, there's no morals and empathy!</v>
      </c>
    </row>
    <row r="5454" ht="15.75" customHeight="1">
      <c r="A5454" s="2">
        <v>5457.0</v>
      </c>
      <c r="B5454" s="5" t="s">
        <v>10003</v>
      </c>
      <c r="C5454" s="6">
        <v>2.0</v>
      </c>
      <c r="D5454" s="9" t="s">
        <v>10004</v>
      </c>
      <c r="E5454" s="8" t="str">
        <f>IFERROR(__xludf.DUMMYFUNCTION("googletranslate(D5454,""id"",""en"")"),"Darinkantan? If it's udh. This is a million from the government for employees affected by PPKM")</f>
        <v>Darinkantan? If it's udh. This is a million from the government for employees affected by PPKM</v>
      </c>
    </row>
    <row r="5455" ht="15.75" customHeight="1">
      <c r="A5455" s="2">
        <v>5458.0</v>
      </c>
      <c r="B5455" s="5" t="s">
        <v>10005</v>
      </c>
      <c r="C5455" s="6">
        <v>1.0</v>
      </c>
      <c r="D5455" s="9" t="s">
        <v>10006</v>
      </c>
      <c r="E5455" s="8" t="str">
        <f>IFERROR(__xludf.DUMMYFUNCTION("googletranslate(D5455,""id"",""en"")"),"I said, rich khan beams! Jabotabek goes down Lha Wong on the exodus behind the village of Gegara PPKM. So evenly distributed everywhere")</f>
        <v>I said, rich khan beams! Jabotabek goes down Lha Wong on the exodus behind the village of Gegara PPKM. So evenly distributed everywhere</v>
      </c>
    </row>
    <row r="5456" ht="15.75" customHeight="1">
      <c r="A5456" s="2">
        <v>5459.0</v>
      </c>
      <c r="B5456" s="5" t="s">
        <v>10007</v>
      </c>
      <c r="C5456" s="6">
        <v>1.0</v>
      </c>
      <c r="D5456" s="7" t="s">
        <v>10008</v>
      </c>
      <c r="E5456" s="8" t="str">
        <f>IFERROR(__xludf.DUMMYFUNCTION("googletranslate(D5456,""id"",""en"")"),"Called PPKM ... uh ... is the brain that is fixed ...")</f>
        <v>Called PPKM ... uh ... is the brain that is fixed ...</v>
      </c>
    </row>
    <row r="5457" ht="15.75" customHeight="1">
      <c r="A5457" s="2">
        <v>5460.0</v>
      </c>
      <c r="B5457" s="5" t="s">
        <v>10009</v>
      </c>
      <c r="C5457" s="6">
        <v>2.0</v>
      </c>
      <c r="D5457" s="7" t="s">
        <v>10009</v>
      </c>
      <c r="E5457" s="8" t="str">
        <f>IFERROR(__xludf.DUMMYFUNCTION("googletranslate(D5457,""id"",""en"")"),"As usual information on the extension of the PPKM is definitely the info rich we are waiting for the hilal.")</f>
        <v>As usual information on the extension of the PPKM is definitely the info rich we are waiting for the hilal.</v>
      </c>
    </row>
    <row r="5458" ht="15.75" customHeight="1">
      <c r="A5458" s="2">
        <v>5461.0</v>
      </c>
      <c r="B5458" s="5" t="s">
        <v>10010</v>
      </c>
      <c r="C5458" s="6">
        <v>1.0</v>
      </c>
      <c r="D5458" s="7" t="s">
        <v>10011</v>
      </c>
      <c r="E5458" s="8" t="str">
        <f>IFERROR(__xludf.DUMMYFUNCTION("googletranslate(D5458,""id"",""en"")"),"So in short PPKM (we slowly turn off)")</f>
        <v>So in short PPKM (we slowly turn off)</v>
      </c>
    </row>
    <row r="5459" ht="15.75" customHeight="1">
      <c r="A5459" s="2">
        <v>5462.0</v>
      </c>
      <c r="B5459" s="5" t="s">
        <v>10012</v>
      </c>
      <c r="C5459" s="6">
        <v>1.0</v>
      </c>
      <c r="D5459" s="9" t="s">
        <v>10013</v>
      </c>
      <c r="E5459" s="8" t="str">
        <f>IFERROR(__xludf.DUMMYFUNCTION("googletranslate(D5459,""id"",""en"")"),"Yes, Allah, I hope the PPKM is not extended ... it can still be starving it can't pick up the sustenance that you are brilliantly regret. And I will. Pick up with Tenagaku..aamiin.")</f>
        <v>Yes, Allah, I hope the PPKM is not extended ... it can still be starving it can't pick up the sustenance that you are brilliantly regret. And I will. Pick up with Tenagaku..aamiin.</v>
      </c>
    </row>
    <row r="5460" ht="15.75" customHeight="1">
      <c r="A5460" s="2">
        <v>5463.0</v>
      </c>
      <c r="B5460" s="5" t="s">
        <v>10014</v>
      </c>
      <c r="C5460" s="6">
        <v>2.0</v>
      </c>
      <c r="D5460" s="7" t="s">
        <v>10015</v>
      </c>
      <c r="E5460" s="8" t="str">
        <f>IFERROR(__xludf.DUMMYFUNCTION("googletranslate(D5460,""id"",""en"")"),"It looks like the answer to the person who is full when applied for PPKM")</f>
        <v>It looks like the answer to the person who is full when applied for PPKM</v>
      </c>
    </row>
    <row r="5461" ht="15.75" customHeight="1">
      <c r="A5461" s="2">
        <v>5464.0</v>
      </c>
      <c r="B5461" s="5" t="s">
        <v>10016</v>
      </c>
      <c r="C5461" s="6">
        <v>1.0</v>
      </c>
      <c r="D5461" s="9" t="s">
        <v>10017</v>
      </c>
      <c r="E5461" s="8" t="str">
        <f>IFERROR(__xludf.DUMMYFUNCTION("googletranslate(D5461,""id"",""en"")"),"Ppkm bikinnnnnnnnnn usually my lecturer is gamau online guidance online because it is complicated")</f>
        <v>Ppkm bikinnnnnnnnnn usually my lecturer is gamau online guidance online because it is complicated</v>
      </c>
    </row>
    <row r="5462" ht="15.75" customHeight="1">
      <c r="A5462" s="2">
        <v>5465.0</v>
      </c>
      <c r="B5462" s="5" t="s">
        <v>10018</v>
      </c>
      <c r="C5462" s="6">
        <v>2.0</v>
      </c>
      <c r="D5462" s="9" t="s">
        <v>10019</v>
      </c>
      <c r="E5462" s="8" t="str">
        <f>IFERROR(__xludf.DUMMYFUNCTION("googletranslate(D5462,""id"",""en"")"),"Don't sunset before the announcement &amp; gt; &amp; gt; &amp; gt; The decision about the extension of the PPKM will be announced before the end of the inclusion day to read:")</f>
        <v>Don't sunset before the announcement &amp; gt; &amp; gt; &amp; gt; The decision about the extension of the PPKM will be announced before the end of the inclusion day to read:</v>
      </c>
    </row>
    <row r="5463" ht="15.75" customHeight="1">
      <c r="A5463" s="2">
        <v>5466.0</v>
      </c>
      <c r="B5463" s="5" t="s">
        <v>10020</v>
      </c>
      <c r="C5463" s="6">
        <v>1.0</v>
      </c>
      <c r="D5463" s="7" t="s">
        <v>10021</v>
      </c>
      <c r="E5463" s="8" t="str">
        <f>IFERROR(__xludf.DUMMYFUNCTION("googletranslate(D5463,""id"",""en"")"),"Pak please not extend the PPKM. The people are very difficult with PPKM. Build the optimism of the people, reject vaccination, and it is easy for the people to rebuild post-pandemic life.")</f>
        <v>Pak please not extend the PPKM. The people are very difficult with PPKM. Build the optimism of the people, reject vaccination, and it is easy for the people to rebuild post-pandemic life.</v>
      </c>
    </row>
    <row r="5464" ht="15.75" customHeight="1">
      <c r="A5464" s="2">
        <v>5467.0</v>
      </c>
      <c r="B5464" s="5" t="s">
        <v>10022</v>
      </c>
      <c r="C5464" s="6">
        <v>1.0</v>
      </c>
      <c r="D5464" s="7" t="s">
        <v>10022</v>
      </c>
      <c r="E5464" s="8" t="str">
        <f>IFERROR(__xludf.DUMMYFUNCTION("googletranslate(D5464,""id"",""en"")"),"I hope the PPKM is not extended ... from the beginning of the assistance of the social assistance ... let the people keep themselves with their consciousness")</f>
        <v>I hope the PPKM is not extended ... from the beginning of the assistance of the social assistance ... let the people keep themselves with their consciousness</v>
      </c>
    </row>
    <row r="5465" ht="15.75" customHeight="1">
      <c r="A5465" s="2">
        <v>5468.0</v>
      </c>
      <c r="B5465" s="5" t="s">
        <v>10023</v>
      </c>
      <c r="C5465" s="6">
        <v>1.0</v>
      </c>
      <c r="D5465" s="9" t="s">
        <v>10024</v>
      </c>
      <c r="E5465" s="8" t="str">
        <f>IFERROR(__xludf.DUMMYFUNCTION("googletranslate(D5465,""id"",""en"")"),"It seems that the PPKM will be stopped by its level. The level has no difference the same before PPKM")</f>
        <v>It seems that the PPKM will be stopped by its level. The level has no difference the same before PPKM</v>
      </c>
    </row>
    <row r="5466" ht="15.75" customHeight="1">
      <c r="A5466" s="2">
        <v>5469.0</v>
      </c>
      <c r="B5466" s="5" t="s">
        <v>10025</v>
      </c>
      <c r="C5466" s="6">
        <v>3.0</v>
      </c>
      <c r="D5466" s="7" t="s">
        <v>10026</v>
      </c>
      <c r="E5466" s="8" t="str">
        <f>IFERROR(__xludf.DUMMYFUNCTION("googletranslate(D5466,""id"",""en"")"),"Santuy PPKM ... Level")</f>
        <v>Santuy PPKM ... Level</v>
      </c>
    </row>
    <row r="5467" ht="15.75" customHeight="1">
      <c r="A5467" s="2">
        <v>5470.0</v>
      </c>
      <c r="B5467" s="5" t="s">
        <v>10027</v>
      </c>
      <c r="C5467" s="6">
        <v>2.0</v>
      </c>
      <c r="D5467" s="7" t="s">
        <v>10028</v>
      </c>
      <c r="E5467" s="8" t="str">
        <f>IFERROR(__xludf.DUMMYFUNCTION("googletranslate(D5467,""id"",""en"")"),"Hopefully ahead of the announcement of the decision of the PPKM period today the health of the South JORR toll road has improved")</f>
        <v>Hopefully ahead of the announcement of the decision of the PPKM period today the health of the South JORR toll road has improved</v>
      </c>
    </row>
    <row r="5468" ht="15.75" customHeight="1">
      <c r="A5468" s="2">
        <v>5471.0</v>
      </c>
      <c r="B5468" s="5" t="s">
        <v>10029</v>
      </c>
      <c r="C5468" s="6">
        <v>1.0</v>
      </c>
      <c r="D5468" s="7" t="s">
        <v>10030</v>
      </c>
      <c r="E5468" s="8" t="str">
        <f>IFERROR(__xludf.DUMMYFUNCTION("googletranslate(D5468,""id"",""en"")"),"Donate the term PPKM just after the name of the emergency ppkm now ""ppkm yok can yok last"" ... after that ""the last PPKM blood""")</f>
        <v>Donate the term PPKM just after the name of the emergency ppkm now "ppkm yok can yok last" ... after that "the last PPKM blood"</v>
      </c>
    </row>
    <row r="5469" ht="15.75" customHeight="1">
      <c r="A5469" s="2">
        <v>5472.0</v>
      </c>
      <c r="B5469" s="5" t="s">
        <v>10031</v>
      </c>
      <c r="C5469" s="6">
        <v>1.0</v>
      </c>
      <c r="D5469" s="7" t="s">
        <v>10032</v>
      </c>
      <c r="E5469" s="8" t="str">
        <f>IFERROR(__xludf.DUMMYFUNCTION("googletranslate(D5469,""id"",""en"")"),"Sorry, I can't celebrate independence because the soul is shackled with prokes and PPKM.")</f>
        <v>Sorry, I can't celebrate independence because the soul is shackled with prokes and PPKM.</v>
      </c>
    </row>
    <row r="5470" ht="15.75" customHeight="1">
      <c r="A5470" s="2">
        <v>5473.0</v>
      </c>
      <c r="B5470" s="5" t="s">
        <v>10033</v>
      </c>
      <c r="C5470" s="6">
        <v>2.0</v>
      </c>
      <c r="D5470" s="9" t="s">
        <v>10034</v>
      </c>
      <c r="E5470" s="8" t="str">
        <f>IFERROR(__xludf.DUMMYFUNCTION("googletranslate(D5470,""id"",""en"")"),"Not Just About Vaccine Bang, Enforcement of PPKM, Prokes until the distribution of aid is also done")</f>
        <v>Not Just About Vaccine Bang, Enforcement of PPKM, Prokes until the distribution of aid is also done</v>
      </c>
    </row>
    <row r="5471" ht="15.75" customHeight="1">
      <c r="A5471" s="2">
        <v>5474.0</v>
      </c>
      <c r="B5471" s="5" t="s">
        <v>10035</v>
      </c>
      <c r="C5471" s="6">
        <v>3.0</v>
      </c>
      <c r="D5471" s="7" t="s">
        <v>10036</v>
      </c>
      <c r="E5471" s="8" t="str">
        <f>IFERROR(__xludf.DUMMYFUNCTION("googletranslate(D5471,""id"",""en"")"),"The morning spirit of the ppkm spirit again until the sea died again")</f>
        <v>The morning spirit of the ppkm spirit again until the sea died again</v>
      </c>
    </row>
    <row r="5472" ht="15.75" customHeight="1">
      <c r="A5472" s="2">
        <v>5475.0</v>
      </c>
      <c r="B5472" s="5" t="s">
        <v>10037</v>
      </c>
      <c r="C5472" s="6">
        <v>1.0</v>
      </c>
      <c r="D5472" s="9" t="s">
        <v>10037</v>
      </c>
      <c r="E5472" s="8" t="str">
        <f>IFERROR(__xludf.DUMMYFUNCTION("googletranslate(D5472,""id"",""en"")"),"One debt hasn't been paid off, debt again. So continues until the PPKM ends. Yes God is rich, so I don't have debt.")</f>
        <v>One debt hasn't been paid off, debt again. So continues until the PPKM ends. Yes God is rich, so I don't have debt.</v>
      </c>
    </row>
    <row r="5473" ht="15.75" customHeight="1">
      <c r="A5473" s="2">
        <v>5476.0</v>
      </c>
      <c r="B5473" s="5" t="s">
        <v>10038</v>
      </c>
      <c r="C5473" s="6">
        <v>1.0</v>
      </c>
      <c r="D5473" s="9" t="s">
        <v>10039</v>
      </c>
      <c r="E5473" s="8" t="str">
        <f>IFERROR(__xludf.DUMMYFUNCTION("googletranslate(D5473,""id"",""en"")"),"This I swear the buttocks will blend with the mattress, my hand melts on the stuck finger pleated table on the keyboard if the ppkm is not finished by anj.")</f>
        <v>This I swear the buttocks will blend with the mattress, my hand melts on the stuck finger pleated table on the keyboard if the ppkm is not finished by anj.</v>
      </c>
    </row>
    <row r="5474" ht="15.75" customHeight="1">
      <c r="A5474" s="2">
        <v>5477.0</v>
      </c>
      <c r="B5474" s="5" t="s">
        <v>10040</v>
      </c>
      <c r="C5474" s="6">
        <v>2.0</v>
      </c>
      <c r="D5474" s="7" t="s">
        <v>10040</v>
      </c>
      <c r="E5474" s="8" t="str">
        <f>IFERROR(__xludf.DUMMYFUNCTION("googletranslate(D5474,""id"",""en"")"),"PPKM is increasingly extended until he is sensitive.")</f>
        <v>PPKM is increasingly extended until he is sensitive.</v>
      </c>
    </row>
    <row r="5475" ht="15.75" customHeight="1">
      <c r="A5475" s="2">
        <v>5478.0</v>
      </c>
      <c r="B5475" s="5" t="s">
        <v>10041</v>
      </c>
      <c r="C5475" s="6">
        <v>3.0</v>
      </c>
      <c r="D5475" s="7" t="s">
        <v>10042</v>
      </c>
      <c r="E5475" s="8" t="str">
        <f>IFERROR(__xludf.DUMMYFUNCTION("googletranslate(D5475,""id"",""en"")"),"Since the beginning of local PPKM, emergency to PPKM the number of daily cases tends to show a decrease rate. Apart from having to keep keeping a tight proced, and vaccination obedient to PPKM is a way for us to immediately be separated from this difficul"&amp;"t situation.")</f>
        <v>Since the beginning of local PPKM, emergency to PPKM the number of daily cases tends to show a decrease rate. Apart from having to keep keeping a tight proced, and vaccination obedient to PPKM is a way for us to immediately be separated from this difficult situation.</v>
      </c>
    </row>
    <row r="5476" ht="15.75" customHeight="1">
      <c r="A5476" s="2">
        <v>5479.0</v>
      </c>
      <c r="B5476" s="5" t="s">
        <v>10043</v>
      </c>
      <c r="C5476" s="6">
        <v>1.0</v>
      </c>
      <c r="D5476" s="7" t="s">
        <v>10044</v>
      </c>
      <c r="E5476" s="8" t="str">
        <f>IFERROR(__xludf.DUMMYFUNCTION("googletranslate(D5476,""id"",""en"")"),"Karepmu wes karepmu .... the important thing is ppkm pursed you .......")</f>
        <v>Karepmu wes karepmu .... the important thing is ppkm pursed you .......</v>
      </c>
    </row>
    <row r="5477" ht="15.75" customHeight="1">
      <c r="A5477" s="2">
        <v>5480.0</v>
      </c>
      <c r="B5477" s="5" t="s">
        <v>10045</v>
      </c>
      <c r="C5477" s="6">
        <v>2.0</v>
      </c>
      <c r="D5477" s="7" t="s">
        <v>10046</v>
      </c>
      <c r="E5477" s="8" t="str">
        <f>IFERROR(__xludf.DUMMYFUNCTION("googletranslate(D5477,""id"",""en"")"),"Pak security guard. Again PPKM.")</f>
        <v>Pak security guard. Again PPKM.</v>
      </c>
    </row>
    <row r="5478" ht="15.75" customHeight="1">
      <c r="A5478" s="2">
        <v>5481.0</v>
      </c>
      <c r="B5478" s="5" t="s">
        <v>10047</v>
      </c>
      <c r="C5478" s="6">
        <v>2.0</v>
      </c>
      <c r="D5478" s="10" t="s">
        <v>10048</v>
      </c>
      <c r="E5478" s="8" t="str">
        <f>IFERROR(__xludf.DUMMYFUNCTION("googletranslate(D5478,""id"",""en"")"),"Kan PPKM.")</f>
        <v>Kan PPKM.</v>
      </c>
    </row>
    <row r="5479" ht="15.75" customHeight="1">
      <c r="A5479" s="2">
        <v>5482.0</v>
      </c>
      <c r="B5479" s="5" t="s">
        <v>10049</v>
      </c>
      <c r="C5479" s="6">
        <v>3.0</v>
      </c>
      <c r="D5479" s="7" t="s">
        <v>10050</v>
      </c>
      <c r="E5479" s="8" t="str">
        <f>IFERROR(__xludf.DUMMYFUNCTION("googletranslate(D5479,""id"",""en"")"),"We are a big country, what is done by the government, of course, has been calculated by cooking and coordination with several related parties. The decision of the PPKM is right to suppress the health crisis that hit the world")</f>
        <v>We are a big country, what is done by the government, of course, has been calculated by cooking and coordination with several related parties. The decision of the PPKM is right to suppress the health crisis that hit the world</v>
      </c>
    </row>
    <row r="5480" ht="15.75" customHeight="1">
      <c r="A5480" s="2">
        <v>5483.0</v>
      </c>
      <c r="B5480" s="5" t="s">
        <v>10051</v>
      </c>
      <c r="C5480" s="6">
        <v>2.0</v>
      </c>
      <c r="D5480" s="7" t="s">
        <v>10052</v>
      </c>
      <c r="E5480" s="8" t="str">
        <f>IFERROR(__xludf.DUMMYFUNCTION("googletranslate(D5480,""id"",""en"")"),"Bar PPKM Gassss")</f>
        <v>Bar PPKM Gassss</v>
      </c>
    </row>
    <row r="5481" ht="15.75" customHeight="1">
      <c r="A5481" s="2">
        <v>5484.0</v>
      </c>
      <c r="B5481" s="5" t="s">
        <v>10053</v>
      </c>
      <c r="C5481" s="6">
        <v>2.0</v>
      </c>
      <c r="D5481" s="10" t="s">
        <v>10054</v>
      </c>
      <c r="E5481" s="8" t="str">
        <f>IFERROR(__xludf.DUMMYFUNCTION("googletranslate(D5481,""id"",""en"")"),"PPKM Cui.")</f>
        <v>PPKM Cui.</v>
      </c>
    </row>
    <row r="5482" ht="15.75" customHeight="1">
      <c r="A5482" s="2">
        <v>5485.0</v>
      </c>
      <c r="B5482" s="5" t="s">
        <v>10055</v>
      </c>
      <c r="C5482" s="6">
        <v>1.0</v>
      </c>
      <c r="D5482" s="7" t="s">
        <v>10056</v>
      </c>
      <c r="E5482" s="8" t="str">
        <f>IFERROR(__xludf.DUMMYFUNCTION("googletranslate(D5482,""id"",""en"")"),"I can't get the task of the nyamalem continues ... the PPKM effect.")</f>
        <v>I can't get the task of the nyamalem continues ... the PPKM effect.</v>
      </c>
    </row>
    <row r="5483" ht="15.75" customHeight="1">
      <c r="A5483" s="2">
        <v>5486.0</v>
      </c>
      <c r="B5483" s="5" t="s">
        <v>10057</v>
      </c>
      <c r="C5483" s="6">
        <v>1.0</v>
      </c>
      <c r="D5483" s="9" t="s">
        <v>10058</v>
      </c>
      <c r="E5483" s="8" t="str">
        <f>IFERROR(__xludf.DUMMYFUNCTION("googletranslate(D5483,""id"",""en"")"),"Astagfirullah mna my friend promises to be treated by ppkm, wait for the end of it")</f>
        <v>Astagfirullah mna my friend promises to be treated by ppkm, wait for the end of it</v>
      </c>
    </row>
    <row r="5484" ht="15.75" customHeight="1">
      <c r="A5484" s="2">
        <v>5487.0</v>
      </c>
      <c r="B5484" s="5" t="s">
        <v>10059</v>
      </c>
      <c r="C5484" s="6">
        <v>3.0</v>
      </c>
      <c r="D5484" s="7" t="s">
        <v>10060</v>
      </c>
      <c r="E5484" s="8" t="str">
        <f>IFERROR(__xludf.DUMMYFUNCTION("googletranslate(D5484,""id"",""en"")"),"It is appropriate if we want to survive the danger of Covid we remind each other to remain obedient to the government's rules for PPKM Level and remain firm to obey strict prokes.")</f>
        <v>It is appropriate if we want to survive the danger of Covid we remind each other to remain obedient to the government's rules for PPKM Level and remain firm to obey strict prokes.</v>
      </c>
    </row>
    <row r="5485" ht="15.75" customHeight="1">
      <c r="A5485" s="2">
        <v>5488.0</v>
      </c>
      <c r="B5485" s="5" t="s">
        <v>10061</v>
      </c>
      <c r="C5485" s="6">
        <v>2.0</v>
      </c>
      <c r="D5485" s="7" t="s">
        <v>10062</v>
      </c>
      <c r="E5485" s="8" t="str">
        <f>IFERROR(__xludf.DUMMYFUNCTION("googletranslate(D5485,""id"",""en"")"),"Still ppkm it seems")</f>
        <v>Still ppkm it seems</v>
      </c>
    </row>
    <row r="5486" ht="15.75" customHeight="1">
      <c r="A5486" s="2">
        <v>5489.0</v>
      </c>
      <c r="B5486" s="5" t="s">
        <v>10063</v>
      </c>
      <c r="C5486" s="6">
        <v>3.0</v>
      </c>
      <c r="D5486" s="7" t="s">
        <v>10064</v>
      </c>
      <c r="E5486" s="8" t="str">
        <f>IFERROR(__xludf.DUMMYFUNCTION("googletranslate(D5486,""id"",""en"")"),"Menkumham: PPKM policy is not to curb society but for the sake of our safety with red-white opponents covid")</f>
        <v>Menkumham: PPKM policy is not to curb society but for the sake of our safety with red-white opponents covid</v>
      </c>
    </row>
    <row r="5487" ht="15.75" customHeight="1">
      <c r="A5487" s="2">
        <v>5490.0</v>
      </c>
      <c r="B5487" s="5" t="s">
        <v>10065</v>
      </c>
      <c r="C5487" s="6">
        <v>2.0</v>
      </c>
      <c r="D5487" s="9" t="s">
        <v>10066</v>
      </c>
      <c r="E5487" s="8" t="str">
        <f>IFERROR(__xludf.DUMMYFUNCTION("googletranslate(D5487,""id"",""en"")"),"Wkwkwk if now until what is the ppkm?")</f>
        <v>Wkwkwk if now until what is the ppkm?</v>
      </c>
    </row>
    <row r="5488" ht="15.75" customHeight="1">
      <c r="A5488" s="2">
        <v>5491.0</v>
      </c>
      <c r="B5488" s="5" t="s">
        <v>10067</v>
      </c>
      <c r="C5488" s="6">
        <v>2.0</v>
      </c>
      <c r="D5488" s="9" t="s">
        <v>10068</v>
      </c>
      <c r="E5488" s="8" t="str">
        <f>IFERROR(__xludf.DUMMYFUNCTION("googletranslate(D5488,""id"",""en"")"),"My parents have been rich in 'PPKM boss told to take care of the distance of the child")</f>
        <v>My parents have been rich in 'PPKM boss told to take care of the distance of the child</v>
      </c>
    </row>
    <row r="5489" ht="15.75" customHeight="1">
      <c r="A5489" s="2">
        <v>5492.0</v>
      </c>
      <c r="B5489" s="5" t="s">
        <v>10069</v>
      </c>
      <c r="C5489" s="6">
        <v>2.0</v>
      </c>
      <c r="D5489" s="7" t="s">
        <v>10070</v>
      </c>
      <c r="E5489" s="8" t="str">
        <f>IFERROR(__xludf.DUMMYFUNCTION("googletranslate(D5489,""id"",""en"")"),"Deciding to extend PPKM Level in a number of regions in Indonesia. There are cities / districts in RI who still have to apply PPKM Level.")</f>
        <v>Deciding to extend PPKM Level in a number of regions in Indonesia. There are cities / districts in RI who still have to apply PPKM Level.</v>
      </c>
    </row>
    <row r="5490" ht="15.75" customHeight="1">
      <c r="A5490" s="2">
        <v>5493.0</v>
      </c>
      <c r="B5490" s="5" t="s">
        <v>10071</v>
      </c>
      <c r="C5490" s="6">
        <v>1.0</v>
      </c>
      <c r="D5490" s="10" t="s">
        <v>10072</v>
      </c>
      <c r="E5490" s="8" t="str">
        <f>IFERROR(__xludf.DUMMYFUNCTION("googletranslate(D5490,""id"",""en"")"),"PPKM Bdebah.")</f>
        <v>PPKM Bdebah.</v>
      </c>
    </row>
    <row r="5491" ht="15.75" customHeight="1">
      <c r="A5491" s="2">
        <v>5494.0</v>
      </c>
      <c r="B5491" s="5" t="s">
        <v>10073</v>
      </c>
      <c r="C5491" s="6">
        <v>2.0</v>
      </c>
      <c r="D5491" s="9" t="s">
        <v>10074</v>
      </c>
      <c r="E5491" s="8" t="str">
        <f>IFERROR(__xludf.DUMMYFUNCTION("googletranslate(D5491,""id"",""en"")"),"Udh, the verdict is Sis? PPKM LVL Perpnjang is in June")</f>
        <v>Udh, the verdict is Sis? PPKM LVL Perpnjang is in June</v>
      </c>
    </row>
    <row r="5492" ht="15.75" customHeight="1">
      <c r="A5492" s="2">
        <v>5495.0</v>
      </c>
      <c r="B5492" s="5" t="s">
        <v>10075</v>
      </c>
      <c r="C5492" s="6">
        <v>1.0</v>
      </c>
      <c r="D5492" s="9" t="s">
        <v>10076</v>
      </c>
      <c r="E5492" s="8" t="str">
        <f>IFERROR(__xludf.DUMMYFUNCTION("googletranslate(D5492,""id"",""en"")"),"What is the solution? Atop PPKM because it is not used, just if it's not strong enough to die, or keep the PPKM until the end? Disconnect quickly JGN, Kako can't afford and don't know, just retreat. Don't today a tomorrow b but still feel right and best k"&amp;"now / smart")</f>
        <v>What is the solution? Atop PPKM because it is not used, just if it's not strong enough to die, or keep the PPKM until the end? Disconnect quickly JGN, Kako can't afford and don't know, just retreat. Don't today a tomorrow b but still feel right and best know / smart</v>
      </c>
    </row>
    <row r="5493" ht="15.75" customHeight="1">
      <c r="A5493" s="2">
        <v>5496.0</v>
      </c>
      <c r="B5493" s="5" t="s">
        <v>10077</v>
      </c>
      <c r="C5493" s="6">
        <v>2.0</v>
      </c>
      <c r="D5493" s="7" t="s">
        <v>10077</v>
      </c>
      <c r="E5493" s="8" t="str">
        <f>IFERROR(__xludf.DUMMYFUNCTION("googletranslate(D5493,""id"",""en"")"),"PPKM continued Teruus Bae until one piece graduated")</f>
        <v>PPKM continued Teruus Bae until one piece graduated</v>
      </c>
    </row>
    <row r="5494" ht="15.75" customHeight="1">
      <c r="A5494" s="2">
        <v>5497.0</v>
      </c>
      <c r="B5494" s="5" t="s">
        <v>10078</v>
      </c>
      <c r="C5494" s="6">
        <v>1.0</v>
      </c>
      <c r="D5494" s="7" t="s">
        <v>10078</v>
      </c>
      <c r="E5494" s="8" t="str">
        <f>IFERROR(__xludf.DUMMYFUNCTION("googletranslate(D5494,""id"",""en"")"),"PPKM is extended, then I'm when going forward.")</f>
        <v>PPKM is extended, then I'm when going forward.</v>
      </c>
    </row>
    <row r="5495" ht="15.75" customHeight="1">
      <c r="A5495" s="2">
        <v>5498.0</v>
      </c>
      <c r="B5495" s="5" t="s">
        <v>10079</v>
      </c>
      <c r="C5495" s="6">
        <v>1.0</v>
      </c>
      <c r="D5495" s="9" t="s">
        <v>10079</v>
      </c>
      <c r="E5495" s="8" t="str">
        <f>IFERROR(__xludf.DUMMYFUNCTION("googletranslate(D5495,""id"",""en"")"),"see the luhutt even extended the PPKM")</f>
        <v>see the luhutt even extended the PPKM</v>
      </c>
    </row>
    <row r="5496" ht="15.75" customHeight="1">
      <c r="A5496" s="2">
        <v>5499.0</v>
      </c>
      <c r="B5496" s="5" t="s">
        <v>10080</v>
      </c>
      <c r="C5496" s="6">
        <v>2.0</v>
      </c>
      <c r="D5496" s="9" t="s">
        <v>10081</v>
      </c>
      <c r="E5496" s="8" t="str">
        <f>IFERROR(__xludf.DUMMYFUNCTION("googletranslate(D5496,""id"",""en"")"),"Iyeesss right, ntr if it's already ppkm, it's just to meet, it's riding so hehe")</f>
        <v>Iyeesss right, ntr if it's already ppkm, it's just to meet, it's riding so hehe</v>
      </c>
    </row>
    <row r="5497" ht="15.75" customHeight="1">
      <c r="A5497" s="2">
        <v>5500.0</v>
      </c>
      <c r="B5497" s="5" t="s">
        <v>10082</v>
      </c>
      <c r="C5497" s="6">
        <v>3.0</v>
      </c>
      <c r="D5497" s="7" t="s">
        <v>10064</v>
      </c>
      <c r="E5497" s="8" t="str">
        <f>IFERROR(__xludf.DUMMYFUNCTION("googletranslate(D5497,""id"",""en"")"),"Menkumham: PPKM policy is not to curb society but for the sake of our safety with red-white opponents covid")</f>
        <v>Menkumham: PPKM policy is not to curb society but for the sake of our safety with red-white opponents covid</v>
      </c>
    </row>
    <row r="5498" ht="15.75" customHeight="1">
      <c r="A5498" s="2">
        <v>5501.0</v>
      </c>
      <c r="B5498" s="5" t="s">
        <v>10083</v>
      </c>
      <c r="C5498" s="6">
        <v>1.0</v>
      </c>
      <c r="D5498" s="7" t="s">
        <v>10084</v>
      </c>
      <c r="E5498" s="8" t="str">
        <f>IFERROR(__xludf.DUMMYFUNCTION("googletranslate(D5498,""id"",""en"")"),": Besides Debt, especially those who can be paid in installments?: Ppkm !!")</f>
        <v>: Besides Debt, especially those who can be paid in installments?: Ppkm !!</v>
      </c>
    </row>
    <row r="5499" ht="15.75" customHeight="1">
      <c r="A5499" s="2">
        <v>5502.0</v>
      </c>
      <c r="B5499" s="5" t="s">
        <v>10085</v>
      </c>
      <c r="C5499" s="6">
        <v>2.0</v>
      </c>
      <c r="D5499" s="7" t="s">
        <v>10086</v>
      </c>
      <c r="E5499" s="8" t="str">
        <f>IFERROR(__xludf.DUMMYFUNCTION("googletranslate(D5499,""id"",""en"")"),"PPKMPAGI MORNING FOR PAST")</f>
        <v>PPKMPAGI MORNING FOR PAST</v>
      </c>
    </row>
    <row r="5500" ht="15.75" customHeight="1">
      <c r="A5500" s="2">
        <v>5503.0</v>
      </c>
      <c r="B5500" s="5" t="s">
        <v>10087</v>
      </c>
      <c r="C5500" s="6">
        <v>1.0</v>
      </c>
      <c r="D5500" s="7" t="s">
        <v>10088</v>
      </c>
      <c r="E5500" s="8" t="str">
        <f>IFERROR(__xludf.DUMMYFUNCTION("googletranslate(D5500,""id"",""en"")"),"ppkm level aje all let the game late asw")</f>
        <v>ppkm level aje all let the game late asw</v>
      </c>
    </row>
    <row r="5501" ht="15.75" customHeight="1">
      <c r="A5501" s="2">
        <v>5504.0</v>
      </c>
      <c r="B5501" s="5" t="s">
        <v>10089</v>
      </c>
      <c r="C5501" s="6">
        <v>2.0</v>
      </c>
      <c r="D5501" s="7" t="s">
        <v>10090</v>
      </c>
      <c r="E5501" s="8" t="str">
        <f>IFERROR(__xludf.DUMMYFUNCTION("googletranslate(D5501,""id"",""en"")"),"it has been extended kdg kek ppkm kdg yes okay ap oh")</f>
        <v>it has been extended kdg kek ppkm kdg yes okay ap oh</v>
      </c>
    </row>
    <row r="5502" ht="15.75" customHeight="1">
      <c r="A5502" s="2">
        <v>5505.0</v>
      </c>
      <c r="B5502" s="5" t="s">
        <v>10091</v>
      </c>
      <c r="C5502" s="6">
        <v>2.0</v>
      </c>
      <c r="D5502" s="7" t="s">
        <v>10092</v>
      </c>
      <c r="E5502" s="8" t="str">
        <f>IFERROR(__xludf.DUMMYFUNCTION("googletranslate(D5502,""id"",""en"")"),"Ooo ppkm is extended but still at level, just don't tauk level yellow, red or purple")</f>
        <v>Ooo ppkm is extended but still at level, just don't tauk level yellow, red or purple</v>
      </c>
    </row>
    <row r="5503" ht="15.75" customHeight="1">
      <c r="A5503" s="2">
        <v>5506.0</v>
      </c>
      <c r="B5503" s="5" t="s">
        <v>10093</v>
      </c>
      <c r="C5503" s="6">
        <v>2.0</v>
      </c>
      <c r="D5503" s="7" t="s">
        <v>10093</v>
      </c>
      <c r="E5503" s="8" t="str">
        <f>IFERROR(__xludf.DUMMYFUNCTION("googletranslate(D5503,""id"",""en"")"),"PPKM added a long time added piracy per week, it's already rich in thesis.")</f>
        <v>PPKM added a long time added piracy per week, it's already rich in thesis.</v>
      </c>
    </row>
    <row r="5504" ht="15.75" customHeight="1">
      <c r="A5504" s="2">
        <v>5507.0</v>
      </c>
      <c r="B5504" s="5" t="s">
        <v>10094</v>
      </c>
      <c r="C5504" s="6">
        <v>2.0</v>
      </c>
      <c r="D5504" s="7" t="s">
        <v>10095</v>
      </c>
      <c r="E5504" s="8" t="str">
        <f>IFERROR(__xludf.DUMMYFUNCTION("googletranslate(D5504,""id"",""en"")"),"So many events occurred yesterday. The IndonesiaTlet won gold and bronze at the Olympiad. Establishment of extending PPKM. One side, there are still many who continue to struggle to survive in the midst of difficult conditions.")</f>
        <v>So many events occurred yesterday. The IndonesiaTlet won gold and bronze at the Olympiad. Establishment of extending PPKM. One side, there are still many who continue to struggle to survive in the midst of difficult conditions.</v>
      </c>
    </row>
    <row r="5505" ht="15.75" customHeight="1">
      <c r="A5505" s="2">
        <v>5508.0</v>
      </c>
      <c r="B5505" s="5" t="s">
        <v>10096</v>
      </c>
      <c r="C5505" s="6">
        <v>2.0</v>
      </c>
      <c r="D5505" s="7" t="s">
        <v>10097</v>
      </c>
      <c r="E5505" s="8" t="str">
        <f>IFERROR(__xludf.DUMMYFUNCTION("googletranslate(D5505,""id"",""en"")"),"The PPKM level is extended to August. Do you think it's not with the movement of $ JCI?")</f>
        <v>The PPKM level is extended to August. Do you think it's not with the movement of $ JCI?</v>
      </c>
    </row>
    <row r="5506" ht="15.75" customHeight="1">
      <c r="A5506" s="2">
        <v>5509.0</v>
      </c>
      <c r="B5506" s="5" t="s">
        <v>10098</v>
      </c>
      <c r="C5506" s="6">
        <v>1.0</v>
      </c>
      <c r="D5506" s="7" t="s">
        <v>10099</v>
      </c>
      <c r="E5506" s="8" t="str">
        <f>IFERROR(__xludf.DUMMYFUNCTION("googletranslate(D5506,""id"",""en"")"),"There is also Google Meet, there is Skype, or can VC via Line Wa Kakaotalk. Don't be important, this is the campus event, I blah blah blah blah blah blah blah balah bacot dog, the rich man who makes the ppkm extended.")</f>
        <v>There is also Google Meet, there is Skype, or can VC via Line Wa Kakaotalk. Don't be important, this is the campus event, I blah blah blah blah blah blah blah balah bacot dog, the rich man who makes the ppkm extended.</v>
      </c>
    </row>
    <row r="5507" ht="15.75" customHeight="1">
      <c r="A5507" s="2">
        <v>5510.0</v>
      </c>
      <c r="B5507" s="5" t="s">
        <v>10100</v>
      </c>
      <c r="C5507" s="6">
        <v>1.0</v>
      </c>
      <c r="D5507" s="9" t="s">
        <v>10100</v>
      </c>
      <c r="E5507" s="8" t="str">
        <f>IFERROR(__xludf.DUMMYFUNCTION("googletranslate(D5507,""id"",""en"")"),"Yu so that the PPKM is not renewed again at the house of Ajaaaaaaaaaa Saria dog tea. Sebel right PPKM extended? So just diem at home don't go away unless you need to bangettttt mekiiiiiiiiiiiiii. if there is a meeting event or what happens to pass through"&amp;" zoomm, there is already an application called zoom")</f>
        <v>Yu so that the PPKM is not renewed again at the house of Ajaaaaaaaaaa Saria dog tea. Sebel right PPKM extended? So just diem at home don't go away unless you need to bangettttt mekiiiiiiiiiiiiii. if there is a meeting event or what happens to pass through zoomm, there is already an application called zoom</v>
      </c>
    </row>
    <row r="5508" ht="15.75" customHeight="1">
      <c r="A5508" s="2">
        <v>5511.0</v>
      </c>
      <c r="B5508" s="5" t="s">
        <v>10101</v>
      </c>
      <c r="C5508" s="6">
        <v>2.0</v>
      </c>
      <c r="D5508" s="7" t="s">
        <v>10102</v>
      </c>
      <c r="E5508" s="8" t="str">
        <f>IFERROR(__xludf.DUMMYFUNCTION("googletranslate(D5508,""id"",""en"")"),"Sis, why is the Dharmawangsa train suddenly it's not on the schedule Kai huh? What is the sudden PPKM regulation?")</f>
        <v>Sis, why is the Dharmawangsa train suddenly it's not on the schedule Kai huh? What is the sudden PPKM regulation?</v>
      </c>
    </row>
    <row r="5509" ht="15.75" customHeight="1">
      <c r="A5509" s="2">
        <v>5512.0</v>
      </c>
      <c r="B5509" s="5" t="s">
        <v>10103</v>
      </c>
      <c r="C5509" s="6">
        <v>1.0</v>
      </c>
      <c r="D5509" s="9" t="s">
        <v>10104</v>
      </c>
      <c r="E5509" s="8" t="str">
        <f>IFERROR(__xludf.DUMMYFUNCTION("googletranslate(D5509,""id"",""en"")"),"The neighbor of work in tourist attractions, during the PPKM so there is no income at all, except to hope for their cattle for sale. I received a monthly salary (even though it's still far from UMR) how come it's guilty ?? Even though if they sell the cow"&amp;", it will be more")</f>
        <v>The neighbor of work in tourist attractions, during the PPKM so there is no income at all, except to hope for their cattle for sale. I received a monthly salary (even though it's still far from UMR) how come it's guilty ?? Even though if they sell the cow, it will be more</v>
      </c>
    </row>
    <row r="5510" ht="15.75" customHeight="1">
      <c r="A5510" s="2">
        <v>5513.0</v>
      </c>
      <c r="B5510" s="5" t="s">
        <v>10105</v>
      </c>
      <c r="C5510" s="6">
        <v>2.0</v>
      </c>
      <c r="D5510" s="7" t="s">
        <v>10105</v>
      </c>
      <c r="E5510" s="8" t="str">
        <f>IFERROR(__xludf.DUMMYFUNCTION("googletranslate(D5510,""id"",""en"")"),"this ppkm when is the completion")</f>
        <v>this ppkm when is the completion</v>
      </c>
    </row>
    <row r="5511" ht="15.75" customHeight="1">
      <c r="A5511" s="2">
        <v>5514.0</v>
      </c>
      <c r="B5511" s="5" t="s">
        <v>10106</v>
      </c>
      <c r="C5511" s="6">
        <v>2.0</v>
      </c>
      <c r="D5511" s="7" t="s">
        <v>10107</v>
      </c>
      <c r="E5511" s="8" t="str">
        <f>IFERROR(__xludf.DUMMYFUNCTION("googletranslate(D5511,""id"",""en"")"),"Oh there PPKM yes")</f>
        <v>Oh there PPKM yes</v>
      </c>
    </row>
    <row r="5512" ht="15.75" customHeight="1">
      <c r="A5512" s="2">
        <v>5515.0</v>
      </c>
      <c r="B5512" s="5" t="s">
        <v>10108</v>
      </c>
      <c r="C5512" s="6">
        <v>2.0</v>
      </c>
      <c r="D5512" s="7" t="s">
        <v>10109</v>
      </c>
      <c r="E5512" s="8" t="str">
        <f>IFERROR(__xludf.DUMMYFUNCTION("googletranslate(D5512,""id"",""en"")"),"PPKM is already like buying a motorbike installment.")</f>
        <v>PPKM is already like buying a motorbike installment.</v>
      </c>
    </row>
    <row r="5513" ht="15.75" customHeight="1">
      <c r="A5513" s="2">
        <v>5516.0</v>
      </c>
      <c r="B5513" s="5" t="s">
        <v>10110</v>
      </c>
      <c r="C5513" s="6">
        <v>2.0</v>
      </c>
      <c r="D5513" s="7" t="s">
        <v>10110</v>
      </c>
      <c r="E5513" s="8" t="str">
        <f>IFERROR(__xludf.DUMMYFUNCTION("googletranslate(D5513,""id"",""en"")"),"Will the PPKM extension impact on schedule delays again? Even though it's planned")</f>
        <v>Will the PPKM extension impact on schedule delays again? Even though it's planned</v>
      </c>
    </row>
    <row r="5514" ht="15.75" customHeight="1">
      <c r="A5514" s="2">
        <v>5517.0</v>
      </c>
      <c r="B5514" s="5" t="s">
        <v>10111</v>
      </c>
      <c r="C5514" s="6">
        <v>1.0</v>
      </c>
      <c r="D5514" s="9" t="s">
        <v>10112</v>
      </c>
      <c r="E5514" s="8" t="str">
        <f>IFERROR(__xludf.DUMMYFUNCTION("googletranslate(D5514,""id"",""en"")"),"Ppkm extended relationship with doi so it's more tenuous")</f>
        <v>Ppkm extended relationship with doi so it's more tenuous</v>
      </c>
    </row>
    <row r="5515" ht="15.75" customHeight="1">
      <c r="A5515" s="2">
        <v>5518.0</v>
      </c>
      <c r="B5515" s="5" t="s">
        <v>10113</v>
      </c>
      <c r="C5515" s="6">
        <v>1.0</v>
      </c>
      <c r="D5515" s="7" t="s">
        <v>10114</v>
      </c>
      <c r="E5515" s="8" t="str">
        <f>IFERROR(__xludf.DUMMYFUNCTION("googletranslate(D5515,""id"",""en"")"),"Ppkm cuman sense tok. All the perpannjang kek so die all ... responsibility. SEZ is written in an uncertain")</f>
        <v>Ppkm cuman sense tok. All the perpannjang kek so die all ... responsibility. SEZ is written in an uncertain</v>
      </c>
    </row>
    <row r="5516" ht="15.75" customHeight="1">
      <c r="A5516" s="2">
        <v>5519.0</v>
      </c>
      <c r="B5516" s="5" t="s">
        <v>10115</v>
      </c>
      <c r="C5516" s="6">
        <v>2.0</v>
      </c>
      <c r="D5516" s="7" t="s">
        <v>10116</v>
      </c>
      <c r="E5516" s="8" t="str">
        <f>IFERROR(__xludf.DUMMYFUNCTION("googletranslate(D5516,""id"",""en"")"),"PPKM extended until the Dokdes said, ""Yes, God exists"".")</f>
        <v>PPKM extended until the Dokdes said, "Yes, God exists".</v>
      </c>
    </row>
    <row r="5517" ht="15.75" customHeight="1">
      <c r="A5517" s="2">
        <v>5520.0</v>
      </c>
      <c r="B5517" s="5" t="s">
        <v>10117</v>
      </c>
      <c r="C5517" s="6">
        <v>2.0</v>
      </c>
      <c r="D5517" s="7" t="s">
        <v>10118</v>
      </c>
      <c r="E5517" s="8" t="str">
        <f>IFERROR(__xludf.DUMMYFUNCTION("googletranslate(D5517,""id"",""en"")"),"Yes, it's already rich in PPKM, it's already dahhhh")</f>
        <v>Yes, it's already rich in PPKM, it's already dahhhh</v>
      </c>
    </row>
    <row r="5518" ht="15.75" customHeight="1">
      <c r="A5518" s="2">
        <v>5521.0</v>
      </c>
      <c r="B5518" s="5" t="s">
        <v>10119</v>
      </c>
      <c r="C5518" s="6">
        <v>2.0</v>
      </c>
      <c r="D5518" s="7" t="s">
        <v>10120</v>
      </c>
      <c r="E5518" s="8" t="str">
        <f>IFERROR(__xludf.DUMMYFUNCTION("googletranslate(D5518,""id"",""en"")"),"Ppkm ... use paid up so what")</f>
        <v>Ppkm ... use paid up so what</v>
      </c>
    </row>
    <row r="5519" ht="15.75" customHeight="1">
      <c r="A5519" s="2">
        <v>5522.0</v>
      </c>
      <c r="B5519" s="5" t="s">
        <v>10121</v>
      </c>
      <c r="C5519" s="6">
        <v>2.0</v>
      </c>
      <c r="D5519" s="7" t="s">
        <v>10122</v>
      </c>
      <c r="E5519" s="8" t="str">
        <f>IFERROR(__xludf.DUMMYFUNCTION("googletranslate(D5519,""id"",""en"")"),"PPKM raises many new arenas")</f>
        <v>PPKM raises many new arenas</v>
      </c>
    </row>
    <row r="5520" ht="15.75" customHeight="1">
      <c r="A5520" s="2">
        <v>5523.0</v>
      </c>
      <c r="B5520" s="5" t="s">
        <v>10123</v>
      </c>
      <c r="C5520" s="6">
        <v>3.0</v>
      </c>
      <c r="D5520" s="9" t="s">
        <v>10124</v>
      </c>
      <c r="E5520" s="8" t="str">
        <f>IFERROR(__xludf.DUMMYFUNCTION("googletranslate(D5520,""id"",""en"")"),"Agustusan event such as competitions &amp; amp; Another activity that caused a crowd at Stop first Yok, so that the PPKM was completed quickly.")</f>
        <v>Agustusan event such as competitions &amp; amp; Another activity that caused a crowd at Stop first Yok, so that the PPKM was completed quickly.</v>
      </c>
    </row>
    <row r="5521" ht="15.75" customHeight="1">
      <c r="A5521" s="2">
        <v>5524.0</v>
      </c>
      <c r="B5521" s="5" t="s">
        <v>10125</v>
      </c>
      <c r="C5521" s="6">
        <v>2.0</v>
      </c>
      <c r="D5521" s="9" t="s">
        <v>10126</v>
      </c>
      <c r="E5521" s="8" t="str">
        <f>IFERROR(__xludf.DUMMYFUNCTION("googletranslate(D5521,""id"",""en"")"),"Cape Cape Nge Jungle Let It Be Ulti, Which Level First PPKM")</f>
        <v>Cape Cape Nge Jungle Let It Be Ulti, Which Level First PPKM</v>
      </c>
    </row>
    <row r="5522" ht="15.75" customHeight="1">
      <c r="A5522" s="2">
        <v>5525.0</v>
      </c>
      <c r="B5522" s="5" t="s">
        <v>10127</v>
      </c>
      <c r="C5522" s="6">
        <v>2.0</v>
      </c>
      <c r="D5522" s="7" t="s">
        <v>10128</v>
      </c>
      <c r="E5522" s="8" t="str">
        <f>IFERROR(__xludf.DUMMYFUNCTION("googletranslate(D5522,""id"",""en"")"),"in Cicil is not an extended PPKM tea Iumah")</f>
        <v>in Cicil is not an extended PPKM tea Iumah</v>
      </c>
    </row>
    <row r="5523" ht="15.75" customHeight="1">
      <c r="A5523" s="2">
        <v>5526.0</v>
      </c>
      <c r="B5523" s="5" t="s">
        <v>10129</v>
      </c>
      <c r="C5523" s="6">
        <v>1.0</v>
      </c>
      <c r="D5523" s="7" t="s">
        <v>10130</v>
      </c>
      <c r="E5523" s="8" t="str">
        <f>IFERROR(__xludf.DUMMYFUNCTION("googletranslate(D5523,""id"",""en"")"),"As a result of annoying PPKM")</f>
        <v>As a result of annoying PPKM</v>
      </c>
    </row>
    <row r="5524" ht="15.75" customHeight="1">
      <c r="A5524" s="2">
        <v>5527.0</v>
      </c>
      <c r="B5524" s="5" t="s">
        <v>10131</v>
      </c>
      <c r="C5524" s="6">
        <v>1.0</v>
      </c>
      <c r="D5524" s="7" t="s">
        <v>10132</v>
      </c>
      <c r="E5524" s="8" t="str">
        <f>IFERROR(__xludf.DUMMYFUNCTION("googletranslate(D5524,""id"",""en"")"),"It's really wrong to leave the laptop in the office. Now PPKM is extended, Kaga can go to the office, at Kaga's house can work because of a laptop there. The drug is still behind")</f>
        <v>It's really wrong to leave the laptop in the office. Now PPKM is extended, Kaga can go to the office, at Kaga's house can work because of a laptop there. The drug is still behind</v>
      </c>
    </row>
    <row r="5525" ht="15.75" customHeight="1">
      <c r="A5525" s="2">
        <v>5528.0</v>
      </c>
      <c r="B5525" s="5" t="s">
        <v>10133</v>
      </c>
      <c r="C5525" s="6">
        <v>1.0</v>
      </c>
      <c r="D5525" s="7" t="s">
        <v>10134</v>
      </c>
      <c r="E5525" s="8" t="str">
        <f>IFERROR(__xludf.DUMMYFUNCTION("googletranslate(D5525,""id"",""en"")"),"PPKM is extended, the date of the UKT is also extended by GT? Or stated half a gt?")</f>
        <v>PPKM is extended, the date of the UKT is also extended by GT? Or stated half a gt?</v>
      </c>
    </row>
    <row r="5526" ht="15.75" customHeight="1">
      <c r="A5526" s="2">
        <v>5529.0</v>
      </c>
      <c r="B5526" s="5" t="s">
        <v>10135</v>
      </c>
      <c r="C5526" s="6">
        <v>2.0</v>
      </c>
      <c r="D5526" s="7" t="s">
        <v>10136</v>
      </c>
      <c r="E5526" s="8" t="str">
        <f>IFERROR(__xludf.DUMMYFUNCTION("googletranslate(D5526,""id"",""en"")"),"Emergency PPKM level extended until you become mine")</f>
        <v>Emergency PPKM level extended until you become mine</v>
      </c>
    </row>
    <row r="5527" ht="15.75" customHeight="1">
      <c r="A5527" s="2">
        <v>5530.0</v>
      </c>
      <c r="B5527" s="5" t="s">
        <v>10137</v>
      </c>
      <c r="C5527" s="6">
        <v>1.0</v>
      </c>
      <c r="D5527" s="7" t="s">
        <v>10138</v>
      </c>
      <c r="E5527" s="8" t="str">
        <f>IFERROR(__xludf.DUMMYFUNCTION("googletranslate(D5527,""id"",""en"")"),"It's not clear that the PPKM regulation")</f>
        <v>It's not clear that the PPKM regulation</v>
      </c>
    </row>
    <row r="5528" ht="15.75" customHeight="1">
      <c r="A5528" s="2">
        <v>5531.0</v>
      </c>
      <c r="B5528" s="5" t="s">
        <v>10139</v>
      </c>
      <c r="C5528" s="6">
        <v>2.0</v>
      </c>
      <c r="D5528" s="7" t="s">
        <v>10140</v>
      </c>
      <c r="E5528" s="8" t="str">
        <f>IFERROR(__xludf.DUMMYFUNCTION("googletranslate(D5528,""id"",""en"")"),"What Store Open Again PPKM Condition?")</f>
        <v>What Store Open Again PPKM Condition?</v>
      </c>
    </row>
    <row r="5529" ht="15.75" customHeight="1">
      <c r="A5529" s="2">
        <v>5532.0</v>
      </c>
      <c r="B5529" s="5" t="s">
        <v>10141</v>
      </c>
      <c r="C5529" s="6">
        <v>1.0</v>
      </c>
      <c r="D5529" s="7" t="s">
        <v>10141</v>
      </c>
      <c r="E5529" s="8" t="str">
        <f>IFERROR(__xludf.DUMMYFUNCTION("googletranslate(D5529,""id"",""en"")"),"how come the PPKM is extended")</f>
        <v>how come the PPKM is extended</v>
      </c>
    </row>
    <row r="5530" ht="15.75" customHeight="1">
      <c r="A5530" s="2">
        <v>5533.0</v>
      </c>
      <c r="B5530" s="5" t="s">
        <v>10142</v>
      </c>
      <c r="C5530" s="6">
        <v>1.0</v>
      </c>
      <c r="D5530" s="9" t="s">
        <v>10142</v>
      </c>
      <c r="E5530" s="8" t="str">
        <f>IFERROR(__xludf.DUMMYFUNCTION("googletranslate(D5530,""id"",""en"")"),"Good morning, TBTB woke up if the PPKM was extended continuing, and the government just said patience to be patient, why not stop working, educated, and all aspects of life. Let all die one, death all, he said upholding the unity ...")</f>
        <v>Good morning, TBTB woke up if the PPKM was extended continuing, and the government just said patience to be patient, why not stop working, educated, and all aspects of life. Let all die one, death all, he said upholding the unity ...</v>
      </c>
    </row>
    <row r="5531" ht="15.75" customHeight="1">
      <c r="A5531" s="2">
        <v>5534.0</v>
      </c>
      <c r="B5531" s="5" t="s">
        <v>10143</v>
      </c>
      <c r="C5531" s="6">
        <v>2.0</v>
      </c>
      <c r="D5531" s="7" t="s">
        <v>10144</v>
      </c>
      <c r="E5531" s="8" t="str">
        <f>IFERROR(__xludf.DUMMYFUNCTION("googletranslate(D5531,""id"",""en"")"),"Wkwkwkwk .... be patient we are looking for his answer together with the extended ppkm.")</f>
        <v>Wkwkwkwk .... be patient we are looking for his answer together with the extended ppkm.</v>
      </c>
    </row>
    <row r="5532" ht="15.75" customHeight="1">
      <c r="A5532" s="2">
        <v>5535.0</v>
      </c>
      <c r="B5532" s="5" t="s">
        <v>10145</v>
      </c>
      <c r="C5532" s="6">
        <v>2.0</v>
      </c>
      <c r="D5532" s="7" t="s">
        <v>10146</v>
      </c>
      <c r="E5532" s="8" t="str">
        <f>IFERROR(__xludf.DUMMYFUNCTION("googletranslate(D5532,""id"",""en"")"),"Can the ppkm a year or not,?")</f>
        <v>Can the ppkm a year or not,?</v>
      </c>
    </row>
    <row r="5533" ht="15.75" customHeight="1">
      <c r="A5533" s="2">
        <v>5536.0</v>
      </c>
      <c r="B5533" s="5" t="s">
        <v>10147</v>
      </c>
      <c r="C5533" s="6">
        <v>1.0</v>
      </c>
      <c r="D5533" s="9" t="s">
        <v>10148</v>
      </c>
      <c r="E5533" s="8" t="str">
        <f>IFERROR(__xludf.DUMMYFUNCTION("googletranslate(D5533,""id"",""en"")"),"When does this day the PPKM level series, add the episode, the Hajj is a pulp")</f>
        <v>When does this day the PPKM level series, add the episode, the Hajj is a pulp</v>
      </c>
    </row>
    <row r="5534" ht="15.75" customHeight="1">
      <c r="A5534" s="2">
        <v>5537.0</v>
      </c>
      <c r="B5534" s="5" t="s">
        <v>10149</v>
      </c>
      <c r="C5534" s="6">
        <v>2.0</v>
      </c>
      <c r="D5534" s="7" t="s">
        <v>10150</v>
      </c>
      <c r="E5534" s="8" t="str">
        <f>IFERROR(__xludf.DUMMYFUNCTION("googletranslate(D5534,""id"",""en"")"),"extended ppkm until the ara can get a boyfriend")</f>
        <v>extended ppkm until the ara can get a boyfriend</v>
      </c>
    </row>
    <row r="5535" ht="15.75" customHeight="1">
      <c r="A5535" s="2">
        <v>5538.0</v>
      </c>
      <c r="B5535" s="5" t="s">
        <v>10151</v>
      </c>
      <c r="C5535" s="6">
        <v>2.0</v>
      </c>
      <c r="D5535" s="7" t="s">
        <v>10152</v>
      </c>
      <c r="E5535" s="8" t="str">
        <f>IFERROR(__xludf.DUMMYFUNCTION("googletranslate(D5535,""id"",""en"")"),"PPKM in our love extension.")</f>
        <v>PPKM in our love extension.</v>
      </c>
    </row>
    <row r="5536" ht="15.75" customHeight="1">
      <c r="A5536" s="2">
        <v>5539.0</v>
      </c>
      <c r="B5536" s="5" t="s">
        <v>10153</v>
      </c>
      <c r="C5536" s="6">
        <v>2.0</v>
      </c>
      <c r="D5536" s="7" t="s">
        <v>10154</v>
      </c>
      <c r="E5536" s="8" t="str">
        <f>IFERROR(__xludf.DUMMYFUNCTION("googletranslate(D5536,""id"",""en"")"),"Info Min, conditions for rising local trains and Kajj during PPKM?")</f>
        <v>Info Min, conditions for rising local trains and Kajj during PPKM?</v>
      </c>
    </row>
    <row r="5537" ht="15.75" customHeight="1">
      <c r="A5537" s="2">
        <v>5540.0</v>
      </c>
      <c r="B5537" s="5" t="s">
        <v>10155</v>
      </c>
      <c r="C5537" s="6">
        <v>2.0</v>
      </c>
      <c r="D5537" s="9" t="s">
        <v>10156</v>
      </c>
      <c r="E5537" s="8" t="str">
        <f>IFERROR(__xludf.DUMMYFUNCTION("googletranslate(D5537,""id"",""en"")"),"For August there is no free promo installation again, PPKM continues.")</f>
        <v>For August there is no free promo installation again, PPKM continues.</v>
      </c>
    </row>
    <row r="5538" ht="15.75" customHeight="1">
      <c r="A5538" s="2">
        <v>5541.0</v>
      </c>
      <c r="B5538" s="5" t="s">
        <v>10157</v>
      </c>
      <c r="C5538" s="6">
        <v>3.0</v>
      </c>
      <c r="D5538" s="9" t="s">
        <v>10157</v>
      </c>
      <c r="E5538" s="8" t="str">
        <f>IFERROR(__xludf.DUMMYFUNCTION("googletranslate(D5538,""id"",""en"")"),"Thank you, Mr. Jokowi ... make the PPKM ... healthy, my president is healthy ...")</f>
        <v>Thank you, Mr. Jokowi ... make the PPKM ... healthy, my president is healthy ...</v>
      </c>
    </row>
    <row r="5539" ht="15.75" customHeight="1">
      <c r="A5539" s="2">
        <v>5542.0</v>
      </c>
      <c r="B5539" s="5" t="s">
        <v>10158</v>
      </c>
      <c r="C5539" s="6">
        <v>2.0</v>
      </c>
      <c r="D5539" s="7" t="s">
        <v>10158</v>
      </c>
      <c r="E5539" s="8" t="str">
        <f>IFERROR(__xludf.DUMMYFUNCTION("googletranslate(D5539,""id"",""en"")"),"Ppkm continues to know I miss")</f>
        <v>Ppkm continues to know I miss</v>
      </c>
    </row>
    <row r="5540" ht="15.75" customHeight="1">
      <c r="A5540" s="2">
        <v>5543.0</v>
      </c>
      <c r="B5540" s="5" t="s">
        <v>10159</v>
      </c>
      <c r="C5540" s="6">
        <v>3.0</v>
      </c>
      <c r="D5540" s="9" t="s">
        <v>10160</v>
      </c>
      <c r="E5540" s="8" t="str">
        <f>IFERROR(__xludf.DUMMYFUNCTION("googletranslate(D5540,""id"",""en"")"),"The blessing if here is ppkm")</f>
        <v>The blessing if here is ppkm</v>
      </c>
    </row>
    <row r="5541" ht="15.75" customHeight="1">
      <c r="A5541" s="2">
        <v>5544.0</v>
      </c>
      <c r="B5541" s="5" t="s">
        <v>10161</v>
      </c>
      <c r="C5541" s="6">
        <v>1.0</v>
      </c>
      <c r="D5541" s="7" t="s">
        <v>10162</v>
      </c>
      <c r="E5541" s="8" t="str">
        <f>IFERROR(__xludf.DUMMYFUNCTION("googletranslate(D5541,""id"",""en"")"),"Gabisa gabisaaa, I don't use it, it's definitely at the end of it extended to the PPKM")</f>
        <v>Gabisa gabisaaa, I don't use it, it's definitely at the end of it extended to the PPKM</v>
      </c>
    </row>
    <row r="5542" ht="15.75" customHeight="1">
      <c r="A5542" s="2">
        <v>5545.0</v>
      </c>
      <c r="B5542" s="5" t="s">
        <v>10163</v>
      </c>
      <c r="C5542" s="6">
        <v>1.0</v>
      </c>
      <c r="D5542" s="7" t="s">
        <v>10164</v>
      </c>
      <c r="E5542" s="8" t="str">
        <f>IFERROR(__xludf.DUMMYFUNCTION("googletranslate(D5542,""id"",""en"")"),"Want to comment fear to be done to the boarding house ... then the reason he violates the ppkm pdhal wants to just walk it")</f>
        <v>Want to comment fear to be done to the boarding house ... then the reason he violates the ppkm pdhal wants to just walk it</v>
      </c>
    </row>
    <row r="5543" ht="15.75" customHeight="1">
      <c r="A5543" s="2">
        <v>5546.0</v>
      </c>
      <c r="B5543" s="5" t="s">
        <v>10165</v>
      </c>
      <c r="C5543" s="6">
        <v>1.0</v>
      </c>
      <c r="D5543" s="7" t="s">
        <v>10166</v>
      </c>
      <c r="E5543" s="8" t="str">
        <f>IFERROR(__xludf.DUMMYFUNCTION("googletranslate(D5543,""id"",""en"")"),"The dppe dpupkangan dpesuh this actually the capeppkm made my wife fall apart")</f>
        <v>The dppe dpupkangan dpesuh this actually the capeppkm made my wife fall apart</v>
      </c>
    </row>
    <row r="5544" ht="15.75" customHeight="1">
      <c r="A5544" s="2">
        <v>5547.0</v>
      </c>
      <c r="B5544" s="5" t="s">
        <v>10167</v>
      </c>
      <c r="C5544" s="6">
        <v>2.0</v>
      </c>
      <c r="D5544" s="7" t="s">
        <v>10167</v>
      </c>
      <c r="E5544" s="8" t="str">
        <f>IFERROR(__xludf.DUMMYFUNCTION("googletranslate(D5544,""id"",""en"")"),"Morning the first day after PPKM. Ayok playing huftttt eah")</f>
        <v>Morning the first day after PPKM. Ayok playing huftttt eah</v>
      </c>
    </row>
    <row r="5545" ht="15.75" customHeight="1">
      <c r="A5545" s="2">
        <v>5548.0</v>
      </c>
      <c r="B5545" s="5" t="s">
        <v>10168</v>
      </c>
      <c r="C5545" s="6">
        <v>2.0</v>
      </c>
      <c r="D5545" s="9" t="s">
        <v>10169</v>
      </c>
      <c r="E5545" s="8" t="str">
        <f>IFERROR(__xludf.DUMMYFUNCTION("googletranslate(D5545,""id"",""en"")"),"Gasss Abis PPKM August but playing at home Don't come out Yuuu Kai but you can Gaa play ????")</f>
        <v>Gasss Abis PPKM August but playing at home Don't come out Yuuu Kai but you can Gaa play ????</v>
      </c>
    </row>
    <row r="5546" ht="15.75" customHeight="1">
      <c r="A5546" s="2">
        <v>5549.0</v>
      </c>
      <c r="B5546" s="5" t="s">
        <v>10170</v>
      </c>
      <c r="C5546" s="6">
        <v>2.0</v>
      </c>
      <c r="D5546" s="7" t="s">
        <v>10170</v>
      </c>
      <c r="E5546" s="8" t="str">
        <f>IFERROR(__xludf.DUMMYFUNCTION("googletranslate(D5546,""id"",""en"")"),"PPKM extended to Team KIII Come Back")</f>
        <v>PPKM extended to Team KIII Come Back</v>
      </c>
    </row>
    <row r="5547" ht="15.75" customHeight="1">
      <c r="A5547" s="2">
        <v>5550.0</v>
      </c>
      <c r="B5547" s="5" t="s">
        <v>10171</v>
      </c>
      <c r="C5547" s="6">
        <v>1.0</v>
      </c>
      <c r="D5547" s="9" t="s">
        <v>10172</v>
      </c>
      <c r="E5547" s="8" t="str">
        <f>IFERROR(__xludf.DUMMYFUNCTION("googletranslate(D5547,""id"",""en"")"),"Yallah cm pgn buy perfume that has been done from the previous day the arms of the ppkm trs where it doesn't exist in online lg")</f>
        <v>Yallah cm pgn buy perfume that has been done from the previous day the arms of the ppkm trs where it doesn't exist in online lg</v>
      </c>
    </row>
    <row r="5548" ht="15.75" customHeight="1">
      <c r="A5548" s="2">
        <v>5551.0</v>
      </c>
      <c r="B5548" s="5" t="s">
        <v>10173</v>
      </c>
      <c r="C5548" s="6">
        <v>2.0</v>
      </c>
      <c r="D5548" s="7" t="s">
        <v>10174</v>
      </c>
      <c r="E5548" s="8" t="str">
        <f>IFERROR(__xludf.DUMMYFUNCTION("googletranslate(D5548,""id"",""en"")"),"by.u hotstar I have done it out of the extension of LG GA, this ppkm extended this")</f>
        <v>by.u hotstar I have done it out of the extension of LG GA, this ppkm extended this</v>
      </c>
    </row>
    <row r="5549" ht="15.75" customHeight="1">
      <c r="A5549" s="2">
        <v>5552.0</v>
      </c>
      <c r="B5549" s="5" t="s">
        <v>10175</v>
      </c>
      <c r="C5549" s="6">
        <v>3.0</v>
      </c>
      <c r="D5549" s="7" t="s">
        <v>10175</v>
      </c>
      <c r="E5549" s="8" t="str">
        <f>IFERROR(__xludf.DUMMYFUNCTION("googletranslate(D5549,""id"",""en"")"),"PPKM is extended but today is told by WFO nyok spirit spirit")</f>
        <v>PPKM is extended but today is told by WFO nyok spirit spirit</v>
      </c>
    </row>
    <row r="5550" ht="15.75" customHeight="1">
      <c r="A5550" s="2">
        <v>5553.0</v>
      </c>
      <c r="B5550" s="5" t="s">
        <v>10176</v>
      </c>
      <c r="C5550" s="6">
        <v>2.0</v>
      </c>
      <c r="D5550" s="9" t="s">
        <v>10177</v>
      </c>
      <c r="E5550" s="8" t="str">
        <f>IFERROR(__xludf.DUMMYFUNCTION("googletranslate(D5550,""id"",""en"")"),"He thought the PPKM was for the whole world hahaha")</f>
        <v>He thought the PPKM was for the whole world hahaha</v>
      </c>
    </row>
    <row r="5551" ht="15.75" customHeight="1">
      <c r="A5551" s="2">
        <v>5554.0</v>
      </c>
      <c r="B5551" s="5" t="s">
        <v>10178</v>
      </c>
      <c r="C5551" s="6">
        <v>1.0</v>
      </c>
      <c r="D5551" s="9" t="s">
        <v>10179</v>
      </c>
      <c r="E5551" s="8" t="str">
        <f>IFERROR(__xludf.DUMMYFUNCTION("googletranslate(D5551,""id"",""en"")"),"Anjir if the ppkm is extended by the money of liquid liquid anjirr")</f>
        <v>Anjir if the ppkm is extended by the money of liquid liquid anjirr</v>
      </c>
    </row>
    <row r="5552" ht="15.75" customHeight="1">
      <c r="A5552" s="2">
        <v>5555.0</v>
      </c>
      <c r="B5552" s="5" t="s">
        <v>10180</v>
      </c>
      <c r="C5552" s="6">
        <v>2.0</v>
      </c>
      <c r="D5552" s="9" t="s">
        <v>10181</v>
      </c>
      <c r="E5552" s="8" t="str">
        <f>IFERROR(__xludf.DUMMYFUNCTION("googletranslate(D5552,""id"",""en"")"),"Come on his stomach at PPKM first")</f>
        <v>Come on his stomach at PPKM first</v>
      </c>
    </row>
    <row r="5553" ht="15.75" customHeight="1">
      <c r="A5553" s="2">
        <v>5556.0</v>
      </c>
      <c r="B5553" s="5" t="s">
        <v>10182</v>
      </c>
      <c r="C5553" s="6">
        <v>1.0</v>
      </c>
      <c r="D5553" s="7" t="s">
        <v>10183</v>
      </c>
      <c r="E5553" s="8" t="str">
        <f>IFERROR(__xludf.DUMMYFUNCTION("googletranslate(D5553,""id"",""en"")"),"PPKM is extended until we become dust")</f>
        <v>PPKM is extended until we become dust</v>
      </c>
    </row>
    <row r="5554" ht="15.75" customHeight="1">
      <c r="A5554" s="2">
        <v>5557.0</v>
      </c>
      <c r="B5554" s="5" t="s">
        <v>10184</v>
      </c>
      <c r="C5554" s="6">
        <v>1.0</v>
      </c>
      <c r="D5554" s="7" t="s">
        <v>10185</v>
      </c>
      <c r="E5554" s="8" t="str">
        <f>IFERROR(__xludf.DUMMYFUNCTION("googletranslate(D5554,""id"",""en"")"),"Because the PPKM is extended, huh?!")</f>
        <v>Because the PPKM is extended, huh?!</v>
      </c>
    </row>
    <row r="5555" ht="15.75" customHeight="1">
      <c r="A5555" s="2">
        <v>5558.0</v>
      </c>
      <c r="B5555" s="5" t="s">
        <v>10186</v>
      </c>
      <c r="C5555" s="6">
        <v>1.0</v>
      </c>
      <c r="D5555" s="7" t="s">
        <v>10187</v>
      </c>
      <c r="E5555" s="8" t="str">
        <f>IFERROR(__xludf.DUMMYFUNCTION("googletranslate(D5555,""id"",""en"")"),"ppkm until the date. even though my unfortunate number number")</f>
        <v>ppkm until the date. even though my unfortunate number number</v>
      </c>
    </row>
    <row r="5556" ht="15.75" customHeight="1">
      <c r="A5556" s="2">
        <v>5559.0</v>
      </c>
      <c r="B5556" s="5" t="s">
        <v>10188</v>
      </c>
      <c r="C5556" s="6">
        <v>2.0</v>
      </c>
      <c r="D5556" s="7" t="s">
        <v>10188</v>
      </c>
      <c r="E5556" s="8" t="str">
        <f>IFERROR(__xludf.DUMMYFUNCTION("googletranslate(D5556,""id"",""en"")"),"PPKM is extended until you become my own uwooow uwooou oooo")</f>
        <v>PPKM is extended until you become my own uwooow uwooou oooo</v>
      </c>
    </row>
    <row r="5557" ht="15.75" customHeight="1">
      <c r="A5557" s="2">
        <v>5560.0</v>
      </c>
      <c r="B5557" s="5" t="s">
        <v>10189</v>
      </c>
      <c r="C5557" s="6">
        <v>2.0</v>
      </c>
      <c r="D5557" s="7" t="s">
        <v>10190</v>
      </c>
      <c r="E5557" s="8" t="str">
        <f>IFERROR(__xludf.DUMMYFUNCTION("googletranslate(D5557,""id"",""en"")"),"BISMILLAH TF for living costs during PPKM")</f>
        <v>BISMILLAH TF for living costs during PPKM</v>
      </c>
    </row>
    <row r="5558" ht="15.75" customHeight="1">
      <c r="A5558" s="2">
        <v>5561.0</v>
      </c>
      <c r="B5558" s="5" t="s">
        <v>10191</v>
      </c>
      <c r="C5558" s="6">
        <v>1.0</v>
      </c>
      <c r="D5558" s="9" t="s">
        <v>10192</v>
      </c>
      <c r="E5558" s="8" t="str">
        <f>IFERROR(__xludf.DUMMYFUNCTION("googletranslate(D5558,""id"",""en"")"),"PPKM is extended continuously, Mending Lockdown Total Kyk Nyepi during the day, Bansos K for per family card cannot afford. Activities during the day the government is pushing the streets using disnifektan. such as this activity is ineffective, continued "&amp;"Covid's ideats such as ordinary flu")</f>
        <v>PPKM is extended continuously, Mending Lockdown Total Kyk Nyepi during the day, Bansos K for per family card cannot afford. Activities during the day the government is pushing the streets using disnifektan. such as this activity is ineffective, continued Covid's ideats such as ordinary flu</v>
      </c>
    </row>
    <row r="5559" ht="15.75" customHeight="1">
      <c r="A5559" s="2">
        <v>5562.0</v>
      </c>
      <c r="B5559" s="5" t="s">
        <v>10193</v>
      </c>
      <c r="C5559" s="6">
        <v>1.0</v>
      </c>
      <c r="D5559" s="9" t="s">
        <v>10194</v>
      </c>
      <c r="E5559" s="8" t="str">
        <f>IFERROR(__xludf.DUMMYFUNCTION("googletranslate(D5559,""id"",""en"")"),"If the lockdown can not come out, just stupid the PPKM is said to be Lockdown Full, this is around the state KDS. This is just a lot of strong and amp; Ga believe Covid ... he said, I was afraid of God Drpd Covid ... Taii who was talking about, SBAB Covid"&amp;" was allowed by God there. Manipulate God")</f>
        <v>If the lockdown can not come out, just stupid the PPKM is said to be Lockdown Full, this is around the state KDS. This is just a lot of strong and amp; Ga believe Covid ... he said, I was afraid of God Drpd Covid ... Taii who was talking about, SBAB Covid was allowed by God there. Manipulate God</v>
      </c>
    </row>
    <row r="5560" ht="15.75" customHeight="1">
      <c r="A5560" s="2">
        <v>5563.0</v>
      </c>
      <c r="B5560" s="5" t="s">
        <v>10195</v>
      </c>
      <c r="C5560" s="6">
        <v>1.0</v>
      </c>
      <c r="D5560" s="7" t="s">
        <v>10196</v>
      </c>
      <c r="E5560" s="8" t="str">
        <f>IFERROR(__xludf.DUMMYFUNCTION("googletranslate(D5560,""id"",""en"")"),"His PPKM was paid in installments, Tautau already _-")</f>
        <v>His PPKM was paid in installments, Tautau already _-</v>
      </c>
    </row>
    <row r="5561" ht="15.75" customHeight="1">
      <c r="A5561" s="2">
        <v>5564.0</v>
      </c>
      <c r="B5561" s="5" t="s">
        <v>10197</v>
      </c>
      <c r="C5561" s="6">
        <v>3.0</v>
      </c>
      <c r="D5561" s="7" t="s">
        <v>10197</v>
      </c>
      <c r="E5561" s="8" t="str">
        <f>IFERROR(__xludf.DUMMYFUNCTION("googletranslate(D5561,""id"",""en"")"),"HOREE PPKM Extended, Makasi Pak De")</f>
        <v>HOREE PPKM Extended, Makasi Pak De</v>
      </c>
    </row>
    <row r="5562" ht="15.75" customHeight="1">
      <c r="A5562" s="2">
        <v>5565.0</v>
      </c>
      <c r="B5562" s="5" t="s">
        <v>10198</v>
      </c>
      <c r="C5562" s="6">
        <v>2.0</v>
      </c>
      <c r="D5562" s="7" t="s">
        <v>10199</v>
      </c>
      <c r="E5562" s="8" t="str">
        <f>IFERROR(__xludf.DUMMYFUNCTION("googletranslate(D5562,""id"",""en"")"),"PPKM extended until Sis Ros married")</f>
        <v>PPKM extended until Sis Ros married</v>
      </c>
    </row>
    <row r="5563" ht="15.75" customHeight="1">
      <c r="A5563" s="2">
        <v>5566.0</v>
      </c>
      <c r="B5563" s="5" t="s">
        <v>10200</v>
      </c>
      <c r="C5563" s="6">
        <v>2.0</v>
      </c>
      <c r="D5563" s="7" t="s">
        <v>10200</v>
      </c>
      <c r="E5563" s="8" t="str">
        <f>IFERROR(__xludf.DUMMYFUNCTION("googletranslate(D5563,""id"",""en"")"),"Ppkm extends to pppppkkkkmmmmm gaes")</f>
        <v>Ppkm extends to pppppkkkkmmmmm gaes</v>
      </c>
    </row>
    <row r="5564" ht="15.75" customHeight="1">
      <c r="A5564" s="2">
        <v>5567.0</v>
      </c>
      <c r="B5564" s="5" t="s">
        <v>10201</v>
      </c>
      <c r="C5564" s="6">
        <v>1.0</v>
      </c>
      <c r="D5564" s="7" t="s">
        <v>10202</v>
      </c>
      <c r="E5564" s="8" t="str">
        <f>IFERROR(__xludf.DUMMYFUNCTION("googletranslate(D5564,""id"",""en"")"),"Mr. Jokowi: How long does PPKM be extended? People: Sak Karep2mu Wes sir. Wes Waleh")</f>
        <v>Mr. Jokowi: How long does PPKM be extended? People: Sak Karep2mu Wes sir. Wes Waleh</v>
      </c>
    </row>
    <row r="5565" ht="15.75" customHeight="1">
      <c r="A5565" s="2">
        <v>5568.0</v>
      </c>
      <c r="B5565" s="5" t="s">
        <v>10203</v>
      </c>
      <c r="C5565" s="6">
        <v>2.0</v>
      </c>
      <c r="D5565" s="7" t="s">
        <v>10203</v>
      </c>
      <c r="E5565" s="8" t="str">
        <f>IFERROR(__xludf.DUMMYFUNCTION("googletranslate(D5565,""id"",""en"")"),"People on the haircut where is the ppkm again?")</f>
        <v>People on the haircut where is the ppkm again?</v>
      </c>
    </row>
    <row r="5566" ht="15.75" customHeight="1">
      <c r="A5566" s="2">
        <v>5569.0</v>
      </c>
      <c r="B5566" s="5" t="s">
        <v>10204</v>
      </c>
      <c r="C5566" s="6">
        <v>1.0</v>
      </c>
      <c r="D5566" s="7" t="s">
        <v>10205</v>
      </c>
      <c r="E5566" s="8" t="str">
        <f>IFERROR(__xludf.DUMMYFUNCTION("googletranslate(D5566,""id"",""en"")"),"It's time for Kimul to penetrate the capital city ... but wait for the PPKM ready for Mul, just there, there isn't a job")</f>
        <v>It's time for Kimul to penetrate the capital city ... but wait for the PPKM ready for Mul, just there, there isn't a job</v>
      </c>
    </row>
    <row r="5567" ht="15.75" customHeight="1">
      <c r="A5567" s="2">
        <v>5570.0</v>
      </c>
      <c r="B5567" s="5" t="s">
        <v>10206</v>
      </c>
      <c r="C5567" s="6">
        <v>1.0</v>
      </c>
      <c r="D5567" s="9" t="s">
        <v>10207</v>
      </c>
      <c r="E5567" s="8" t="str">
        <f>IFERROR(__xludf.DUMMYFUNCTION("googletranslate(D5567,""id"",""en"")"),"It's still a lot in pakde bag, it's out, mayan, who knows the people can eat well during the PPKM, just ignore the prank t mah, huh?")</f>
        <v>It's still a lot in pakde bag, it's out, mayan, who knows the people can eat well during the PPKM, just ignore the prank t mah, huh?</v>
      </c>
    </row>
    <row r="5568" ht="15.75" customHeight="1">
      <c r="A5568" s="2">
        <v>5571.0</v>
      </c>
      <c r="B5568" s="5" t="s">
        <v>10208</v>
      </c>
      <c r="C5568" s="6">
        <v>1.0</v>
      </c>
      <c r="D5568" s="7" t="s">
        <v>10208</v>
      </c>
      <c r="E5568" s="8" t="str">
        <f>IFERROR(__xludf.DUMMYFUNCTION("googletranslate(D5568,""id"",""en"")"),"Until the new presidential election until the PPKM")</f>
        <v>Until the new presidential election until the PPKM</v>
      </c>
    </row>
    <row r="5569" ht="15.75" customHeight="1">
      <c r="A5569" s="2">
        <v>5572.0</v>
      </c>
      <c r="B5569" s="5" t="s">
        <v>10209</v>
      </c>
      <c r="C5569" s="6">
        <v>2.0</v>
      </c>
      <c r="D5569" s="7" t="s">
        <v>10209</v>
      </c>
      <c r="E5569" s="8" t="str">
        <f>IFERROR(__xludf.DUMMYFUNCTION("googletranslate(D5569,""id"",""en"")"),"PPKM is not extended, but continued.")</f>
        <v>PPKM is not extended, but continued.</v>
      </c>
    </row>
    <row r="5570" ht="15.75" customHeight="1">
      <c r="A5570" s="2">
        <v>5573.0</v>
      </c>
      <c r="B5570" s="5" t="s">
        <v>10210</v>
      </c>
      <c r="C5570" s="6">
        <v>1.0</v>
      </c>
      <c r="D5570" s="9" t="s">
        <v>10211</v>
      </c>
      <c r="E5570" s="8" t="str">
        <f>IFERROR(__xludf.DUMMYFUNCTION("googletranslate(D5570,""id"",""en"")"),"I think the one who breaks it that makes PPKM continuously")</f>
        <v>I think the one who breaks it that makes PPKM continuously</v>
      </c>
    </row>
    <row r="5571" ht="15.75" customHeight="1">
      <c r="A5571" s="2">
        <v>5574.0</v>
      </c>
      <c r="B5571" s="5" t="s">
        <v>10212</v>
      </c>
      <c r="C5571" s="6">
        <v>1.0</v>
      </c>
      <c r="D5571" s="7" t="s">
        <v>10213</v>
      </c>
      <c r="E5571" s="8" t="str">
        <f>IFERROR(__xludf.DUMMYFUNCTION("googletranslate(D5571,""id"",""en"")"),"The implementation of the PPKM level, the cost of living the people during the PPKM is borne by the state. Occasionally, the state bears, even then used by public money also by paying tax money. People are more afraid of starvation than Covid.")</f>
        <v>The implementation of the PPKM level, the cost of living the people during the PPKM is borne by the state. Occasionally, the state bears, even then used by public money also by paying tax money. People are more afraid of starvation than Covid.</v>
      </c>
    </row>
    <row r="5572" ht="15.75" customHeight="1">
      <c r="A5572" s="2">
        <v>5575.0</v>
      </c>
      <c r="B5572" s="5" t="s">
        <v>10214</v>
      </c>
      <c r="C5572" s="6">
        <v>2.0</v>
      </c>
      <c r="D5572" s="7" t="s">
        <v>10214</v>
      </c>
      <c r="E5572" s="8" t="str">
        <f>IFERROR(__xludf.DUMMYFUNCTION("googletranslate(D5572,""id"",""en"")"),"PPKM is extended until you become mine")</f>
        <v>PPKM is extended until you become mine</v>
      </c>
    </row>
    <row r="5573" ht="15.75" customHeight="1">
      <c r="A5573" s="2">
        <v>5576.0</v>
      </c>
      <c r="B5573" s="5" t="s">
        <v>10215</v>
      </c>
      <c r="C5573" s="6">
        <v>2.0</v>
      </c>
      <c r="D5573" s="7" t="s">
        <v>6783</v>
      </c>
      <c r="E5573" s="8" t="str">
        <f>IFERROR(__xludf.DUMMYFUNCTION("googletranslate(D5573,""id"",""en"")"),"PPKM is extended")</f>
        <v>PPKM is extended</v>
      </c>
    </row>
    <row r="5574" ht="15.75" customHeight="1">
      <c r="A5574" s="2">
        <v>5577.0</v>
      </c>
      <c r="B5574" s="5" t="s">
        <v>10216</v>
      </c>
      <c r="C5574" s="6">
        <v>2.0</v>
      </c>
      <c r="D5574" s="7" t="s">
        <v>10217</v>
      </c>
      <c r="E5574" s="8" t="str">
        <f>IFERROR(__xludf.DUMMYFUNCTION("googletranslate(D5574,""id"",""en"")"),"But Lgie PPKM we grip the JWUH JWUH YH")</f>
        <v>But Lgie PPKM we grip the JWUH JWUH YH</v>
      </c>
    </row>
    <row r="5575" ht="15.75" customHeight="1">
      <c r="A5575" s="2">
        <v>5578.0</v>
      </c>
      <c r="B5575" s="5" t="s">
        <v>10218</v>
      </c>
      <c r="C5575" s="6">
        <v>1.0</v>
      </c>
      <c r="D5575" s="7" t="s">
        <v>10218</v>
      </c>
      <c r="E5575" s="8" t="str">
        <f>IFERROR(__xludf.DUMMYFUNCTION("googletranslate(D5575,""id"",""en"")"),"He said for the rest of the country's economy so it didn't decline, but which economy? Who sells drugs and vaccines, who are sick of Lagsung in Covidkan? How come a small trader who looks for a living suddenly in Dubarin, PPKM extends hopefully a sense of"&amp;" humanity is also not slow slowly missing")</f>
        <v>He said for the rest of the country's economy so it didn't decline, but which economy? Who sells drugs and vaccines, who are sick of Lagsung in Covidkan? How come a small trader who looks for a living suddenly in Dubarin, PPKM extends hopefully a sense of humanity is also not slow slowly missing</v>
      </c>
    </row>
    <row r="5576" ht="15.75" customHeight="1">
      <c r="A5576" s="2">
        <v>5579.0</v>
      </c>
      <c r="B5576" s="5" t="s">
        <v>10219</v>
      </c>
      <c r="C5576" s="6">
        <v>1.0</v>
      </c>
      <c r="D5576" s="7" t="s">
        <v>10220</v>
      </c>
      <c r="E5576" s="8" t="str">
        <f>IFERROR(__xludf.DUMMYFUNCTION("googletranslate(D5576,""id"",""en"")"),"Dilemma this morning: PPKM Officially Extended TP Calidnal Letter Dri Kntor BLM There is, Sdngkan HRI Schedule It is Service, Udh Stnghang Know Who Want To Get Happy Don't Rain Gabrient Jd Mager, TRS UDH WANT TO BATH HOURS: 45 EH DRI BREAKING DRI PABOSS W"&amp;"FH")</f>
        <v>Dilemma this morning: PPKM Officially Extended TP Calidnal Letter Dri Kntor BLM There is, Sdngkan HRI Schedule It is Service, Udh Stnghang Know Who Want To Get Happy Don't Rain Gabrient Jd Mager, TRS UDH WANT TO BATH HOURS: 45 EH DRI BREAKING DRI PABOSS WFH</v>
      </c>
    </row>
    <row r="5577" ht="15.75" customHeight="1">
      <c r="A5577" s="2">
        <v>5580.0</v>
      </c>
      <c r="B5577" s="5" t="s">
        <v>10221</v>
      </c>
      <c r="C5577" s="6">
        <v>2.0</v>
      </c>
      <c r="D5577" s="10" t="s">
        <v>10222</v>
      </c>
      <c r="E5577" s="8" t="str">
        <f>IFERROR(__xludf.DUMMYFUNCTION("googletranslate(D5577,""id"",""en"")"),"PPKM Effect")</f>
        <v>PPKM Effect</v>
      </c>
    </row>
    <row r="5578" ht="15.75" customHeight="1">
      <c r="A5578" s="2">
        <v>5581.0</v>
      </c>
      <c r="B5578" s="5" t="s">
        <v>10223</v>
      </c>
      <c r="C5578" s="6">
        <v>1.0</v>
      </c>
      <c r="D5578" s="7" t="s">
        <v>10224</v>
      </c>
      <c r="E5578" s="8" t="str">
        <f>IFERROR(__xludf.DUMMYFUNCTION("googletranslate(D5578,""id"",""en"")"),"PPKM extended Teros is almost crazy for me (:")</f>
        <v>PPKM extended Teros is almost crazy for me (:</v>
      </c>
    </row>
    <row r="5579" ht="15.75" customHeight="1">
      <c r="A5579" s="2">
        <v>5582.0</v>
      </c>
      <c r="B5579" s="5" t="s">
        <v>10225</v>
      </c>
      <c r="C5579" s="6">
        <v>2.0</v>
      </c>
      <c r="D5579" s="7" t="s">
        <v>10226</v>
      </c>
      <c r="E5579" s="8" t="str">
        <f>IFERROR(__xludf.DUMMYFUNCTION("googletranslate(D5579,""id"",""en"")"),"PPKM is extended. Wake up the morning open wa, fahay, km wfh today yes ... okay sir. Sleep again.")</f>
        <v>PPKM is extended. Wake up the morning open wa, fahay, km wfh today yes ... okay sir. Sleep again.</v>
      </c>
    </row>
    <row r="5580" ht="15.75" customHeight="1">
      <c r="A5580" s="2">
        <v>5583.0</v>
      </c>
      <c r="B5580" s="5" t="s">
        <v>10227</v>
      </c>
      <c r="C5580" s="6">
        <v>1.0</v>
      </c>
      <c r="D5580" s="7" t="s">
        <v>10228</v>
      </c>
      <c r="E5580" s="8" t="str">
        <f>IFERROR(__xludf.DUMMYFUNCTION("googletranslate(D5580,""id"",""en"")"),"passing T in the morning, the PPKM extension")</f>
        <v>passing T in the morning, the PPKM extension</v>
      </c>
    </row>
    <row r="5581" ht="15.75" customHeight="1">
      <c r="A5581" s="2">
        <v>5584.0</v>
      </c>
      <c r="B5581" s="5" t="s">
        <v>10229</v>
      </c>
      <c r="C5581" s="6">
        <v>2.0</v>
      </c>
      <c r="D5581" s="7" t="s">
        <v>10229</v>
      </c>
      <c r="E5581" s="8" t="str">
        <f>IFERROR(__xludf.DUMMYFUNCTION("googletranslate(D5581,""id"",""en"")"),"PPKM D Extends Kinderjoy Museum Down Price")</f>
        <v>PPKM D Extends Kinderjoy Museum Down Price</v>
      </c>
    </row>
    <row r="5582" ht="15.75" customHeight="1">
      <c r="A5582" s="2">
        <v>5585.0</v>
      </c>
      <c r="B5582" s="5" t="s">
        <v>10230</v>
      </c>
      <c r="C5582" s="6">
        <v>2.0</v>
      </c>
      <c r="D5582" s="7" t="s">
        <v>10230</v>
      </c>
      <c r="E5582" s="8" t="str">
        <f>IFERROR(__xludf.DUMMYFUNCTION("googletranslate(D5582,""id"",""en"")"),"PPKM extended to physics in Takedown")</f>
        <v>PPKM extended to physics in Takedown</v>
      </c>
    </row>
    <row r="5583" ht="15.75" customHeight="1">
      <c r="A5583" s="2">
        <v>5586.0</v>
      </c>
      <c r="B5583" s="5" t="s">
        <v>10231</v>
      </c>
      <c r="C5583" s="6">
        <v>2.0</v>
      </c>
      <c r="D5583" s="7" t="s">
        <v>10232</v>
      </c>
      <c r="E5583" s="8" t="str">
        <f>IFERROR(__xludf.DUMMYFUNCTION("googletranslate(D5583,""id"",""en"")"),"Doain yes so hurry up, ppkm there is a change, still LDR ...")</f>
        <v>Doain yes so hurry up, ppkm there is a change, still LDR ...</v>
      </c>
    </row>
    <row r="5584" ht="15.75" customHeight="1">
      <c r="A5584" s="2">
        <v>5587.0</v>
      </c>
      <c r="B5584" s="5" t="s">
        <v>10233</v>
      </c>
      <c r="C5584" s="6">
        <v>1.0</v>
      </c>
      <c r="D5584" s="9" t="s">
        <v>10234</v>
      </c>
      <c r="E5584" s="8" t="str">
        <f>IFERROR(__xludf.DUMMYFUNCTION("googletranslate(D5584,""id"",""en"")"),"PPKM is extended, I forgot if I have a job because of the case of PPKM")</f>
        <v>PPKM is extended, I forgot if I have a job because of the case of PPKM</v>
      </c>
    </row>
    <row r="5585" ht="15.75" customHeight="1">
      <c r="A5585" s="2">
        <v>5588.0</v>
      </c>
      <c r="B5585" s="5" t="s">
        <v>10235</v>
      </c>
      <c r="C5585" s="6">
        <v>1.0</v>
      </c>
      <c r="D5585" s="7" t="s">
        <v>10236</v>
      </c>
      <c r="E5585" s="8" t="str">
        <f>IFERROR(__xludf.DUMMYFUNCTION("googletranslate(D5585,""id"",""en"")"),"Is the PPKM just like the people who are admitted? (People who dpet bansos) Jdi because I don't have a bansos mean that it means that it is not obliged to follow the PPKM Trsbut.")</f>
        <v>Is the PPKM just like the people who are admitted? (People who dpet bansos) Jdi because I don't have a bansos mean that it means that it is not obliged to follow the PPKM Trsbut.</v>
      </c>
    </row>
    <row r="5586" ht="15.75" customHeight="1">
      <c r="A5586" s="2">
        <v>5589.0</v>
      </c>
      <c r="B5586" s="5" t="s">
        <v>10237</v>
      </c>
      <c r="C5586" s="6">
        <v>2.0</v>
      </c>
      <c r="D5586" s="7" t="s">
        <v>10238</v>
      </c>
      <c r="E5586" s="8" t="str">
        <f>IFERROR(__xludf.DUMMYFUNCTION("googletranslate(D5586,""id"",""en"")"),"Ppkm extends every week like anime every week release")</f>
        <v>Ppkm extends every week like anime every week release</v>
      </c>
    </row>
    <row r="5587" ht="15.75" customHeight="1">
      <c r="A5587" s="2">
        <v>5590.0</v>
      </c>
      <c r="B5587" s="5" t="s">
        <v>10239</v>
      </c>
      <c r="C5587" s="6">
        <v>1.0</v>
      </c>
      <c r="D5587" s="7" t="s">
        <v>10240</v>
      </c>
      <c r="E5587" s="8" t="str">
        <f>IFERROR(__xludf.DUMMYFUNCTION("googletranslate(D5587,""id"",""en"")"),"Slowly we die, PPKM Level Judgment")</f>
        <v>Slowly we die, PPKM Level Judgment</v>
      </c>
    </row>
    <row r="5588" ht="15.75" customHeight="1">
      <c r="A5588" s="2">
        <v>5591.0</v>
      </c>
      <c r="B5588" s="5" t="s">
        <v>10241</v>
      </c>
      <c r="C5588" s="6">
        <v>2.0</v>
      </c>
      <c r="D5588" s="7" t="s">
        <v>10241</v>
      </c>
      <c r="E5588" s="8" t="str">
        <f>IFERROR(__xludf.DUMMYFUNCTION("googletranslate(D5588,""id"",""en"")"),"Jog Soto Pak Parno has opened it during the PPKM?")</f>
        <v>Jog Soto Pak Parno has opened it during the PPKM?</v>
      </c>
    </row>
    <row r="5589" ht="15.75" customHeight="1">
      <c r="A5589" s="2">
        <v>5592.0</v>
      </c>
      <c r="B5589" s="5" t="s">
        <v>10242</v>
      </c>
      <c r="C5589" s="6">
        <v>2.0</v>
      </c>
      <c r="D5589" s="7" t="s">
        <v>10242</v>
      </c>
      <c r="E5589" s="8" t="str">
        <f>IFERROR(__xludf.DUMMYFUNCTION("googletranslate(D5589,""id"",""en"")"),"Extended PPKM Sampek Lali Carane Dating")</f>
        <v>Extended PPKM Sampek Lali Carane Dating</v>
      </c>
    </row>
    <row r="5590" ht="15.75" customHeight="1">
      <c r="A5590" s="2">
        <v>5593.0</v>
      </c>
      <c r="B5590" s="5" t="s">
        <v>10243</v>
      </c>
      <c r="C5590" s="6">
        <v>1.0</v>
      </c>
      <c r="D5590" s="7" t="s">
        <v>10243</v>
      </c>
      <c r="E5590" s="8" t="str">
        <f>IFERROR(__xludf.DUMMYFUNCTION("googletranslate(D5590,""id"",""en"")"),"Ppkm fails still extended")</f>
        <v>Ppkm fails still extended</v>
      </c>
    </row>
    <row r="5591" ht="15.75" customHeight="1">
      <c r="A5591" s="2">
        <v>5594.0</v>
      </c>
      <c r="B5591" s="5" t="s">
        <v>10244</v>
      </c>
      <c r="C5591" s="6">
        <v>1.0</v>
      </c>
      <c r="D5591" s="9" t="s">
        <v>10245</v>
      </c>
      <c r="E5591" s="8" t="str">
        <f>IFERROR(__xludf.DUMMYFUNCTION("googletranslate(D5591,""id"",""en"")"),"Oiya Yu Na-Bi hasn't been aware right, begged again at EPS yesterday. PPKM Pantes is extended again he has not yet consciously")</f>
        <v>Oiya Yu Na-Bi hasn't been aware right, begged again at EPS yesterday. PPKM Pantes is extended again he has not yet consciously</v>
      </c>
    </row>
    <row r="5592" ht="15.75" customHeight="1">
      <c r="A5592" s="2">
        <v>5595.0</v>
      </c>
      <c r="B5592" s="5" t="s">
        <v>10246</v>
      </c>
      <c r="C5592" s="6">
        <v>3.0</v>
      </c>
      <c r="D5592" s="7" t="s">
        <v>10247</v>
      </c>
      <c r="E5592" s="8" t="str">
        <f>IFERROR(__xludf.DUMMYFUNCTION("googletranslate(D5592,""id"",""en"")"),"PPKM is not a policy of origin made. But based on input by many parties.")</f>
        <v>PPKM is not a policy of origin made. But based on input by many parties.</v>
      </c>
    </row>
    <row r="5593" ht="15.75" customHeight="1">
      <c r="A5593" s="2">
        <v>5596.0</v>
      </c>
      <c r="B5593" s="5" t="s">
        <v>10248</v>
      </c>
      <c r="C5593" s="6">
        <v>2.0</v>
      </c>
      <c r="D5593" s="7" t="s">
        <v>10248</v>
      </c>
      <c r="E5593" s="8" t="str">
        <f>IFERROR(__xludf.DUMMYFUNCTION("googletranslate(D5593,""id"",""en"")"),"ppkm extended until I find a punchline")</f>
        <v>ppkm extended until I find a punchline</v>
      </c>
    </row>
    <row r="5594" ht="15.75" customHeight="1">
      <c r="A5594" s="2">
        <v>5597.0</v>
      </c>
      <c r="B5594" s="5" t="s">
        <v>10249</v>
      </c>
      <c r="C5594" s="6">
        <v>2.0</v>
      </c>
      <c r="D5594" s="9" t="s">
        <v>10249</v>
      </c>
      <c r="E5594" s="8" t="str">
        <f>IFERROR(__xludf.DUMMYFUNCTION("googletranslate(D5594,""id"",""en"")"),"PPKM extended to Lufy and the crew have met Raftel Island")</f>
        <v>PPKM extended to Lufy and the crew have met Raftel Island</v>
      </c>
    </row>
    <row r="5595" ht="15.75" customHeight="1">
      <c r="A5595" s="2">
        <v>5598.0</v>
      </c>
      <c r="B5595" s="5" t="s">
        <v>10250</v>
      </c>
      <c r="C5595" s="6">
        <v>2.0</v>
      </c>
      <c r="D5595" s="7" t="s">
        <v>10250</v>
      </c>
      <c r="E5595" s="8" t="str">
        <f>IFERROR(__xludf.DUMMYFUNCTION("googletranslate(D5595,""id"",""en"")"),"PPKM extended to Kim Sunoo Really Pink Hair")</f>
        <v>PPKM extended to Kim Sunoo Really Pink Hair</v>
      </c>
    </row>
    <row r="5596" ht="15.75" customHeight="1">
      <c r="A5596" s="2">
        <v>5599.0</v>
      </c>
      <c r="B5596" s="5" t="s">
        <v>10251</v>
      </c>
      <c r="C5596" s="6">
        <v>1.0</v>
      </c>
      <c r="D5596" s="9" t="s">
        <v>10252</v>
      </c>
      <c r="E5596" s="8" t="str">
        <f>IFERROR(__xludf.DUMMYFUNCTION("googletranslate(D5596,""id"",""en"")"),"PPKM extended continuously, I when I left this house")</f>
        <v>PPKM extended continuously, I when I left this house</v>
      </c>
    </row>
    <row r="5597" ht="15.75" customHeight="1">
      <c r="A5597" s="2">
        <v>5600.0</v>
      </c>
      <c r="B5597" s="5" t="s">
        <v>10253</v>
      </c>
      <c r="C5597" s="6">
        <v>1.0</v>
      </c>
      <c r="D5597" s="9" t="s">
        <v>10254</v>
      </c>
      <c r="E5597" s="8" t="str">
        <f>IFERROR(__xludf.DUMMYFUNCTION("googletranslate(D5597,""id"",""en"")"),"Not satisfied for the people to suffer? Publish three instructions for extending PPKM level")</f>
        <v>Not satisfied for the people to suffer? Publish three instructions for extending PPKM level</v>
      </c>
    </row>
    <row r="5598" ht="15.75" customHeight="1">
      <c r="A5598" s="2">
        <v>5601.0</v>
      </c>
      <c r="B5598" s="5" t="s">
        <v>10255</v>
      </c>
      <c r="C5598" s="6">
        <v>1.0</v>
      </c>
      <c r="D5598" s="7" t="s">
        <v>10256</v>
      </c>
      <c r="E5598" s="8" t="str">
        <f>IFERROR(__xludf.DUMMYFUNCTION("googletranslate(D5598,""id"",""en"")"),"It's still the morning of the devil just arrived using gojek after the ppkm was mall, it was hurried in the intercourse of the Satpol")</f>
        <v>It's still the morning of the devil just arrived using gojek after the ppkm was mall, it was hurried in the intercourse of the Satpol</v>
      </c>
    </row>
    <row r="5599" ht="15.75" customHeight="1">
      <c r="A5599" s="2">
        <v>5602.0</v>
      </c>
      <c r="B5599" s="5" t="s">
        <v>10257</v>
      </c>
      <c r="C5599" s="6">
        <v>2.0</v>
      </c>
      <c r="D5599" s="7" t="s">
        <v>10258</v>
      </c>
      <c r="E5599" s="8" t="str">
        <f>IFERROR(__xludf.DUMMYFUNCTION("googletranslate(D5599,""id"",""en"")"),"ppkm harini tntung jar")</f>
        <v>ppkm harini tntung jar</v>
      </c>
    </row>
    <row r="5600" ht="15.75" customHeight="1">
      <c r="A5600" s="2">
        <v>5603.0</v>
      </c>
      <c r="B5600" s="5" t="s">
        <v>10259</v>
      </c>
      <c r="C5600" s="6">
        <v>2.0</v>
      </c>
      <c r="D5600" s="9" t="s">
        <v>10260</v>
      </c>
      <c r="E5600" s="8" t="str">
        <f>IFERROR(__xludf.DUMMYFUNCTION("googletranslate(D5600,""id"",""en"")"),"Sharpel at Kala PPKM. His bouquets just bravely blew up, entering the village, forest, times. The city is tomorrow, if it has improved.")</f>
        <v>Sharpel at Kala PPKM. His bouquets just bravely blew up, entering the village, forest, times. The city is tomorrow, if it has improved.</v>
      </c>
    </row>
    <row r="5601" ht="15.75" customHeight="1">
      <c r="A5601" s="2">
        <v>5604.0</v>
      </c>
      <c r="B5601" s="5" t="s">
        <v>10261</v>
      </c>
      <c r="C5601" s="6">
        <v>1.0</v>
      </c>
      <c r="D5601" s="7" t="s">
        <v>10262</v>
      </c>
      <c r="E5601" s="8" t="str">
        <f>IFERROR(__xludf.DUMMYFUNCTION("googletranslate(D5601,""id"",""en"")"),"With this I decided to extend the budget bansos added soon to be shared. Then the $ number ppkm-level where the banper is checked, it doesn't receive it then ..")</f>
        <v>With this I decided to extend the budget bansos added soon to be shared. Then the $ number ppkm-level where the banper is checked, it doesn't receive it then ..</v>
      </c>
    </row>
    <row r="5602" ht="15.75" customHeight="1">
      <c r="A5602" s="2">
        <v>5605.0</v>
      </c>
      <c r="B5602" s="5" t="s">
        <v>10263</v>
      </c>
      <c r="C5602" s="6">
        <v>2.0</v>
      </c>
      <c r="D5602" s="7" t="s">
        <v>10264</v>
      </c>
      <c r="E5602" s="8" t="str">
        <f>IFERROR(__xludf.DUMMYFUNCTION("googletranslate(D5602,""id"",""en"")"),"The ppkm is extended by the mingucuma just repaid")</f>
        <v>The ppkm is extended by the mingucuma just repaid</v>
      </c>
    </row>
    <row r="5603" ht="15.75" customHeight="1">
      <c r="A5603" s="2">
        <v>5606.0</v>
      </c>
      <c r="B5603" s="5" t="s">
        <v>10265</v>
      </c>
      <c r="C5603" s="6">
        <v>2.0</v>
      </c>
      <c r="D5603" s="7" t="s">
        <v>10265</v>
      </c>
      <c r="E5603" s="8" t="str">
        <f>IFERROR(__xludf.DUMMYFUNCTION("googletranslate(D5603,""id"",""en"")"),"ppkm extended again huh")</f>
        <v>ppkm extended again huh</v>
      </c>
    </row>
    <row r="5604" ht="15.75" customHeight="1">
      <c r="A5604" s="2">
        <v>5607.0</v>
      </c>
      <c r="B5604" s="5" t="s">
        <v>10266</v>
      </c>
      <c r="C5604" s="6">
        <v>2.0</v>
      </c>
      <c r="D5604" s="7" t="s">
        <v>10267</v>
      </c>
      <c r="E5604" s="8" t="str">
        <f>IFERROR(__xludf.DUMMYFUNCTION("googletranslate(D5604,""id"",""en"")"),"When I copied, I asked my friend: ""Hoi Fren, not usually your face folded so, what's wrong ???"" My friend answered: ""This morning, my wife was angry and sullen, he said:"" It should not be extended PPKM, but Have you left it! ""I was doing me")</f>
        <v>When I copied, I asked my friend: "Hoi Fren, not usually your face folded so, what's wrong ???" My friend answered: "This morning, my wife was angry and sullen, he said:" It should not be extended PPKM, but Have you left it! "I was doing me</v>
      </c>
    </row>
    <row r="5605" ht="15.75" customHeight="1">
      <c r="A5605" s="2">
        <v>5608.0</v>
      </c>
      <c r="B5605" s="5" t="s">
        <v>10268</v>
      </c>
      <c r="C5605" s="6">
        <v>2.0</v>
      </c>
      <c r="D5605" s="7" t="s">
        <v>10269</v>
      </c>
      <c r="E5605" s="8" t="str">
        <f>IFERROR(__xludf.DUMMYFUNCTION("googletranslate(D5605,""id"",""en"")"),"Again PPKM Sist, finished PPKM directly AMAD SM Wonu")</f>
        <v>Again PPKM Sist, finished PPKM directly AMAD SM Wonu</v>
      </c>
    </row>
    <row r="5606" ht="15.75" customHeight="1">
      <c r="A5606" s="2">
        <v>5609.0</v>
      </c>
      <c r="B5606" s="5" t="s">
        <v>10270</v>
      </c>
      <c r="C5606" s="6">
        <v>2.0</v>
      </c>
      <c r="D5606" s="7" t="s">
        <v>10270</v>
      </c>
      <c r="E5606" s="8" t="str">
        <f>IFERROR(__xludf.DUMMYFUNCTION("googletranslate(D5606,""id"",""en"")"),"Hear ""PPKM is extended again? Until when?")</f>
        <v>Hear "PPKM is extended again? Until when?</v>
      </c>
    </row>
    <row r="5607" ht="15.75" customHeight="1">
      <c r="A5607" s="2">
        <v>5610.0</v>
      </c>
      <c r="B5607" s="5" t="s">
        <v>10271</v>
      </c>
      <c r="C5607" s="6">
        <v>2.0</v>
      </c>
      <c r="D5607" s="7" t="s">
        <v>10271</v>
      </c>
      <c r="E5607" s="8" t="str">
        <f>IFERROR(__xludf.DUMMYFUNCTION("googletranslate(D5607,""id"",""en"")"),"PPKM is extended again! Want to be when daughter?")</f>
        <v>PPKM is extended again! Want to be when daughter?</v>
      </c>
    </row>
    <row r="5608" ht="15.75" customHeight="1">
      <c r="A5608" s="2">
        <v>5611.0</v>
      </c>
      <c r="B5608" s="5" t="s">
        <v>10272</v>
      </c>
      <c r="C5608" s="6">
        <v>1.0</v>
      </c>
      <c r="D5608" s="7" t="s">
        <v>10273</v>
      </c>
      <c r="E5608" s="8" t="str">
        <f>IFERROR(__xludf.DUMMYFUNCTION("googletranslate(D5608,""id"",""en"")"),"Have a conscience, aka Ga Ngadin Party When PPKM Cok")</f>
        <v>Have a conscience, aka Ga Ngadin Party When PPKM Cok</v>
      </c>
    </row>
    <row r="5609" ht="15.75" customHeight="1">
      <c r="A5609" s="2">
        <v>5612.0</v>
      </c>
      <c r="B5609" s="5" t="s">
        <v>10274</v>
      </c>
      <c r="C5609" s="6">
        <v>1.0</v>
      </c>
      <c r="D5609" s="9" t="s">
        <v>10275</v>
      </c>
      <c r="E5609" s="8" t="str">
        <f>IFERROR(__xludf.DUMMYFUNCTION("googletranslate(D5609,""id"",""en"")"),"August I started PKL, Pliss! Yakalik was resolved again, Gegara PPKM was extended.")</f>
        <v>August I started PKL, Pliss! Yakalik was resolved again, Gegara PPKM was extended.</v>
      </c>
    </row>
    <row r="5610" ht="15.75" customHeight="1">
      <c r="A5610" s="2">
        <v>5613.0</v>
      </c>
      <c r="B5610" s="5" t="s">
        <v>10276</v>
      </c>
      <c r="C5610" s="6">
        <v>1.0</v>
      </c>
      <c r="D5610" s="9" t="s">
        <v>10276</v>
      </c>
      <c r="E5610" s="8" t="str">
        <f>IFERROR(__xludf.DUMMYFUNCTION("googletranslate(D5610,""id"",""en"")"),"PPKM concept friends on debt bills, next week next week mulu.")</f>
        <v>PPKM concept friends on debt bills, next week next week mulu.</v>
      </c>
    </row>
    <row r="5611" ht="15.75" customHeight="1">
      <c r="A5611" s="2">
        <v>5614.0</v>
      </c>
      <c r="B5611" s="5" t="s">
        <v>10277</v>
      </c>
      <c r="C5611" s="6">
        <v>2.0</v>
      </c>
      <c r="D5611" s="10" t="s">
        <v>10278</v>
      </c>
      <c r="E5611" s="8" t="str">
        <f>IFERROR(__xludf.DUMMYFUNCTION("googletranslate(D5611,""id"",""en"")"),"Oh yes, ppkm")</f>
        <v>Oh yes, ppkm</v>
      </c>
    </row>
    <row r="5612" ht="15.75" customHeight="1">
      <c r="A5612" s="2">
        <v>5615.0</v>
      </c>
      <c r="B5612" s="5" t="s">
        <v>10279</v>
      </c>
      <c r="C5612" s="6">
        <v>3.0</v>
      </c>
      <c r="D5612" s="7" t="s">
        <v>10280</v>
      </c>
      <c r="E5612" s="8" t="str">
        <f>IFERROR(__xludf.DUMMYFUNCTION("googletranslate(D5612,""id"",""en"")"),"The District of the District year supports the implementation of the PPKM")</f>
        <v>The District of the District year supports the implementation of the PPKM</v>
      </c>
    </row>
    <row r="5613" ht="15.75" customHeight="1">
      <c r="A5613" s="2">
        <v>5616.0</v>
      </c>
      <c r="B5613" s="5" t="s">
        <v>10281</v>
      </c>
      <c r="C5613" s="6">
        <v>3.0</v>
      </c>
      <c r="D5613" s="7" t="s">
        <v>10282</v>
      </c>
      <c r="E5613" s="8" t="str">
        <f>IFERROR(__xludf.DUMMYFUNCTION("googletranslate(D5613,""id"",""en"")"),"The Society of Tamako District supports the implementation of PPKM")</f>
        <v>The Society of Tamako District supports the implementation of PPKM</v>
      </c>
    </row>
    <row r="5614" ht="15.75" customHeight="1">
      <c r="A5614" s="2">
        <v>5617.0</v>
      </c>
      <c r="B5614" s="5" t="s">
        <v>10283</v>
      </c>
      <c r="C5614" s="6">
        <v>3.0</v>
      </c>
      <c r="D5614" s="7" t="s">
        <v>10284</v>
      </c>
      <c r="E5614" s="8" t="str">
        <f>IFERROR(__xludf.DUMMYFUNCTION("googletranslate(D5614,""id"",""en"")"),"Assalamualaikum Wr Wbmet Morning Met Activities, Fixed Discipline Prokes, Cat of PPKM, Keep Spirit with Red and White")</f>
        <v>Assalamualaikum Wr Wbmet Morning Met Activities, Fixed Discipline Prokes, Cat of PPKM, Keep Spirit with Red and White</v>
      </c>
    </row>
    <row r="5615" ht="15.75" customHeight="1">
      <c r="A5615" s="2">
        <v>5618.0</v>
      </c>
      <c r="B5615" s="5" t="s">
        <v>10285</v>
      </c>
      <c r="C5615" s="6">
        <v>1.0</v>
      </c>
      <c r="D5615" s="7" t="s">
        <v>10286</v>
      </c>
      <c r="E5615" s="8" t="str">
        <f>IFERROR(__xludf.DUMMYFUNCTION("googletranslate(D5615,""id"",""en"")"),"Storough Administration This makes it very tired. Taste dipingpong here and there. Moreover, the PPKM is the reason all doesn't serve offline. Then everything is off, huh?")</f>
        <v>Storough Administration This makes it very tired. Taste dipingpong here and there. Moreover, the PPKM is the reason all doesn't serve offline. Then everything is off, huh?</v>
      </c>
    </row>
    <row r="5616" ht="15.75" customHeight="1">
      <c r="A5616" s="2">
        <v>5619.0</v>
      </c>
      <c r="B5616" s="5" t="s">
        <v>10287</v>
      </c>
      <c r="C5616" s="6">
        <v>2.0</v>
      </c>
      <c r="D5616" s="7" t="s">
        <v>10288</v>
      </c>
      <c r="E5616" s="8" t="str">
        <f>IFERROR(__xludf.DUMMYFUNCTION("googletranslate(D5616,""id"",""en"")"),"PPKM extended relations")</f>
        <v>PPKM extended relations</v>
      </c>
    </row>
    <row r="5617" ht="15.75" customHeight="1">
      <c r="A5617" s="2">
        <v>5620.0</v>
      </c>
      <c r="B5617" s="5" t="s">
        <v>10289</v>
      </c>
      <c r="C5617" s="6">
        <v>1.0</v>
      </c>
      <c r="D5617" s="9" t="s">
        <v>10289</v>
      </c>
      <c r="E5617" s="8" t="str">
        <f>IFERROR(__xludf.DUMMYFUNCTION("googletranslate(D5617,""id"",""en"")"),"PPKM is extended, my suffering at home is also extended ...")</f>
        <v>PPKM is extended, my suffering at home is also extended ...</v>
      </c>
    </row>
    <row r="5618" ht="15.75" customHeight="1">
      <c r="A5618" s="2">
        <v>5621.0</v>
      </c>
      <c r="B5618" s="5" t="s">
        <v>10290</v>
      </c>
      <c r="C5618" s="6">
        <v>1.0</v>
      </c>
      <c r="D5618" s="7" t="s">
        <v>10290</v>
      </c>
      <c r="E5618" s="8" t="str">
        <f>IFERROR(__xludf.DUMMYFUNCTION("googletranslate(D5618,""id"",""en"")"),"PPKM extended, want to slam")</f>
        <v>PPKM extended, want to slam</v>
      </c>
    </row>
    <row r="5619" ht="15.75" customHeight="1">
      <c r="A5619" s="2">
        <v>5622.0</v>
      </c>
      <c r="B5619" s="5" t="s">
        <v>10291</v>
      </c>
      <c r="C5619" s="6">
        <v>2.0</v>
      </c>
      <c r="D5619" s="7" t="s">
        <v>10292</v>
      </c>
      <c r="E5619" s="8" t="str">
        <f>IFERROR(__xludf.DUMMYFUNCTION("googletranslate(D5619,""id"",""en"")"),"Even though the PPKM is not extended as well as the gini2 live")</f>
        <v>Even though the PPKM is not extended as well as the gini2 live</v>
      </c>
    </row>
    <row r="5620" ht="15.75" customHeight="1">
      <c r="A5620" s="2">
        <v>5623.0</v>
      </c>
      <c r="B5620" s="5" t="s">
        <v>10293</v>
      </c>
      <c r="C5620" s="6">
        <v>3.0</v>
      </c>
      <c r="D5620" s="7" t="s">
        <v>10294</v>
      </c>
      <c r="E5620" s="8" t="str">
        <f>IFERROR(__xludf.DUMMYFUNCTION("googletranslate(D5620,""id"",""en"")"),"Even though the PPKM must work ... work can increase immune.")</f>
        <v>Even though the PPKM must work ... work can increase immune.</v>
      </c>
    </row>
    <row r="5621" ht="15.75" customHeight="1">
      <c r="A5621" s="2">
        <v>5624.0</v>
      </c>
      <c r="B5621" s="5" t="s">
        <v>10295</v>
      </c>
      <c r="C5621" s="6">
        <v>2.0</v>
      </c>
      <c r="D5621" s="9" t="s">
        <v>10295</v>
      </c>
      <c r="E5621" s="8" t="str">
        <f>IFERROR(__xludf.DUMMYFUNCTION("googletranslate(D5621,""id"",""en"")"),"The ppkm is extended until you want to chat me first")</f>
        <v>The ppkm is extended until you want to chat me first</v>
      </c>
    </row>
    <row r="5622" ht="15.75" customHeight="1">
      <c r="A5622" s="2">
        <v>5625.0</v>
      </c>
      <c r="B5622" s="5" t="s">
        <v>10296</v>
      </c>
      <c r="C5622" s="6">
        <v>1.0</v>
      </c>
      <c r="D5622" s="9" t="s">
        <v>10297</v>
      </c>
      <c r="E5622" s="8" t="str">
        <f>IFERROR(__xludf.DUMMYFUNCTION("googletranslate(D5622,""id"",""en"")"),"There is a large brand of the total fleet, only operating dozens during this PPKM. means the bus crew is unemployed. Krn commercial buses between provincial cities are usually deposit systems. I was unemployedly multiplied by the members of the liverman.")</f>
        <v>There is a large brand of the total fleet, only operating dozens during this PPKM. means the bus crew is unemployed. Krn commercial buses between provincial cities are usually deposit systems. I was unemployedly multiplied by the members of the liverman.</v>
      </c>
    </row>
    <row r="5623" ht="15.75" customHeight="1">
      <c r="A5623" s="2">
        <v>5626.0</v>
      </c>
      <c r="B5623" s="5" t="s">
        <v>10298</v>
      </c>
      <c r="C5623" s="6">
        <v>1.0</v>
      </c>
      <c r="D5623" s="9" t="s">
        <v>10299</v>
      </c>
      <c r="E5623" s="8" t="str">
        <f>IFERROR(__xludf.DUMMYFUNCTION("googletranslate(D5623,""id"",""en"")"),"If the PPKM level is successful, what are you extended.")</f>
        <v>If the PPKM level is successful, what are you extended.</v>
      </c>
    </row>
    <row r="5624" ht="15.75" customHeight="1">
      <c r="A5624" s="2">
        <v>5627.0</v>
      </c>
      <c r="B5624" s="5" t="s">
        <v>10300</v>
      </c>
      <c r="C5624" s="6">
        <v>1.0</v>
      </c>
      <c r="D5624" s="7" t="s">
        <v>10301</v>
      </c>
      <c r="E5624" s="8" t="str">
        <f>IFERROR(__xludf.DUMMYFUNCTION("googletranslate(D5624,""id"",""en"")"),"PPKMPElanPelanKemudianMenghilang.")</f>
        <v>PPKMPElanPelanKemudianMenghilang.</v>
      </c>
    </row>
    <row r="5625" ht="15.75" customHeight="1">
      <c r="A5625" s="2">
        <v>5628.0</v>
      </c>
      <c r="B5625" s="5" t="s">
        <v>10302</v>
      </c>
      <c r="C5625" s="6">
        <v>1.0</v>
      </c>
      <c r="D5625" s="7" t="s">
        <v>10303</v>
      </c>
      <c r="E5625" s="8" t="str">
        <f>IFERROR(__xludf.DUMMYFUNCTION("googletranslate(D5625,""id"",""en"")"),"I don't work poor work, Gegara PPKM")</f>
        <v>I don't work poor work, Gegara PPKM</v>
      </c>
    </row>
    <row r="5626" ht="15.75" customHeight="1">
      <c r="A5626" s="2">
        <v>5629.0</v>
      </c>
      <c r="B5626" s="5" t="s">
        <v>10304</v>
      </c>
      <c r="C5626" s="6">
        <v>2.0</v>
      </c>
      <c r="D5626" s="9" t="s">
        <v>10305</v>
      </c>
      <c r="E5626" s="8" t="str">
        <f>IFERROR(__xludf.DUMMYFUNCTION("googletranslate(D5626,""id"",""en"")"),"My father works in guava two likes to service laptops and computers and PPKM still extend (he said) until August. If you want a laptop service, my father can. if interest, just in DM hehe")</f>
        <v>My father works in guava two likes to service laptops and computers and PPKM still extend (he said) until August. If you want a laptop service, my father can. if interest, just in DM hehe</v>
      </c>
    </row>
    <row r="5627" ht="15.75" customHeight="1">
      <c r="A5627" s="2">
        <v>5630.0</v>
      </c>
      <c r="B5627" s="5" t="s">
        <v>10306</v>
      </c>
      <c r="C5627" s="6">
        <v>2.0</v>
      </c>
      <c r="D5627" s="7" t="s">
        <v>10307</v>
      </c>
      <c r="E5627" s="8" t="str">
        <f>IFERROR(__xludf.DUMMYFUNCTION("googletranslate(D5627,""id"",""en"")"),"Ppkm extended until the woman can say ""sorry I'm the wrong"" ..")</f>
        <v>Ppkm extended until the woman can say "sorry I'm the wrong" ..</v>
      </c>
    </row>
    <row r="5628" ht="15.75" customHeight="1">
      <c r="A5628" s="2">
        <v>5631.0</v>
      </c>
      <c r="B5628" s="5" t="s">
        <v>10308</v>
      </c>
      <c r="C5628" s="6">
        <v>2.0</v>
      </c>
      <c r="D5628" s="7" t="s">
        <v>10308</v>
      </c>
      <c r="E5628" s="8" t="str">
        <f>IFERROR(__xludf.DUMMYFUNCTION("googletranslate(D5628,""id"",""en"")"),"PPKM last night on a YouTube account on Kompas TV K")</f>
        <v>PPKM last night on a YouTube account on Kompas TV K</v>
      </c>
    </row>
    <row r="5629" ht="15.75" customHeight="1">
      <c r="A5629" s="2">
        <v>5632.0</v>
      </c>
      <c r="B5629" s="5" t="s">
        <v>10309</v>
      </c>
      <c r="C5629" s="6">
        <v>3.0</v>
      </c>
      <c r="D5629" s="9" t="s">
        <v>10310</v>
      </c>
      <c r="E5629" s="8" t="str">
        <f>IFERROR(__xludf.DUMMYFUNCTION("googletranslate(D5629,""id"",""en"")"),"Good morning all ... Don't forget breakfast, keep your health DNA don't forget to always be happy ... Even though the PPKM is extended ... Semaaaatang ..")</f>
        <v>Good morning all ... Don't forget breakfast, keep your health DNA don't forget to always be happy ... Even though the PPKM is extended ... Semaaaatang ..</v>
      </c>
    </row>
    <row r="5630" ht="15.75" customHeight="1">
      <c r="A5630" s="2">
        <v>5633.0</v>
      </c>
      <c r="B5630" s="5" t="s">
        <v>10311</v>
      </c>
      <c r="C5630" s="6">
        <v>3.0</v>
      </c>
      <c r="D5630" s="7" t="s">
        <v>10312</v>
      </c>
      <c r="E5630" s="8" t="str">
        <f>IFERROR(__xludf.DUMMYFUNCTION("googletranslate(D5630,""id"",""en"")"),"Alhamdulillah, not just following the PPKM, but also pay attention and PPKM facilities")</f>
        <v>Alhamdulillah, not just following the PPKM, but also pay attention and PPKM facilities</v>
      </c>
    </row>
    <row r="5631" ht="15.75" customHeight="1">
      <c r="A5631" s="2">
        <v>5634.0</v>
      </c>
      <c r="B5631" s="5" t="s">
        <v>10313</v>
      </c>
      <c r="C5631" s="6">
        <v>3.0</v>
      </c>
      <c r="D5631" s="7" t="s">
        <v>10314</v>
      </c>
      <c r="E5631" s="8" t="str">
        <f>IFERROR(__xludf.DUMMYFUNCTION("googletranslate(D5631,""id"",""en"")"),"If you don't have another proposal that lbh is effective ... just a ppkm.")</f>
        <v>If you don't have another proposal that lbh is effective ... just a ppkm.</v>
      </c>
    </row>
    <row r="5632" ht="15.75" customHeight="1">
      <c r="A5632" s="2">
        <v>5635.0</v>
      </c>
      <c r="B5632" s="5" t="s">
        <v>10315</v>
      </c>
      <c r="C5632" s="6">
        <v>3.0</v>
      </c>
      <c r="D5632" s="7" t="s">
        <v>10316</v>
      </c>
      <c r="E5632" s="8" t="str">
        <f>IFERROR(__xludf.DUMMYFUNCTION("googletranslate(D5632,""id"",""en"")"),"Inspiration of activities to fill out the PPKM day")</f>
        <v>Inspiration of activities to fill out the PPKM day</v>
      </c>
    </row>
    <row r="5633" ht="15.75" customHeight="1">
      <c r="A5633" s="2">
        <v>5636.0</v>
      </c>
      <c r="B5633" s="5" t="s">
        <v>10317</v>
      </c>
      <c r="C5633" s="6">
        <v>1.0</v>
      </c>
      <c r="D5633" s="9" t="s">
        <v>10318</v>
      </c>
      <c r="E5633" s="8" t="str">
        <f>IFERROR(__xludf.DUMMYFUNCTION("googletranslate(D5633,""id"",""en"")"),"Really, so it's really sad, because my friend has something to stop college, because PPKM is again, it can't be able to get rid of it.")</f>
        <v>Really, so it's really sad, because my friend has something to stop college, because PPKM is again, it can't be able to get rid of it.</v>
      </c>
    </row>
    <row r="5634" ht="15.75" customHeight="1">
      <c r="A5634" s="2">
        <v>5637.0</v>
      </c>
      <c r="B5634" s="5" t="s">
        <v>10319</v>
      </c>
      <c r="C5634" s="6">
        <v>3.0</v>
      </c>
      <c r="D5634" s="7" t="s">
        <v>10320</v>
      </c>
      <c r="E5634" s="8" t="str">
        <f>IFERROR(__xludf.DUMMYFUNCTION("googletranslate(D5634,""id"",""en"")"),"Agree PPKM extended if this is how, all the girls go down the demo using a bikini, so increase the immune.")</f>
        <v>Agree PPKM extended if this is how, all the girls go down the demo using a bikini, so increase the immune.</v>
      </c>
    </row>
    <row r="5635" ht="15.75" customHeight="1">
      <c r="A5635" s="2">
        <v>5638.0</v>
      </c>
      <c r="B5635" s="5" t="s">
        <v>10321</v>
      </c>
      <c r="C5635" s="6">
        <v>1.0</v>
      </c>
      <c r="D5635" s="7" t="s">
        <v>10321</v>
      </c>
      <c r="E5635" s="8" t="str">
        <f>IFERROR(__xludf.DUMMYFUNCTION("googletranslate(D5635,""id"",""en"")"),"Mr. Jog Kok PPKM extended to, my dizziness")</f>
        <v>Mr. Jog Kok PPKM extended to, my dizziness</v>
      </c>
    </row>
    <row r="5636" ht="15.75" customHeight="1">
      <c r="A5636" s="2">
        <v>5639.0</v>
      </c>
      <c r="B5636" s="5" t="s">
        <v>10322</v>
      </c>
      <c r="C5636" s="6">
        <v>1.0</v>
      </c>
      <c r="D5636" s="7" t="s">
        <v>10323</v>
      </c>
      <c r="E5636" s="8" t="str">
        <f>IFERROR(__xludf.DUMMYFUNCTION("googletranslate(D5636,""id"",""en"")"),"It was said that a week would not look like a long time, it was already a month for PPKM. The bansos are not until, the data is not synchronous. Weve the basis of Irish Dagelan State")</f>
        <v>It was said that a week would not look like a long time, it was already a month for PPKM. The bansos are not until, the data is not synchronous. Weve the basis of Irish Dagelan State</v>
      </c>
    </row>
    <row r="5637" ht="15.75" customHeight="1">
      <c r="A5637" s="2">
        <v>5640.0</v>
      </c>
      <c r="B5637" s="5" t="s">
        <v>10324</v>
      </c>
      <c r="C5637" s="6">
        <v>1.0</v>
      </c>
      <c r="D5637" s="9" t="s">
        <v>10325</v>
      </c>
      <c r="E5637" s="8" t="str">
        <f>IFERROR(__xludf.DUMMYFUNCTION("googletranslate(D5637,""id"",""en"")"),"Ppkm just the people have been shouted, moreover Lokdon, I think you're going back and forth with home coming home")</f>
        <v>Ppkm just the people have been shouted, moreover Lokdon, I think you're going back and forth with home coming home</v>
      </c>
    </row>
    <row r="5638" ht="15.75" customHeight="1">
      <c r="A5638" s="2">
        <v>5641.0</v>
      </c>
      <c r="B5638" s="5" t="s">
        <v>10326</v>
      </c>
      <c r="C5638" s="6">
        <v>1.0</v>
      </c>
      <c r="D5638" s="7" t="s">
        <v>10327</v>
      </c>
      <c r="E5638" s="8" t="str">
        <f>IFERROR(__xludf.DUMMYFUNCTION("googletranslate(D5638,""id"",""en"")"),"I am a Father's voter in the period ... but I was very disappointed with the extension of the PPKM, the company where I worked was threatened with unable to pay employee salaries, and there was no cost for the company's operations ... Disappointed with th"&amp;"e policy of you")</f>
        <v>I am a Father's voter in the period ... but I was very disappointed with the extension of the PPKM, the company where I worked was threatened with unable to pay employee salaries, and there was no cost for the company's operations ... Disappointed with the policy of you</v>
      </c>
    </row>
    <row r="5639" ht="15.75" customHeight="1">
      <c r="A5639" s="2">
        <v>5642.0</v>
      </c>
      <c r="B5639" s="5" t="s">
        <v>10328</v>
      </c>
      <c r="C5639" s="6">
        <v>2.0</v>
      </c>
      <c r="D5639" s="7" t="s">
        <v>10329</v>
      </c>
      <c r="E5639" s="8" t="str">
        <f>IFERROR(__xludf.DUMMYFUNCTION("googletranslate(D5639,""id"",""en"")"),"Udh said but still the PPKM was extended")</f>
        <v>Udh said but still the PPKM was extended</v>
      </c>
    </row>
    <row r="5640" ht="15.75" customHeight="1">
      <c r="A5640" s="2">
        <v>5643.0</v>
      </c>
      <c r="B5640" s="5" t="s">
        <v>10330</v>
      </c>
      <c r="C5640" s="6">
        <v>1.0</v>
      </c>
      <c r="D5640" s="9" t="s">
        <v>10330</v>
      </c>
      <c r="E5640" s="8" t="str">
        <f>IFERROR(__xludf.DUMMYFUNCTION("googletranslate(D5640,""id"",""en"")"),"ppkm mulu bgst finished kaga covid")</f>
        <v>ppkm mulu bgst finished kaga covid</v>
      </c>
    </row>
    <row r="5641" ht="15.75" customHeight="1">
      <c r="A5641" s="2">
        <v>5644.0</v>
      </c>
      <c r="B5641" s="5" t="s">
        <v>10331</v>
      </c>
      <c r="C5641" s="6">
        <v>2.0</v>
      </c>
      <c r="D5641" s="7" t="s">
        <v>10331</v>
      </c>
      <c r="E5641" s="8" t="str">
        <f>IFERROR(__xludf.DUMMYFUNCTION("googletranslate(D5641,""id"",""en"")"),"-Rek Info Dong who traveled Malang-Surabaya During this PPKM ride the train / bus?")</f>
        <v>-Rek Info Dong who traveled Malang-Surabaya During this PPKM ride the train / bus?</v>
      </c>
    </row>
    <row r="5642" ht="15.75" customHeight="1">
      <c r="A5642" s="2">
        <v>5645.0</v>
      </c>
      <c r="B5642" s="5" t="s">
        <v>10332</v>
      </c>
      <c r="C5642" s="6">
        <v>2.0</v>
      </c>
      <c r="D5642" s="9" t="s">
        <v>10333</v>
      </c>
      <c r="E5642" s="8" t="str">
        <f>IFERROR(__xludf.DUMMYFUNCTION("googletranslate(D5642,""id"",""en"")"),"PPKM (Papa Pingin Works Maa ...) Level of Piro Iki Rubur")</f>
        <v>PPKM (Papa Pingin Works Maa ...) Level of Piro Iki Rubur</v>
      </c>
    </row>
    <row r="5643" ht="15.75" customHeight="1">
      <c r="A5643" s="2">
        <v>5646.0</v>
      </c>
      <c r="B5643" s="5" t="s">
        <v>10334</v>
      </c>
      <c r="C5643" s="6">
        <v>1.0</v>
      </c>
      <c r="D5643" s="9" t="s">
        <v>10335</v>
      </c>
      <c r="E5643" s="8" t="str">
        <f>IFERROR(__xludf.DUMMYFUNCTION("googletranslate(D5643,""id"",""en"")"),"They are not sleepy. Hungry. Every friend to see breakfast. Invites quickly departing before being intercepted by PPKM officers.")</f>
        <v>They are not sleepy. Hungry. Every friend to see breakfast. Invites quickly departing before being intercepted by PPKM officers.</v>
      </c>
    </row>
    <row r="5644" ht="15.75" customHeight="1">
      <c r="A5644" s="2">
        <v>5647.0</v>
      </c>
      <c r="B5644" s="5" t="s">
        <v>10336</v>
      </c>
      <c r="C5644" s="6">
        <v>1.0</v>
      </c>
      <c r="D5644" s="9" t="s">
        <v>10336</v>
      </c>
      <c r="E5644" s="8" t="str">
        <f>IFERROR(__xludf.DUMMYFUNCTION("googletranslate(D5644,""id"",""en"")"),"Too force, already know PPKM")</f>
        <v>Too force, already know PPKM</v>
      </c>
    </row>
    <row r="5645" ht="15.75" customHeight="1">
      <c r="A5645" s="2">
        <v>5648.0</v>
      </c>
      <c r="B5645" s="5" t="s">
        <v>10337</v>
      </c>
      <c r="C5645" s="6">
        <v>2.0</v>
      </c>
      <c r="D5645" s="7" t="s">
        <v>10338</v>
      </c>
      <c r="E5645" s="8" t="str">
        <f>IFERROR(__xludf.DUMMYFUNCTION("googletranslate(D5645,""id"",""en"")"),"Morning Ren, Abis PPKM Kudu Nyoto Yes")</f>
        <v>Morning Ren, Abis PPKM Kudu Nyoto Yes</v>
      </c>
    </row>
    <row r="5646" ht="15.75" customHeight="1">
      <c r="A5646" s="2">
        <v>5649.0</v>
      </c>
      <c r="B5646" s="5" t="s">
        <v>10339</v>
      </c>
      <c r="C5646" s="6">
        <v>1.0</v>
      </c>
      <c r="D5646" s="7" t="s">
        <v>10339</v>
      </c>
      <c r="E5646" s="8" t="str">
        <f>IFERROR(__xludf.DUMMYFUNCTION("googletranslate(D5646,""id"",""en"")"),"How come there are people happy ppkm extended")</f>
        <v>How come there are people happy ppkm extended</v>
      </c>
    </row>
    <row r="5647" ht="15.75" customHeight="1">
      <c r="A5647" s="2">
        <v>5650.0</v>
      </c>
      <c r="B5647" s="5" t="s">
        <v>10340</v>
      </c>
      <c r="C5647" s="6">
        <v>1.0</v>
      </c>
      <c r="D5647" s="9" t="s">
        <v>10341</v>
      </c>
      <c r="E5647" s="8" t="str">
        <f>IFERROR(__xludf.DUMMYFUNCTION("googletranslate(D5647,""id"",""en"")"),"Ppkm extended and many who advise me with the word patience ... we can definitely pass all, for the sake of the community ... let's support jokowi ... blah blah blah..telek blettek ...")</f>
        <v>Ppkm extended and many who advise me with the word patience ... we can definitely pass all, for the sake of the community ... let's support jokowi ... blah blah blah..telek blettek ...</v>
      </c>
    </row>
    <row r="5648" ht="15.75" customHeight="1">
      <c r="A5648" s="2">
        <v>5651.0</v>
      </c>
      <c r="B5648" s="5" t="s">
        <v>10342</v>
      </c>
      <c r="C5648" s="6">
        <v>2.0</v>
      </c>
      <c r="D5648" s="7" t="s">
        <v>10343</v>
      </c>
      <c r="E5648" s="8" t="str">
        <f>IFERROR(__xludf.DUMMYFUNCTION("googletranslate(D5648,""id"",""en"")"),"Stayed Kan PPKM also finished")</f>
        <v>Stayed Kan PPKM also finished</v>
      </c>
    </row>
    <row r="5649" ht="15.75" customHeight="1">
      <c r="A5649" s="2">
        <v>5652.0</v>
      </c>
      <c r="B5649" s="5" t="s">
        <v>10344</v>
      </c>
      <c r="C5649" s="6">
        <v>2.0</v>
      </c>
      <c r="D5649" s="10" t="s">
        <v>10344</v>
      </c>
      <c r="E5649" s="8" t="str">
        <f>IFERROR(__xludf.DUMMYFUNCTION("googletranslate(D5649,""id"",""en"")"),"Masi PPKM LG.")</f>
        <v>Masi PPKM LG.</v>
      </c>
    </row>
    <row r="5650" ht="15.75" customHeight="1">
      <c r="A5650" s="2">
        <v>5653.0</v>
      </c>
      <c r="B5650" s="5" t="s">
        <v>10345</v>
      </c>
      <c r="C5650" s="6">
        <v>1.0</v>
      </c>
      <c r="D5650" s="9" t="s">
        <v>10345</v>
      </c>
      <c r="E5650" s="8" t="str">
        <f>IFERROR(__xludf.DUMMYFUNCTION("googletranslate(D5650,""id"",""en"")"),"If you use the quarantine law, if it fails aka it gets worse, the pandemal is sure to completely blame the president. If you use PPKM, if it fails to nanganin pandemic, yes the most leading governor is chosen, even though there is a PPKM Sgala Macem there"&amp;" must be policy every different area.")</f>
        <v>If you use the quarantine law, if it fails aka it gets worse, the pandemal is sure to completely blame the president. If you use PPKM, if it fails to nanganin pandemic, yes the most leading governor is chosen, even though there is a PPKM Sgala Macem there must be policy every different area.</v>
      </c>
    </row>
    <row r="5651" ht="15.75" customHeight="1">
      <c r="A5651" s="2">
        <v>5654.0</v>
      </c>
      <c r="B5651" s="5" t="s">
        <v>10346</v>
      </c>
      <c r="C5651" s="6">
        <v>1.0</v>
      </c>
      <c r="D5651" s="9" t="s">
        <v>10347</v>
      </c>
      <c r="E5651" s="8" t="str">
        <f>IFERROR(__xludf.DUMMYFUNCTION("googletranslate(D5651,""id"",""en"")"),"After all, the yee in the place, I haven't used the mask right to the mosque. TRS last day ngadin ngadain. No effective right? Only a few are just a few who want to obey PPKM. Kasian jg who mo married. Even though it can be the contract first. Huffffftttt")</f>
        <v>After all, the yee in the place, I haven't used the mask right to the mosque. TRS last day ngadin ngadain. No effective right? Only a few are just a few who want to obey PPKM. Kasian jg who mo married. Even though it can be the contract first. Huffffftttt</v>
      </c>
    </row>
    <row r="5652" ht="15.75" customHeight="1">
      <c r="A5652" s="2">
        <v>5655.0</v>
      </c>
      <c r="B5652" s="5" t="s">
        <v>10348</v>
      </c>
      <c r="C5652" s="6">
        <v>1.0</v>
      </c>
      <c r="D5652" s="7" t="s">
        <v>10349</v>
      </c>
      <c r="E5652" s="8" t="str">
        <f>IFERROR(__xludf.DUMMYFUNCTION("googletranslate(D5652,""id"",""en"")"),"Aja prank ppkm now")</f>
        <v>Aja prank ppkm now</v>
      </c>
    </row>
    <row r="5653" ht="15.75" customHeight="1">
      <c r="A5653" s="2">
        <v>5656.0</v>
      </c>
      <c r="B5653" s="5" t="s">
        <v>10350</v>
      </c>
      <c r="C5653" s="6">
        <v>1.0</v>
      </c>
      <c r="D5653" s="7" t="s">
        <v>10351</v>
      </c>
      <c r="E5653" s="8" t="str">
        <f>IFERROR(__xludf.DUMMYFUNCTION("googletranslate(D5653,""id"",""en"")"),"The worst president ... throughout Indonesia Merdeka ... who doesn't care about the suffering of small people ... it's obvious, many of the PPKM protests, actually listen to his minister. Try to be behind the position you guys officials and apparatus that"&amp;" the job due to PPKM must also protest right ??")</f>
        <v>The worst president ... throughout Indonesia Merdeka ... who doesn't care about the suffering of small people ... it's obvious, many of the PPKM protests, actually listen to his minister. Try to be behind the position you guys officials and apparatus that the job due to PPKM must also protest right ??</v>
      </c>
    </row>
    <row r="5654" ht="15.75" customHeight="1">
      <c r="A5654" s="2">
        <v>5657.0</v>
      </c>
      <c r="B5654" s="5" t="s">
        <v>10352</v>
      </c>
      <c r="C5654" s="6">
        <v>1.0</v>
      </c>
      <c r="D5654" s="9" t="s">
        <v>10353</v>
      </c>
      <c r="E5654" s="8" t="str">
        <f>IFERROR(__xludf.DUMMYFUNCTION("googletranslate(D5654,""id"",""en"")"),"Indonesian PMI index in July dropped. One of the causes because the PPKM policy that limits public purchasing power results in a slowdown in Money Velocity. Friends guard health! Hopefully Indonesia will improve immediately in terms of health and economy.")</f>
        <v>Indonesian PMI index in July dropped. One of the causes because the PPKM policy that limits public purchasing power results in a slowdown in Money Velocity. Friends guard health! Hopefully Indonesia will improve immediately in terms of health and economy.</v>
      </c>
    </row>
    <row r="5655" ht="15.75" customHeight="1">
      <c r="A5655" s="2">
        <v>5658.0</v>
      </c>
      <c r="B5655" s="5" t="s">
        <v>10354</v>
      </c>
      <c r="C5655" s="6">
        <v>3.0</v>
      </c>
      <c r="D5655" s="7" t="s">
        <v>10355</v>
      </c>
      <c r="E5655" s="8" t="str">
        <f>IFERROR(__xludf.DUMMYFUNCTION("googletranslate(D5655,""id"",""en"")"),"PPKM can add savings")</f>
        <v>PPKM can add savings</v>
      </c>
    </row>
    <row r="5656" ht="15.75" customHeight="1">
      <c r="A5656" s="2">
        <v>5659.0</v>
      </c>
      <c r="B5656" s="5" t="s">
        <v>10356</v>
      </c>
      <c r="C5656" s="6">
        <v>3.0</v>
      </c>
      <c r="D5656" s="9" t="s">
        <v>10357</v>
      </c>
      <c r="E5656" s="8" t="str">
        <f>IFERROR(__xludf.DUMMYFUNCTION("googletranslate(D5656,""id"",""en"")"),"Good morning the first day of the PPKM extension, may we always be strengthened, enabled, don't forget to install a red and white flag,")</f>
        <v>Good morning the first day of the PPKM extension, may we always be strengthened, enabled, don't forget to install a red and white flag,</v>
      </c>
    </row>
    <row r="5657" ht="15.75" customHeight="1">
      <c r="A5657" s="2">
        <v>5660.0</v>
      </c>
      <c r="B5657" s="5" t="s">
        <v>10358</v>
      </c>
      <c r="C5657" s="6">
        <v>1.0</v>
      </c>
      <c r="D5657" s="7" t="s">
        <v>10358</v>
      </c>
      <c r="E5657" s="8" t="str">
        <f>IFERROR(__xludf.DUMMYFUNCTION("googletranslate(D5657,""id"",""en"")"),"Extend the PPKM already rich in paylater installments. Add Teros")</f>
        <v>Extend the PPKM already rich in paylater installments. Add Teros</v>
      </c>
    </row>
    <row r="5658" ht="15.75" customHeight="1">
      <c r="A5658" s="2">
        <v>5661.0</v>
      </c>
      <c r="B5658" s="5" t="s">
        <v>10359</v>
      </c>
      <c r="C5658" s="6">
        <v>1.0</v>
      </c>
      <c r="D5658" s="7" t="s">
        <v>10360</v>
      </c>
      <c r="E5658" s="8" t="str">
        <f>IFERROR(__xludf.DUMMYFUNCTION("googletranslate(D5658,""id"",""en"")"),"Ooh maybe this is the reason for the PPKM extended times, a lot of immunic Cecebs who drop so has the potential to increase the number of exposure to Koronce")</f>
        <v>Ooh maybe this is the reason for the PPKM extended times, a lot of immunic Cecebs who drop so has the potential to increase the number of exposure to Koronce</v>
      </c>
    </row>
    <row r="5659" ht="15.75" customHeight="1">
      <c r="A5659" s="2">
        <v>5662.0</v>
      </c>
      <c r="B5659" s="5" t="s">
        <v>10361</v>
      </c>
      <c r="C5659" s="6">
        <v>1.0</v>
      </c>
      <c r="D5659" s="7" t="s">
        <v>10361</v>
      </c>
      <c r="E5659" s="8" t="str">
        <f>IFERROR(__xludf.DUMMYFUNCTION("googletranslate(D5659,""id"",""en"")"),"Ppkm mangan continues = all planning go away auto cancel corona asuuuu")</f>
        <v>Ppkm mangan continues = all planning go away auto cancel corona asuuuu</v>
      </c>
    </row>
    <row r="5660" ht="15.75" customHeight="1">
      <c r="A5660" s="2">
        <v>5663.0</v>
      </c>
      <c r="B5660" s="5" t="s">
        <v>10362</v>
      </c>
      <c r="C5660" s="6">
        <v>2.0</v>
      </c>
      <c r="D5660" s="7" t="s">
        <v>10363</v>
      </c>
      <c r="E5660" s="8" t="str">
        <f>IFERROR(__xludf.DUMMYFUNCTION("googletranslate(D5660,""id"",""en"")"),"PPKM right when you meet your mind")</f>
        <v>PPKM right when you meet your mind</v>
      </c>
    </row>
    <row r="5661" ht="15.75" customHeight="1">
      <c r="A5661" s="2">
        <v>5664.0</v>
      </c>
      <c r="B5661" s="5" t="s">
        <v>10364</v>
      </c>
      <c r="C5661" s="6">
        <v>1.0</v>
      </c>
      <c r="D5661" s="7" t="s">
        <v>10364</v>
      </c>
      <c r="E5661" s="8" t="str">
        <f>IFERROR(__xludf.DUMMYFUNCTION("googletranslate(D5661,""id"",""en"")"),"PPKM = Pala Puyeng Less Money")</f>
        <v>PPKM = Pala Puyeng Less Money</v>
      </c>
    </row>
    <row r="5662" ht="15.75" customHeight="1">
      <c r="A5662" s="2">
        <v>5665.0</v>
      </c>
      <c r="B5662" s="5" t="s">
        <v>10365</v>
      </c>
      <c r="C5662" s="6">
        <v>2.0</v>
      </c>
      <c r="D5662" s="7" t="s">
        <v>10366</v>
      </c>
      <c r="E5662" s="8" t="str">
        <f>IFERROR(__xludf.DUMMYFUNCTION("googletranslate(D5662,""id"",""en"")"),"Is the KPPN KLATEN office during the PPKM open? To take care of the proof of skpp what is the requirement")</f>
        <v>Is the KPPN KLATEN office during the PPKM open? To take care of the proof of skpp what is the requirement</v>
      </c>
    </row>
    <row r="5663" ht="15.75" customHeight="1">
      <c r="A5663" s="2">
        <v>5666.0</v>
      </c>
      <c r="B5663" s="5" t="s">
        <v>10367</v>
      </c>
      <c r="C5663" s="6">
        <v>1.0</v>
      </c>
      <c r="D5663" s="7" t="s">
        <v>10368</v>
      </c>
      <c r="E5663" s="8" t="str">
        <f>IFERROR(__xludf.DUMMYFUNCTION("googletranslate(D5663,""id"",""en"")"),"Tau Jir. Ppkm instead it's really bad org2")</f>
        <v>Tau Jir. Ppkm instead it's really bad org2</v>
      </c>
    </row>
    <row r="5664" ht="15.75" customHeight="1">
      <c r="A5664" s="2">
        <v>5667.0</v>
      </c>
      <c r="B5664" s="5" t="s">
        <v>10369</v>
      </c>
      <c r="C5664" s="6">
        <v>1.0</v>
      </c>
      <c r="D5664" s="9" t="s">
        <v>10370</v>
      </c>
      <c r="E5664" s="8" t="str">
        <f>IFERROR(__xludf.DUMMYFUNCTION("googletranslate(D5664,""id"",""en"")"),"Goblok, yes, the name is the name, sprinkled with the budget, there is a replace the color of the plane, the people have just been broken, bro, it is handled what you don't investigate Mimin, why are the socialities slow?")</f>
        <v>Goblok, yes, the name is the name, sprinkled with the budget, there is a replace the color of the plane, the people have just been broken, bro, it is handled what you don't investigate Mimin, why are the socialities slow?</v>
      </c>
    </row>
    <row r="5665" ht="15.75" customHeight="1">
      <c r="A5665" s="2">
        <v>5668.0</v>
      </c>
      <c r="B5665" s="5" t="s">
        <v>10371</v>
      </c>
      <c r="C5665" s="6">
        <v>1.0</v>
      </c>
      <c r="D5665" s="7" t="s">
        <v>10372</v>
      </c>
      <c r="E5665" s="8" t="str">
        <f>IFERROR(__xludf.DUMMYFUNCTION("googletranslate(D5665,""id"",""en"")"),"nie who kmrn again ppkm on birthday party")</f>
        <v>nie who kmrn again ppkm on birthday party</v>
      </c>
    </row>
    <row r="5666" ht="15.75" customHeight="1">
      <c r="A5666" s="2">
        <v>5669.0</v>
      </c>
      <c r="B5666" s="5" t="s">
        <v>10373</v>
      </c>
      <c r="C5666" s="6">
        <v>1.0</v>
      </c>
      <c r="D5666" s="9" t="s">
        <v>10374</v>
      </c>
      <c r="E5666" s="8" t="str">
        <f>IFERROR(__xludf.DUMMYFUNCTION("googletranslate(D5666,""id"",""en"")"),"Stop to think about love or things that are not useful. What we have to think about now is how to survive when the PPKM is unclear when it ends.")</f>
        <v>Stop to think about love or things that are not useful. What we have to think about now is how to survive when the PPKM is unclear when it ends.</v>
      </c>
    </row>
    <row r="5667" ht="15.75" customHeight="1">
      <c r="A5667" s="2">
        <v>5670.0</v>
      </c>
      <c r="B5667" s="5" t="s">
        <v>10375</v>
      </c>
      <c r="C5667" s="6">
        <v>1.0</v>
      </c>
      <c r="D5667" s="7" t="s">
        <v>10376</v>
      </c>
      <c r="E5667" s="8" t="str">
        <f>IFERROR(__xludf.DUMMYFUNCTION("googletranslate(D5667,""id"",""en"")"),"In the police propertitically firm and definitely. Traders violated PPKM fines millions until anyone entered jail, DPRD Hajatan K fine, firmly. Lu became the victim could be the suspect. Can it be seen in Makassar (?) Sono. The person entered Bui (?) His "&amp;"business / rumah threat was promised.")</f>
        <v>In the police propertitically firm and definitely. Traders violated PPKM fines millions until anyone entered jail, DPRD Hajatan K fine, firmly. Lu became the victim could be the suspect. Can it be seen in Makassar (?) Sono. The person entered Bui (?) His business / rumah threat was promised.</v>
      </c>
    </row>
    <row r="5668" ht="15.75" customHeight="1">
      <c r="A5668" s="2">
        <v>5671.0</v>
      </c>
      <c r="B5668" s="5" t="s">
        <v>10377</v>
      </c>
      <c r="C5668" s="6">
        <v>2.0</v>
      </c>
      <c r="D5668" s="7" t="s">
        <v>10378</v>
      </c>
      <c r="E5668" s="8" t="str">
        <f>IFERROR(__xludf.DUMMYFUNCTION("googletranslate(D5668,""id"",""en"")"),"President Jokowi announced PPKM Level starting from August to August")</f>
        <v>President Jokowi announced PPKM Level starting from August to August</v>
      </c>
    </row>
    <row r="5669" ht="15.75" customHeight="1">
      <c r="A5669" s="2">
        <v>5672.0</v>
      </c>
      <c r="B5669" s="5" t="s">
        <v>10379</v>
      </c>
      <c r="C5669" s="6">
        <v>2.0</v>
      </c>
      <c r="D5669" s="12" t="s">
        <v>10380</v>
      </c>
      <c r="E5669" s="8" t="str">
        <f>IFERROR(__xludf.DUMMYFUNCTION("googletranslate(D5669,""id"",""en"")"),"PPKM pilot huh?")</f>
        <v>PPKM pilot huh?</v>
      </c>
    </row>
    <row r="5670" ht="15.75" customHeight="1">
      <c r="A5670" s="2">
        <v>5673.0</v>
      </c>
      <c r="B5670" s="5" t="s">
        <v>10381</v>
      </c>
      <c r="C5670" s="6">
        <v>3.0</v>
      </c>
      <c r="D5670" s="7" t="s">
        <v>10382</v>
      </c>
      <c r="E5670" s="8" t="str">
        <f>IFERROR(__xludf.DUMMYFUNCTION("googletranslate(D5670,""id"",""en"")"),"Succeed back PPKM level, because SDH shows evidence of a decrease in daily positive numbers. And keep a health protocol strictly.")</f>
        <v>Succeed back PPKM level, because SDH shows evidence of a decrease in daily positive numbers. And keep a health protocol strictly.</v>
      </c>
    </row>
    <row r="5671" ht="15.75" customHeight="1">
      <c r="A5671" s="2">
        <v>5674.0</v>
      </c>
      <c r="B5671" s="5" t="s">
        <v>10383</v>
      </c>
      <c r="C5671" s="6">
        <v>2.0</v>
      </c>
      <c r="D5671" s="7" t="s">
        <v>10383</v>
      </c>
      <c r="E5671" s="8" t="str">
        <f>IFERROR(__xludf.DUMMYFUNCTION("googletranslate(D5671,""id"",""en"")"),"Ppkm dah kek bon chili")</f>
        <v>Ppkm dah kek bon chili</v>
      </c>
    </row>
    <row r="5672" ht="15.75" customHeight="1">
      <c r="A5672" s="2">
        <v>5675.0</v>
      </c>
      <c r="B5672" s="5" t="s">
        <v>10384</v>
      </c>
      <c r="C5672" s="6">
        <v>3.0</v>
      </c>
      <c r="D5672" s="7" t="s">
        <v>10385</v>
      </c>
      <c r="E5672" s="8" t="str">
        <f>IFERROR(__xludf.DUMMYFUNCTION("googletranslate(D5672,""id"",""en"")"),"Hopefully the PPKM stopped at August, then Covid, then Indonesia independently skali.")</f>
        <v>Hopefully the PPKM stopped at August, then Covid, then Indonesia independently skali.</v>
      </c>
    </row>
    <row r="5673" ht="15.75" customHeight="1">
      <c r="A5673" s="2">
        <v>5676.0</v>
      </c>
      <c r="B5673" s="5" t="s">
        <v>10386</v>
      </c>
      <c r="C5673" s="6">
        <v>1.0</v>
      </c>
      <c r="D5673" s="7" t="s">
        <v>10387</v>
      </c>
      <c r="E5673" s="8" t="str">
        <f>IFERROR(__xludf.DUMMYFUNCTION("googletranslate(D5673,""id"",""en"")"),"Yes boss because it's just a lot, it's easy, for our sake, it's also difficult, bro, support the ppkm blah blah blah blah ..... huh boss ... every org of the condition is different, brsykiku msh it has income even though Brkurang, it's different from the "&amp;"people who are bnergedly by the impact of this PPKM.")</f>
        <v>Yes boss because it's just a lot, it's easy, for our sake, it's also difficult, bro, support the ppkm blah blah blah blah ..... huh boss ... every org of the condition is different, brsykiku msh it has income even though Brkurang, it's different from the people who are bnergedly by the impact of this PPKM.</v>
      </c>
    </row>
    <row r="5674" ht="15.75" customHeight="1">
      <c r="A5674" s="2">
        <v>5677.0</v>
      </c>
      <c r="B5674" s="5" t="s">
        <v>10388</v>
      </c>
      <c r="C5674" s="6">
        <v>1.0</v>
      </c>
      <c r="D5674" s="9" t="s">
        <v>10388</v>
      </c>
      <c r="E5674" s="8" t="str">
        <f>IFERROR(__xludf.DUMMYFUNCTION("googletranslate(D5674,""id"",""en"")"),"Then the one who is talked about always complexity, right? Doesn't you talk about the officer? On the PPKM post, there is someone who keeps the chair. Plus it's from news if the ruling person g is imprisoned by LGSG but the people are imprisoned by LGSG H"&amp;"em")</f>
        <v>Then the one who is talked about always complexity, right? Doesn't you talk about the officer? On the PPKM post, there is someone who keeps the chair. Plus it's from news if the ruling person g is imprisoned by LGSG but the people are imprisoned by LGSG Hem</v>
      </c>
    </row>
    <row r="5675" ht="15.75" customHeight="1">
      <c r="A5675" s="2">
        <v>5678.0</v>
      </c>
      <c r="B5675" s="5" t="s">
        <v>10389</v>
      </c>
      <c r="C5675" s="6">
        <v>2.0</v>
      </c>
      <c r="D5675" s="7" t="s">
        <v>10390</v>
      </c>
      <c r="E5675" s="8" t="str">
        <f>IFERROR(__xludf.DUMMYFUNCTION("googletranslate(D5675,""id"",""en"")"),"Waaah ... ?? Tasikmalaya Regency is the only one in Java, the PPKM level, get ready to open the Mukaklik Look School to read:")</f>
        <v>Waaah ... ?? Tasikmalaya Regency is the only one in Java, the PPKM level, get ready to open the Mukaklik Look School to read:</v>
      </c>
    </row>
    <row r="5676" ht="15.75" customHeight="1">
      <c r="A5676" s="2">
        <v>5679.0</v>
      </c>
      <c r="B5676" s="5" t="s">
        <v>10391</v>
      </c>
      <c r="C5676" s="6">
        <v>2.0</v>
      </c>
      <c r="D5676" s="7" t="s">
        <v>10392</v>
      </c>
      <c r="E5676" s="8" t="str">
        <f>IFERROR(__xludf.DUMMYFUNCTION("googletranslate(D5676,""id"",""en"")"),"The problem of the PPKM policy and everything was from the center ... so the local government would like to not want to run it, just see the implementation of the citizens")</f>
        <v>The problem of the PPKM policy and everything was from the center ... so the local government would like to not want to run it, just see the implementation of the citizens</v>
      </c>
    </row>
    <row r="5677" ht="15.75" customHeight="1">
      <c r="A5677" s="2">
        <v>5680.0</v>
      </c>
      <c r="B5677" s="5" t="s">
        <v>10393</v>
      </c>
      <c r="C5677" s="6">
        <v>1.0</v>
      </c>
      <c r="D5677" s="7" t="s">
        <v>10394</v>
      </c>
      <c r="E5677" s="8" t="str">
        <f>IFERROR(__xludf.DUMMYFUNCTION("googletranslate(D5677,""id"",""en"")"),"He excited the big birthday when PPKM at the hotel again. I've used it, I don't use a mask")</f>
        <v>He excited the big birthday when PPKM at the hotel again. I've used it, I don't use a mask</v>
      </c>
    </row>
    <row r="5678" ht="15.75" customHeight="1">
      <c r="A5678" s="2">
        <v>5681.0</v>
      </c>
      <c r="B5678" s="5" t="s">
        <v>10395</v>
      </c>
      <c r="C5678" s="6">
        <v>2.0</v>
      </c>
      <c r="D5678" s="7" t="s">
        <v>10395</v>
      </c>
      <c r="E5678" s="8" t="str">
        <f>IFERROR(__xludf.DUMMYFUNCTION("googletranslate(D5678,""id"",""en"")"),"now the PPKM level is brapa")</f>
        <v>now the PPKM level is brapa</v>
      </c>
    </row>
    <row r="5679" ht="15.75" customHeight="1">
      <c r="A5679" s="2">
        <v>5682.0</v>
      </c>
      <c r="B5679" s="5" t="s">
        <v>10396</v>
      </c>
      <c r="C5679" s="6">
        <v>1.0</v>
      </c>
      <c r="D5679" s="7" t="s">
        <v>10396</v>
      </c>
      <c r="E5679" s="8" t="str">
        <f>IFERROR(__xludf.DUMMYFUNCTION("googletranslate(D5679,""id"",""en"")"),"The government is held by Mak Erot, the PPKM is extended continuously.")</f>
        <v>The government is held by Mak Erot, the PPKM is extended continuously.</v>
      </c>
    </row>
    <row r="5680" ht="15.75" customHeight="1">
      <c r="A5680" s="2">
        <v>5683.0</v>
      </c>
      <c r="B5680" s="5" t="s">
        <v>10397</v>
      </c>
      <c r="C5680" s="6">
        <v>2.0</v>
      </c>
      <c r="D5680" s="10" t="s">
        <v>4873</v>
      </c>
      <c r="E5680" s="8" t="str">
        <f>IFERROR(__xludf.DUMMYFUNCTION("googletranslate(D5680,""id"",""en"")"),"Still PPKM")</f>
        <v>Still PPKM</v>
      </c>
    </row>
    <row r="5681" ht="15.75" customHeight="1">
      <c r="A5681" s="2">
        <v>5684.0</v>
      </c>
      <c r="B5681" s="5" t="s">
        <v>10398</v>
      </c>
      <c r="C5681" s="6">
        <v>1.0</v>
      </c>
      <c r="D5681" s="7" t="s">
        <v>10398</v>
      </c>
      <c r="E5681" s="8" t="str">
        <f>IFERROR(__xludf.DUMMYFUNCTION("googletranslate(D5681,""id"",""en"")"),"BLM can propose an online concert, because the experience is just until the PPKM version of the PPKM version")</f>
        <v>BLM can propose an online concert, because the experience is just until the PPKM version of the PPKM version</v>
      </c>
    </row>
    <row r="5682" ht="15.75" customHeight="1">
      <c r="A5682" s="2">
        <v>5685.0</v>
      </c>
      <c r="B5682" s="5" t="s">
        <v>10399</v>
      </c>
      <c r="C5682" s="6">
        <v>1.0</v>
      </c>
      <c r="D5682" s="7" t="s">
        <v>10400</v>
      </c>
      <c r="E5682" s="8" t="str">
        <f>IFERROR(__xludf.DUMMYFUNCTION("googletranslate(D5682,""id"",""en"")"),"M can fill the stomach of the people who are starving because of PPKM")</f>
        <v>M can fill the stomach of the people who are starving because of PPKM</v>
      </c>
    </row>
    <row r="5683" ht="15.75" customHeight="1">
      <c r="A5683" s="2">
        <v>5686.0</v>
      </c>
      <c r="B5683" s="5" t="s">
        <v>10401</v>
      </c>
      <c r="C5683" s="6">
        <v>2.0</v>
      </c>
      <c r="D5683" s="7" t="s">
        <v>10402</v>
      </c>
      <c r="E5683" s="8" t="str">
        <f>IFERROR(__xludf.DUMMYFUNCTION("googletranslate(D5683,""id"",""en"")"),"Already, moreover, the PPKM rarely eats in the past online food, requests if you are bored by Lyodra. Thanks.")</f>
        <v>Already, moreover, the PPKM rarely eats in the past online food, requests if you are bored by Lyodra. Thanks.</v>
      </c>
    </row>
    <row r="5684" ht="15.75" customHeight="1">
      <c r="A5684" s="2">
        <v>5687.0</v>
      </c>
      <c r="B5684" s="5" t="s">
        <v>10403</v>
      </c>
      <c r="C5684" s="6">
        <v>1.0</v>
      </c>
      <c r="D5684" s="7" t="s">
        <v>10403</v>
      </c>
      <c r="E5684" s="8" t="str">
        <f>IFERROR(__xludf.DUMMYFUNCTION("googletranslate(D5684,""id"",""en"")"),"PPKM instead gets positive")</f>
        <v>PPKM instead gets positive</v>
      </c>
    </row>
    <row r="5685" ht="15.75" customHeight="1">
      <c r="A5685" s="2">
        <v>5688.0</v>
      </c>
      <c r="B5685" s="5" t="s">
        <v>10404</v>
      </c>
      <c r="C5685" s="6">
        <v>1.0</v>
      </c>
      <c r="D5685" s="7" t="s">
        <v>10405</v>
      </c>
      <c r="E5685" s="8" t="str">
        <f>IFERROR(__xludf.DUMMYFUNCTION("googletranslate(D5685,""id"",""en"")"),"Many people who want to realize their dreams but are held in / scoring themselves because of CVD and more conscious PPKM, Mbak.")</f>
        <v>Many people who want to realize their dreams but are held in / scoring themselves because of CVD and more conscious PPKM, Mbak.</v>
      </c>
    </row>
    <row r="5686" ht="15.75" customHeight="1">
      <c r="A5686" s="2">
        <v>5689.0</v>
      </c>
      <c r="B5686" s="5" t="s">
        <v>10406</v>
      </c>
      <c r="C5686" s="6">
        <v>2.0</v>
      </c>
      <c r="D5686" s="7" t="s">
        <v>10406</v>
      </c>
      <c r="E5686" s="8" t="str">
        <f>IFERROR(__xludf.DUMMYFUNCTION("googletranslate(D5686,""id"",""en"")"),"PPKM extended AE continues until I become a civil servant.")</f>
        <v>PPKM extended AE continues until I become a civil servant.</v>
      </c>
    </row>
    <row r="5687" ht="15.75" customHeight="1">
      <c r="A5687" s="2">
        <v>5690.0</v>
      </c>
      <c r="B5687" s="5" t="s">
        <v>10407</v>
      </c>
      <c r="C5687" s="6">
        <v>1.0</v>
      </c>
      <c r="D5687" s="7" t="s">
        <v>10408</v>
      </c>
      <c r="E5687" s="8" t="str">
        <f>IFERROR(__xludf.DUMMYFUNCTION("googletranslate(D5687,""id"",""en"")"),"Oh my goodness to be very up to Korea, the idung is free from PPKM")</f>
        <v>Oh my goodness to be very up to Korea, the idung is free from PPKM</v>
      </c>
    </row>
    <row r="5688" ht="15.75" customHeight="1">
      <c r="A5688" s="2">
        <v>5691.0</v>
      </c>
      <c r="B5688" s="5" t="s">
        <v>10409</v>
      </c>
      <c r="C5688" s="6">
        <v>2.0</v>
      </c>
      <c r="D5688" s="7" t="s">
        <v>10410</v>
      </c>
      <c r="E5688" s="8" t="str">
        <f>IFERROR(__xludf.DUMMYFUNCTION("googletranslate(D5688,""id"",""en"")"),"Extended PPKM Stock Already Want One Month Moon Continue to Continue Wkwk")</f>
        <v>Extended PPKM Stock Already Want One Month Moon Continue to Continue Wkwk</v>
      </c>
    </row>
    <row r="5689" ht="15.75" customHeight="1">
      <c r="A5689" s="2">
        <v>5692.0</v>
      </c>
      <c r="B5689" s="5" t="s">
        <v>10411</v>
      </c>
      <c r="C5689" s="6">
        <v>3.0</v>
      </c>
      <c r="D5689" s="7" t="s">
        <v>10412</v>
      </c>
      <c r="E5689" s="8" t="str">
        <f>IFERROR(__xludf.DUMMYFUNCTION("googletranslate(D5689,""id"",""en"")"),"Wakakkaka ... really yak ... spirit of enthusiasm dayiiii duits today ... eh ppkm extended or not?")</f>
        <v>Wakakkaka ... really yak ... spirit of enthusiasm dayiiii duits today ... eh ppkm extended or not?</v>
      </c>
    </row>
    <row r="5690" ht="15.75" customHeight="1">
      <c r="A5690" s="2">
        <v>5693.0</v>
      </c>
      <c r="B5690" s="5" t="s">
        <v>10413</v>
      </c>
      <c r="C5690" s="6">
        <v>1.0</v>
      </c>
      <c r="D5690" s="9" t="s">
        <v>10414</v>
      </c>
      <c r="E5690" s="8" t="str">
        <f>IFERROR(__xludf.DUMMYFUNCTION("googletranslate(D5690,""id"",""en"")"),"Jan is selfish, it's not just what you want to want to be like a birthday, some or not, but they think again, ppkm this")</f>
        <v>Jan is selfish, it's not just what you want to want to be like a birthday, some or not, but they think again, ppkm this</v>
      </c>
    </row>
    <row r="5691" ht="15.75" customHeight="1">
      <c r="A5691" s="2">
        <v>5694.0</v>
      </c>
      <c r="B5691" s="5" t="s">
        <v>10415</v>
      </c>
      <c r="C5691" s="6">
        <v>2.0</v>
      </c>
      <c r="D5691" s="10" t="s">
        <v>10416</v>
      </c>
      <c r="E5691" s="8" t="str">
        <f>IFERROR(__xludf.DUMMYFUNCTION("googletranslate(D5691,""id"",""en"")"),"PPKM again")</f>
        <v>PPKM again</v>
      </c>
    </row>
    <row r="5692" ht="15.75" customHeight="1">
      <c r="A5692" s="2">
        <v>5695.0</v>
      </c>
      <c r="B5692" s="5" t="s">
        <v>10417</v>
      </c>
      <c r="C5692" s="6">
        <v>3.0</v>
      </c>
      <c r="D5692" s="7" t="s">
        <v>10418</v>
      </c>
      <c r="E5692" s="8" t="str">
        <f>IFERROR(__xludf.DUMMYFUNCTION("googletranslate(D5692,""id"",""en"")"),"PPKM Extended, Jokowi Guarantees Bansos for People with Jokowi")</f>
        <v>PPKM Extended, Jokowi Guarantees Bansos for People with Jokowi</v>
      </c>
    </row>
    <row r="5693" ht="15.75" customHeight="1">
      <c r="A5693" s="2">
        <v>5696.0</v>
      </c>
      <c r="B5693" s="5" t="s">
        <v>10419</v>
      </c>
      <c r="C5693" s="6">
        <v>2.0</v>
      </c>
      <c r="D5693" s="7" t="s">
        <v>10420</v>
      </c>
      <c r="E5693" s="8" t="str">
        <f>IFERROR(__xludf.DUMMYFUNCTION("googletranslate(D5693,""id"",""en"")"),"Early WFH Bath: / Passing PSBB Continue to PPKM, Bathe Hours (Where to Time Meeting)")</f>
        <v>Early WFH Bath: / Passing PSBB Continue to PPKM, Bathe Hours (Where to Time Meeting)</v>
      </c>
    </row>
    <row r="5694" ht="15.75" customHeight="1">
      <c r="A5694" s="2">
        <v>5697.0</v>
      </c>
      <c r="B5694" s="5" t="s">
        <v>10421</v>
      </c>
      <c r="C5694" s="6">
        <v>1.0</v>
      </c>
      <c r="D5694" s="9" t="s">
        <v>10421</v>
      </c>
      <c r="E5694" s="8" t="str">
        <f>IFERROR(__xludf.DUMMYFUNCTION("googletranslate(D5694,""id"",""en"")"),"As recommended, rarely leave the house during the PPKM. Once kayuh bicycles, ten kilos have been flat. Horrified the PPKM effect for casual cyclists like this.")</f>
        <v>As recommended, rarely leave the house during the PPKM. Once kayuh bicycles, ten kilos have been flat. Horrified the PPKM effect for casual cyclists like this.</v>
      </c>
    </row>
    <row r="5695" ht="15.75" customHeight="1">
      <c r="A5695" s="2">
        <v>5698.0</v>
      </c>
      <c r="B5695" s="5" t="s">
        <v>10422</v>
      </c>
      <c r="C5695" s="6">
        <v>2.0</v>
      </c>
      <c r="D5695" s="7" t="s">
        <v>10423</v>
      </c>
      <c r="E5695" s="8" t="str">
        <f>IFERROR(__xludf.DUMMYFUNCTION("googletranslate(D5695,""id"",""en"")"),"Extended PPKM until Haikyuu Season Release")</f>
        <v>Extended PPKM until Haikyuu Season Release</v>
      </c>
    </row>
    <row r="5696" ht="15.75" customHeight="1">
      <c r="A5696" s="2">
        <v>5699.0</v>
      </c>
      <c r="B5696" s="5" t="s">
        <v>10424</v>
      </c>
      <c r="C5696" s="6">
        <v>1.0</v>
      </c>
      <c r="D5696" s="7" t="s">
        <v>10425</v>
      </c>
      <c r="E5696" s="8" t="str">
        <f>IFERROR(__xludf.DUMMYFUNCTION("googletranslate(D5696,""id"",""en"")"),"Want all day nde jp again, but still close because of ppkm ._.")</f>
        <v>Want all day nde jp again, but still close because of ppkm ._.</v>
      </c>
    </row>
    <row r="5697" ht="15.75" customHeight="1">
      <c r="A5697" s="2">
        <v>5700.0</v>
      </c>
      <c r="B5697" s="5" t="s">
        <v>10426</v>
      </c>
      <c r="C5697" s="6">
        <v>1.0</v>
      </c>
      <c r="D5697" s="9" t="s">
        <v>10426</v>
      </c>
      <c r="E5697" s="8" t="str">
        <f>IFERROR(__xludf.DUMMYFUNCTION("googletranslate(D5697,""id"",""en"")"),"Guys, I don't do it, I leave a doi's offer for Gofood in me because it's afraid of being able to reply to her kindness because the impact of the PPKM is looking for money difficult to [Askrl]")</f>
        <v>Guys, I don't do it, I leave a doi's offer for Gofood in me because it's afraid of being able to reply to her kindness because the impact of the PPKM is looking for money difficult to [Askrl]</v>
      </c>
    </row>
    <row r="5698" ht="15.75" customHeight="1">
      <c r="A5698" s="2">
        <v>5701.0</v>
      </c>
      <c r="B5698" s="5" t="s">
        <v>10427</v>
      </c>
      <c r="C5698" s="6">
        <v>1.0</v>
      </c>
      <c r="D5698" s="9" t="s">
        <v>10428</v>
      </c>
      <c r="E5698" s="8" t="str">
        <f>IFERROR(__xludf.DUMMYFUNCTION("googletranslate(D5698,""id"",""en"")"),"Protests with the policy Bukam Bukam hated, see my post2 before. Supporters, voters and jokowi defenders Dead. Drun?")</f>
        <v>Protests with the policy Bukam Bukam hated, see my post2 before. Supporters, voters and jokowi defenders Dead. Drun?</v>
      </c>
    </row>
    <row r="5699" ht="15.75" customHeight="1">
      <c r="A5699" s="2">
        <v>5702.0</v>
      </c>
      <c r="B5699" s="5" t="s">
        <v>10429</v>
      </c>
      <c r="C5699" s="6">
        <v>2.0</v>
      </c>
      <c r="D5699" s="9" t="s">
        <v>10430</v>
      </c>
      <c r="E5699" s="8" t="str">
        <f>IFERROR(__xludf.DUMMYFUNCTION("googletranslate(D5699,""id"",""en"")"),"Ha ha ha, how come the feeling isn't this. Do you want to invite karaoke? Ppkm yeah")</f>
        <v>Ha ha ha, how come the feeling isn't this. Do you want to invite karaoke? Ppkm yeah</v>
      </c>
    </row>
    <row r="5700" ht="15.75" customHeight="1">
      <c r="A5700" s="2">
        <v>5703.0</v>
      </c>
      <c r="B5700" s="5" t="s">
        <v>10431</v>
      </c>
      <c r="C5700" s="6">
        <v>1.0</v>
      </c>
      <c r="D5700" s="7" t="s">
        <v>10432</v>
      </c>
      <c r="E5700" s="8" t="str">
        <f>IFERROR(__xludf.DUMMYFUNCTION("googletranslate(D5700,""id"",""en"")"),"What do you mean? Ga")</f>
        <v>What do you mean? Ga</v>
      </c>
    </row>
    <row r="5701" ht="15.75" customHeight="1">
      <c r="A5701" s="2">
        <v>5704.0</v>
      </c>
      <c r="B5701" s="5" t="s">
        <v>10433</v>
      </c>
      <c r="C5701" s="6">
        <v>2.0</v>
      </c>
      <c r="D5701" s="7" t="s">
        <v>10434</v>
      </c>
      <c r="E5701" s="8" t="str">
        <f>IFERROR(__xludf.DUMMYFUNCTION("googletranslate(D5701,""id"",""en"")"),"Hawa finished PPKM added this")</f>
        <v>Hawa finished PPKM added this</v>
      </c>
    </row>
    <row r="5702" ht="15.75" customHeight="1">
      <c r="A5702" s="2">
        <v>5705.0</v>
      </c>
      <c r="B5702" s="5" t="s">
        <v>10435</v>
      </c>
      <c r="C5702" s="6">
        <v>2.0</v>
      </c>
      <c r="D5702" s="7" t="s">
        <v>10436</v>
      </c>
      <c r="E5702" s="8" t="str">
        <f>IFERROR(__xludf.DUMMYFUNCTION("googletranslate(D5702,""id"",""en"")"),"Initially PPKM, it will be PPPpkkkkmmmmmmmmmmm")</f>
        <v>Initially PPKM, it will be PPPpkkkkmmmmmmmmmmm</v>
      </c>
    </row>
    <row r="5703" ht="15.75" customHeight="1">
      <c r="A5703" s="2">
        <v>5706.0</v>
      </c>
      <c r="B5703" s="5" t="s">
        <v>10437</v>
      </c>
      <c r="C5703" s="6">
        <v>2.0</v>
      </c>
      <c r="D5703" s="7" t="s">
        <v>10438</v>
      </c>
      <c r="E5703" s="8" t="str">
        <f>IFERROR(__xludf.DUMMYFUNCTION("googletranslate(D5703,""id"",""en"")"),"But if the opinion is feeling the PPKM Gabikin what effect? ​​Cmiiw")</f>
        <v>But if the opinion is feeling the PPKM Gabikin what effect? ​​Cmiiw</v>
      </c>
    </row>
    <row r="5704" ht="15.75" customHeight="1">
      <c r="A5704" s="2">
        <v>5707.0</v>
      </c>
      <c r="B5704" s="5" t="s">
        <v>10439</v>
      </c>
      <c r="C5704" s="6">
        <v>2.0</v>
      </c>
      <c r="D5704" s="7" t="s">
        <v>10440</v>
      </c>
      <c r="E5704" s="8" t="str">
        <f>IFERROR(__xludf.DUMMYFUNCTION("googletranslate(D5704,""id"",""en"")"),"PPKM extended level to August, the date is the level")</f>
        <v>PPKM extended level to August, the date is the level</v>
      </c>
    </row>
    <row r="5705" ht="15.75" customHeight="1">
      <c r="A5705" s="2">
        <v>5708.0</v>
      </c>
      <c r="B5705" s="5" t="s">
        <v>10441</v>
      </c>
      <c r="C5705" s="6">
        <v>1.0</v>
      </c>
      <c r="D5705" s="9" t="s">
        <v>10442</v>
      </c>
      <c r="E5705" s="8" t="str">
        <f>IFERROR(__xludf.DUMMYFUNCTION("googletranslate(D5705,""id"",""en"")"),"What is almost vaccinated all want to lockdown again. How are you Indonesia? Can be able to get ppkm to")</f>
        <v>What is almost vaccinated all want to lockdown again. How are you Indonesia? Can be able to get ppkm to</v>
      </c>
    </row>
    <row r="5706" ht="15.75" customHeight="1">
      <c r="A5706" s="2">
        <v>5709.0</v>
      </c>
      <c r="B5706" s="5" t="s">
        <v>10443</v>
      </c>
      <c r="C5706" s="6">
        <v>1.0</v>
      </c>
      <c r="D5706" s="7" t="s">
        <v>10444</v>
      </c>
      <c r="E5706" s="8" t="str">
        <f>IFERROR(__xludf.DUMMYFUNCTION("googletranslate(D5706,""id"",""en"")"),"The nutmeg, you don't have any sense !!! The people are waiting for the assistance of the impact of the PPKM, you are good to hungry, lick up the plane's body is full")</f>
        <v>The nutmeg, you don't have any sense !!! The people are waiting for the assistance of the impact of the PPKM, you are good to hungry, lick up the plane's body is full</v>
      </c>
    </row>
    <row r="5707" ht="15.75" customHeight="1">
      <c r="A5707" s="2">
        <v>5710.0</v>
      </c>
      <c r="B5707" s="5" t="s">
        <v>10445</v>
      </c>
      <c r="C5707" s="6">
        <v>2.0</v>
      </c>
      <c r="D5707" s="7" t="s">
        <v>10446</v>
      </c>
      <c r="E5707" s="8" t="str">
        <f>IFERROR(__xludf.DUMMYFUNCTION("googletranslate(D5707,""id"",""en"")"),"SDF! Dr. SDA to MLG Riding the bus can still GA PPKM further? Have to bring a vizet suket! N? Oh yeah the rate is usually? Thxx")</f>
        <v>SDF! Dr. SDA to MLG Riding the bus can still GA PPKM further? Have to bring a vizet suket! N? Oh yeah the rate is usually? Thxx</v>
      </c>
    </row>
    <row r="5708" ht="15.75" customHeight="1">
      <c r="A5708" s="2">
        <v>5711.0</v>
      </c>
      <c r="B5708" s="5" t="s">
        <v>10447</v>
      </c>
      <c r="C5708" s="6">
        <v>1.0</v>
      </c>
      <c r="D5708" s="7" t="s">
        <v>10447</v>
      </c>
      <c r="E5708" s="8" t="str">
        <f>IFERROR(__xludf.DUMMYFUNCTION("googletranslate(D5708,""id"",""en"")"),"According to this, who is not anyone, the PPKM is the importance of cm to keep the FASKES so that it doesn't collapse. the problem of the spread rate and the number of different deaths, Wong people can't consciously obey and the priority government is not"&amp;" clear too")</f>
        <v>According to this, who is not anyone, the PPKM is the importance of cm to keep the FASKES so that it doesn't collapse. the problem of the spread rate and the number of different deaths, Wong people can't consciously obey and the priority government is not clear too</v>
      </c>
    </row>
    <row r="5709" ht="15.75" customHeight="1">
      <c r="A5709" s="2">
        <v>5712.0</v>
      </c>
      <c r="B5709" s="5" t="s">
        <v>10448</v>
      </c>
      <c r="C5709" s="6">
        <v>1.0</v>
      </c>
      <c r="D5709" s="7" t="s">
        <v>10448</v>
      </c>
      <c r="E5709" s="8" t="str">
        <f>IFERROR(__xludf.DUMMYFUNCTION("googletranslate(D5709,""id"",""en"")"),"Confused, bro, why don't they choose to choose? It makes you think, this person feels guilty, thinks what is males, it is repeated, lg. dsr stn ajg ppkm asmr")</f>
        <v>Confused, bro, why don't they choose to choose? It makes you think, this person feels guilty, thinks what is males, it is repeated, lg. dsr stn ajg ppkm asmr</v>
      </c>
    </row>
    <row r="5710" ht="15.75" customHeight="1">
      <c r="A5710" s="2">
        <v>5713.0</v>
      </c>
      <c r="B5710" s="5" t="s">
        <v>10449</v>
      </c>
      <c r="C5710" s="6">
        <v>2.0</v>
      </c>
      <c r="D5710" s="7" t="s">
        <v>10450</v>
      </c>
      <c r="E5710" s="8" t="str">
        <f>IFERROR(__xludf.DUMMYFUNCTION("googletranslate(D5710,""id"",""en"")"),"Ppkm according to the conditions of each area")</f>
        <v>Ppkm according to the conditions of each area</v>
      </c>
    </row>
    <row r="5711" ht="15.75" customHeight="1">
      <c r="A5711" s="2">
        <v>5714.0</v>
      </c>
      <c r="B5711" s="5" t="s">
        <v>10451</v>
      </c>
      <c r="C5711" s="6">
        <v>2.0</v>
      </c>
      <c r="D5711" s="7" t="s">
        <v>10452</v>
      </c>
      <c r="E5711" s="8" t="str">
        <f>IFERROR(__xludf.DUMMYFUNCTION("googletranslate(D5711,""id"",""en"")"),"Hmmmm first day work again after ppkm and betet at home")</f>
        <v>Hmmmm first day work again after ppkm and betet at home</v>
      </c>
    </row>
    <row r="5712" ht="15.75" customHeight="1">
      <c r="A5712" s="2">
        <v>5715.0</v>
      </c>
      <c r="B5712" s="5" t="s">
        <v>10453</v>
      </c>
      <c r="C5712" s="6">
        <v>2.0</v>
      </c>
      <c r="D5712" s="7" t="s">
        <v>10454</v>
      </c>
      <c r="E5712" s="8" t="str">
        <f>IFERROR(__xludf.DUMMYFUNCTION("googletranslate(D5712,""id"",""en"")"),"Eah ppkm there is extended")</f>
        <v>Eah ppkm there is extended</v>
      </c>
    </row>
    <row r="5713" ht="15.75" customHeight="1">
      <c r="A5713" s="2">
        <v>5716.0</v>
      </c>
      <c r="B5713" s="5" t="s">
        <v>10455</v>
      </c>
      <c r="C5713" s="6">
        <v>2.0</v>
      </c>
      <c r="D5713" s="7" t="s">
        <v>10456</v>
      </c>
      <c r="E5713" s="8" t="str">
        <f>IFERROR(__xludf.DUMMYFUNCTION("googletranslate(D5713,""id"",""en"")"),"Info, tourist attractions that open during this LVL PPKM DMN Gaes?")</f>
        <v>Info, tourist attractions that open during this LVL PPKM DMN Gaes?</v>
      </c>
    </row>
    <row r="5714" ht="15.75" customHeight="1">
      <c r="A5714" s="2">
        <v>5717.0</v>
      </c>
      <c r="B5714" s="5" t="s">
        <v>10457</v>
      </c>
      <c r="C5714" s="6">
        <v>2.0</v>
      </c>
      <c r="D5714" s="7" t="s">
        <v>10458</v>
      </c>
      <c r="E5714" s="8" t="str">
        <f>IFERROR(__xludf.DUMMYFUNCTION("googletranslate(D5714,""id"",""en"")"),"Is there a registration for the service center? Because PPKM is also extended again ..")</f>
        <v>Is there a registration for the service center? Because PPKM is also extended again ..</v>
      </c>
    </row>
    <row r="5715" ht="15.75" customHeight="1">
      <c r="A5715" s="2">
        <v>5718.0</v>
      </c>
      <c r="B5715" s="5" t="s">
        <v>10459</v>
      </c>
      <c r="C5715" s="6">
        <v>1.0</v>
      </c>
      <c r="D5715" s="9" t="s">
        <v>10460</v>
      </c>
      <c r="E5715" s="8" t="str">
        <f>IFERROR(__xludf.DUMMYFUNCTION("googletranslate(D5715,""id"",""en"")"),"Sorry, sir, I'm starving since the PPKM stomach acid until it goes up. If I have died because I rarely eat since the PPKM, I'll say it later.")</f>
        <v>Sorry, sir, I'm starving since the PPKM stomach acid until it goes up. If I have died because I rarely eat since the PPKM, I'll say it later.</v>
      </c>
    </row>
    <row r="5716" ht="15.75" customHeight="1">
      <c r="A5716" s="2">
        <v>5719.0</v>
      </c>
      <c r="B5716" s="5" t="s">
        <v>10461</v>
      </c>
      <c r="C5716" s="6">
        <v>2.0</v>
      </c>
      <c r="D5716" s="7" t="s">
        <v>10462</v>
      </c>
      <c r="E5716" s="8" t="str">
        <f>IFERROR(__xludf.DUMMYFUNCTION("googletranslate(D5716,""id"",""en"")"),"Try making the PPKM strategy out of the box if you go past the Puan billboards, meaning you are a support for Puannanti we see, the mobility is still high or not")</f>
        <v>Try making the PPKM strategy out of the box if you go past the Puan billboards, meaning you are a support for Puannanti we see, the mobility is still high or not</v>
      </c>
    </row>
    <row r="5717" ht="15.75" customHeight="1">
      <c r="A5717" s="2">
        <v>5720.0</v>
      </c>
      <c r="B5717" s="5" t="s">
        <v>10463</v>
      </c>
      <c r="C5717" s="6">
        <v>2.0</v>
      </c>
      <c r="D5717" s="9" t="s">
        <v>10464</v>
      </c>
      <c r="E5717" s="8" t="str">
        <f>IFERROR(__xludf.DUMMYFUNCTION("googletranslate(D5717,""id"",""en"")"),"Morning min Don't forget to say Pak told me not to book it, it's pretty good for filling the Levelan PPKM Levelan.")</f>
        <v>Morning min Don't forget to say Pak told me not to book it, it's pretty good for filling the Levelan PPKM Levelan.</v>
      </c>
    </row>
    <row r="5718" ht="15.75" customHeight="1">
      <c r="A5718" s="2">
        <v>5721.0</v>
      </c>
      <c r="B5718" s="5" t="s">
        <v>10465</v>
      </c>
      <c r="C5718" s="6">
        <v>1.0</v>
      </c>
      <c r="D5718" s="7" t="s">
        <v>10466</v>
      </c>
      <c r="E5718" s="8" t="str">
        <f>IFERROR(__xludf.DUMMYFUNCTION("googletranslate(D5718,""id"",""en"")"),"Every day there are just goodbye, the last day of work ... the month's apprentice has been defended, it doesn't miss it to be extended but it's not because the PPKM policy is extended ... stuck here and there,")</f>
        <v>Every day there are just goodbye, the last day of work ... the month's apprentice has been defended, it doesn't miss it to be extended but it's not because the PPKM policy is extended ... stuck here and there,</v>
      </c>
    </row>
    <row r="5719" ht="15.75" customHeight="1">
      <c r="A5719" s="2">
        <v>5722.0</v>
      </c>
      <c r="B5719" s="5" t="s">
        <v>10467</v>
      </c>
      <c r="C5719" s="6">
        <v>1.0</v>
      </c>
      <c r="D5719" s="7" t="s">
        <v>10468</v>
      </c>
      <c r="E5719" s="8" t="str">
        <f>IFERROR(__xludf.DUMMYFUNCTION("googletranslate(D5719,""id"",""en"")"),"The most really looking for a new atmosphere to work on a thesis, bored is also at home. But PPKM is extended")</f>
        <v>The most really looking for a new atmosphere to work on a thesis, bored is also at home. But PPKM is extended</v>
      </c>
    </row>
    <row r="5720" ht="15.75" customHeight="1">
      <c r="A5720" s="2">
        <v>5723.0</v>
      </c>
      <c r="B5720" s="5" t="s">
        <v>10469</v>
      </c>
      <c r="C5720" s="6">
        <v>2.0</v>
      </c>
      <c r="D5720" s="7" t="s">
        <v>10470</v>
      </c>
      <c r="E5720" s="8" t="str">
        <f>IFERROR(__xludf.DUMMYFUNCTION("googletranslate(D5720,""id"",""en"")"),"Ohh, PPKM finished this plan to go to Kalimantan there is a friend who invites")</f>
        <v>Ohh, PPKM finished this plan to go to Kalimantan there is a friend who invites</v>
      </c>
    </row>
    <row r="5721" ht="15.75" customHeight="1">
      <c r="A5721" s="2">
        <v>5724.0</v>
      </c>
      <c r="B5721" s="5" t="s">
        <v>10471</v>
      </c>
      <c r="C5721" s="6">
        <v>1.0</v>
      </c>
      <c r="D5721" s="7" t="s">
        <v>10472</v>
      </c>
      <c r="E5721" s="8" t="str">
        <f>IFERROR(__xludf.DUMMYFUNCTION("googletranslate(D5721,""id"",""en"")"),"A broken heart of a child is when parents are sick again, but can't look at the distance and Masi PPKM. May Papamama get well soon God so it doesn't think it continues")</f>
        <v>A broken heart of a child is when parents are sick again, but can't look at the distance and Masi PPKM. May Papamama get well soon God so it doesn't think it continues</v>
      </c>
    </row>
    <row r="5722" ht="15.75" customHeight="1">
      <c r="A5722" s="2">
        <v>5725.0</v>
      </c>
      <c r="B5722" s="5" t="s">
        <v>10473</v>
      </c>
      <c r="C5722" s="6">
        <v>1.0</v>
      </c>
      <c r="D5722" s="7" t="s">
        <v>10473</v>
      </c>
      <c r="E5722" s="8" t="str">
        <f>IFERROR(__xludf.DUMMYFUNCTION("googletranslate(D5722,""id"",""en"")"),"It should be time for Quality Time, eh instead PPKM")</f>
        <v>It should be time for Quality Time, eh instead PPKM</v>
      </c>
    </row>
    <row r="5723" ht="15.75" customHeight="1">
      <c r="A5723" s="2">
        <v>5726.0</v>
      </c>
      <c r="B5723" s="5" t="s">
        <v>10474</v>
      </c>
      <c r="C5723" s="6">
        <v>1.0</v>
      </c>
      <c r="D5723" s="7" t="s">
        <v>10475</v>
      </c>
      <c r="E5723" s="8" t="str">
        <f>IFERROR(__xludf.DUMMYFUNCTION("googletranslate(D5723,""id"",""en"")"),"PPKM with a trillions budget One of the point in preventing the crowd ... eh .. Even the government sndiri who made a severe crowd again .. Hrs the government has been fined with the atanya. Want because the ATW vaccine is still clustered. Stupid!!")</f>
        <v>PPKM with a trillions budget One of the point in preventing the crowd ... eh .. Even the government sndiri who made a severe crowd again .. Hrs the government has been fined with the atanya. Want because the ATW vaccine is still clustered. Stupid!!</v>
      </c>
    </row>
    <row r="5724" ht="15.75" customHeight="1">
      <c r="A5724" s="2">
        <v>5727.0</v>
      </c>
      <c r="B5724" s="5" t="s">
        <v>10476</v>
      </c>
      <c r="C5724" s="6">
        <v>1.0</v>
      </c>
      <c r="D5724" s="7" t="s">
        <v>10477</v>
      </c>
      <c r="E5724" s="8" t="str">
        <f>IFERROR(__xludf.DUMMYFUNCTION("googletranslate(D5724,""id"",""en"")"),"The people need a budget because of the effect of PPKM and PPKM, for example the plane after the pandemic is wiser. For example, you want to get the car of the kelig starving, does it still get a car. ?? greetings Ambyaar .... more ambota")</f>
        <v>The people need a budget because of the effect of PPKM and PPKM, for example the plane after the pandemic is wiser. For example, you want to get the car of the kelig starving, does it still get a car. ?? greetings Ambyaar .... more ambota</v>
      </c>
    </row>
    <row r="5725" ht="15.75" customHeight="1">
      <c r="A5725" s="2">
        <v>5728.0</v>
      </c>
      <c r="B5725" s="5" t="s">
        <v>10478</v>
      </c>
      <c r="C5725" s="6">
        <v>1.0</v>
      </c>
      <c r="D5725" s="7" t="s">
        <v>10478</v>
      </c>
      <c r="E5725" s="8" t="str">
        <f>IFERROR(__xludf.DUMMYFUNCTION("googletranslate(D5725,""id"",""en"")"),"So, for those of you who are getting a PPKM case, not you Thok is a span. I need a gini pijet yo rempong ...")</f>
        <v>So, for those of you who are getting a PPKM case, not you Thok is a span. I need a gini pijet yo rempong ...</v>
      </c>
    </row>
    <row r="5726" ht="15.75" customHeight="1">
      <c r="A5726" s="2">
        <v>5729.0</v>
      </c>
      <c r="B5726" s="5" t="s">
        <v>10479</v>
      </c>
      <c r="C5726" s="6">
        <v>2.0</v>
      </c>
      <c r="D5726" s="7" t="s">
        <v>10480</v>
      </c>
      <c r="E5726" s="8" t="str">
        <f>IFERROR(__xludf.DUMMYFUNCTION("googletranslate(D5726,""id"",""en"")"),"The birthday is when you get it?")</f>
        <v>The birthday is when you get it?</v>
      </c>
    </row>
    <row r="5727" ht="15.75" customHeight="1">
      <c r="A5727" s="2">
        <v>5730.0</v>
      </c>
      <c r="B5727" s="5" t="s">
        <v>10481</v>
      </c>
      <c r="C5727" s="6">
        <v>2.0</v>
      </c>
      <c r="D5727" s="7" t="s">
        <v>10482</v>
      </c>
      <c r="E5727" s="8" t="str">
        <f>IFERROR(__xludf.DUMMYFUNCTION("googletranslate(D5727,""id"",""en"")"),"As a result of the renewal PPKM volume xxxxxxxxx")</f>
        <v>As a result of the renewal PPKM volume xxxxxxxxx</v>
      </c>
    </row>
    <row r="5728" ht="15.75" customHeight="1">
      <c r="A5728" s="2">
        <v>5731.0</v>
      </c>
      <c r="B5728" s="5" t="s">
        <v>10483</v>
      </c>
      <c r="C5728" s="6">
        <v>1.0</v>
      </c>
      <c r="D5728" s="7" t="s">
        <v>10483</v>
      </c>
      <c r="E5728" s="8" t="str">
        <f>IFERROR(__xludf.DUMMYFUNCTION("googletranslate(D5728,""id"",""en"")"),"PPKM is supported, Bansos are locked up, traders are unfavorable, corruption is considered disaster.")</f>
        <v>PPKM is supported, Bansos are locked up, traders are unfavorable, corruption is considered disaster.</v>
      </c>
    </row>
    <row r="5729" ht="15.75" customHeight="1">
      <c r="A5729" s="2">
        <v>5732.0</v>
      </c>
      <c r="B5729" s="5" t="s">
        <v>10484</v>
      </c>
      <c r="C5729" s="6">
        <v>1.0</v>
      </c>
      <c r="D5729" s="9" t="s">
        <v>10485</v>
      </c>
      <c r="E5729" s="8" t="str">
        <f>IFERROR(__xludf.DUMMYFUNCTION("googletranslate(D5729,""id"",""en"")"),"Mama sends vn again he said later PPKM finished must go straight home ... Adek2, Mama, with the father already missed the cave he said Wkwkwk. in the morning, it has been mulu, it happens")</f>
        <v>Mama sends vn again he said later PPKM finished must go straight home ... Adek2, Mama, with the father already missed the cave he said Wkwkwk. in the morning, it has been mulu, it happens</v>
      </c>
    </row>
    <row r="5730" ht="15.75" customHeight="1">
      <c r="A5730" s="2">
        <v>5733.0</v>
      </c>
      <c r="B5730" s="5" t="s">
        <v>10486</v>
      </c>
      <c r="C5730" s="6">
        <v>2.0</v>
      </c>
      <c r="D5730" s="7" t="s">
        <v>10487</v>
      </c>
      <c r="E5730" s="8" t="str">
        <f>IFERROR(__xludf.DUMMYFUNCTION("googletranslate(D5730,""id"",""en"")"),"FORD PPKM HAHA.")</f>
        <v>FORD PPKM HAHA.</v>
      </c>
    </row>
    <row r="5731" ht="15.75" customHeight="1">
      <c r="A5731" s="2">
        <v>5734.0</v>
      </c>
      <c r="B5731" s="5" t="s">
        <v>10488</v>
      </c>
      <c r="C5731" s="6">
        <v>1.0</v>
      </c>
      <c r="D5731" s="7" t="s">
        <v>10489</v>
      </c>
      <c r="E5731" s="8" t="str">
        <f>IFERROR(__xludf.DUMMYFUNCTION("googletranslate(D5731,""id"",""en"")"),"Yes, it's legitimate. but it's not a pretty ppkm time")</f>
        <v>Yes, it's legitimate. but it's not a pretty ppkm time</v>
      </c>
    </row>
    <row r="5732" ht="15.75" customHeight="1">
      <c r="A5732" s="2">
        <v>5735.0</v>
      </c>
      <c r="B5732" s="5" t="s">
        <v>10490</v>
      </c>
      <c r="C5732" s="6">
        <v>2.0</v>
      </c>
      <c r="D5732" s="7" t="s">
        <v>10490</v>
      </c>
      <c r="E5732" s="8" t="str">
        <f>IFERROR(__xludf.DUMMYFUNCTION("googletranslate(D5732,""id"",""en"")"),"PPKM is extended, until you repent.")</f>
        <v>PPKM is extended, until you repent.</v>
      </c>
    </row>
    <row r="5733" ht="15.75" customHeight="1">
      <c r="A5733" s="2">
        <v>5736.0</v>
      </c>
      <c r="B5733" s="5" t="s">
        <v>10491</v>
      </c>
      <c r="C5733" s="6">
        <v>1.0</v>
      </c>
      <c r="D5733" s="7" t="s">
        <v>10492</v>
      </c>
      <c r="E5733" s="8" t="str">
        <f>IFERROR(__xludf.DUMMYFUNCTION("googletranslate(D5733,""id"",""en"")"),"Hilarious, make entertainment in the period of PPKM")</f>
        <v>Hilarious, make entertainment in the period of PPKM</v>
      </c>
    </row>
    <row r="5734" ht="15.75" customHeight="1">
      <c r="A5734" s="2">
        <v>5737.0</v>
      </c>
      <c r="B5734" s="5" t="s">
        <v>10493</v>
      </c>
      <c r="C5734" s="6">
        <v>2.0</v>
      </c>
      <c r="D5734" s="9" t="s">
        <v>10494</v>
      </c>
      <c r="E5734" s="8" t="str">
        <f>IFERROR(__xludf.DUMMYFUNCTION("googletranslate(D5734,""id"",""en"")"),"The atmosphere is it ..... huhu, this is the last PPKM ... there is an extension of LG")</f>
        <v>The atmosphere is it ..... huhu, this is the last PPKM ... there is an extension of LG</v>
      </c>
    </row>
    <row r="5735" ht="15.75" customHeight="1">
      <c r="A5735" s="2">
        <v>5738.0</v>
      </c>
      <c r="B5735" s="5" t="s">
        <v>10495</v>
      </c>
      <c r="C5735" s="6">
        <v>3.0</v>
      </c>
      <c r="D5735" s="7" t="s">
        <v>10495</v>
      </c>
      <c r="E5735" s="8" t="str">
        <f>IFERROR(__xludf.DUMMYFUNCTION("googletranslate(D5735,""id"",""en"")"),"Gray Apri's victory this year has a positive impact on many parties, giving hope, a lot of happiness in the midst of the hustle and bustle of PPKM which squeezed many people in the middle of the pandemic.")</f>
        <v>Gray Apri's victory this year has a positive impact on many parties, giving hope, a lot of happiness in the midst of the hustle and bustle of PPKM which squeezed many people in the middle of the pandemic.</v>
      </c>
    </row>
    <row r="5736" ht="15.75" customHeight="1">
      <c r="A5736" s="2">
        <v>5739.0</v>
      </c>
      <c r="B5736" s="5" t="s">
        <v>10496</v>
      </c>
      <c r="C5736" s="6">
        <v>1.0</v>
      </c>
      <c r="D5736" s="7" t="s">
        <v>10496</v>
      </c>
      <c r="E5736" s="8" t="str">
        <f>IFERROR(__xludf.DUMMYFUNCTION("googletranslate(D5736,""id"",""en"")"),"PPKM period but there is no entertainment, yes, never mind")</f>
        <v>PPKM period but there is no entertainment, yes, never mind</v>
      </c>
    </row>
    <row r="5737" ht="15.75" customHeight="1">
      <c r="A5737" s="2">
        <v>5740.0</v>
      </c>
      <c r="B5737" s="5" t="s">
        <v>10497</v>
      </c>
      <c r="C5737" s="6">
        <v>3.0</v>
      </c>
      <c r="D5737" s="9" t="s">
        <v>10498</v>
      </c>
      <c r="E5737" s="8" t="str">
        <f>IFERROR(__xludf.DUMMYFUNCTION("googletranslate(D5737,""id"",""en"")"),"I was drilled by SM WO, kalopengen marriage was mending to postpone until the PPKM would enter. Because it really gets married to PPKM. Patience. I'm also halal fighters as rich")</f>
        <v>I was drilled by SM WO, kalopengen marriage was mending to postpone until the PPKM would enter. Because it really gets married to PPKM. Patience. I'm also halal fighters as rich</v>
      </c>
    </row>
    <row r="5738" ht="15.75" customHeight="1">
      <c r="A5738" s="2">
        <v>5741.0</v>
      </c>
      <c r="B5738" s="5" t="s">
        <v>10499</v>
      </c>
      <c r="C5738" s="6">
        <v>3.0</v>
      </c>
      <c r="D5738" s="9" t="s">
        <v>10500</v>
      </c>
      <c r="E5738" s="8" t="str">
        <f>IFERROR(__xludf.DUMMYFUNCTION("googletranslate(D5738,""id"",""en"")"),"Although the Covid-19 case improved but it was not safe enough to revoke PPKM")</f>
        <v>Although the Covid-19 case improved but it was not safe enough to revoke PPKM</v>
      </c>
    </row>
    <row r="5739" ht="15.75" customHeight="1">
      <c r="A5739" s="2">
        <v>5742.0</v>
      </c>
      <c r="B5739" s="5" t="s">
        <v>10501</v>
      </c>
      <c r="C5739" s="6">
        <v>2.0</v>
      </c>
      <c r="D5739" s="7" t="s">
        <v>10502</v>
      </c>
      <c r="E5739" s="8" t="str">
        <f>IFERROR(__xludf.DUMMYFUNCTION("googletranslate(D5739,""id"",""en"")"),"Finished ppkm yak ...")</f>
        <v>Finished ppkm yak ...</v>
      </c>
    </row>
    <row r="5740" ht="15.75" customHeight="1">
      <c r="A5740" s="2">
        <v>5743.0</v>
      </c>
      <c r="B5740" s="5" t="s">
        <v>10503</v>
      </c>
      <c r="C5740" s="6">
        <v>1.0</v>
      </c>
      <c r="D5740" s="7" t="s">
        <v>10503</v>
      </c>
      <c r="E5740" s="8" t="str">
        <f>IFERROR(__xludf.DUMMYFUNCTION("googletranslate(D5740,""id"",""en"")"),"definitely talking to the PPKM but it doesn't matter")</f>
        <v>definitely talking to the PPKM but it doesn't matter</v>
      </c>
    </row>
    <row r="5741" ht="15.75" customHeight="1">
      <c r="A5741" s="2">
        <v>5744.0</v>
      </c>
      <c r="B5741" s="5" t="s">
        <v>10504</v>
      </c>
      <c r="C5741" s="6">
        <v>2.0</v>
      </c>
      <c r="D5741" s="9" t="s">
        <v>10505</v>
      </c>
      <c r="E5741" s="8" t="str">
        <f>IFERROR(__xludf.DUMMYFUNCTION("googletranslate(D5741,""id"",""en"")"),"Have you ever heard the dream of walking on the same way, but it's happy until it's a real world? Effect of PPKM Kali ~")</f>
        <v>Have you ever heard the dream of walking on the same way, but it's happy until it's a real world? Effect of PPKM Kali ~</v>
      </c>
    </row>
    <row r="5742" ht="15.75" customHeight="1">
      <c r="A5742" s="2">
        <v>5745.0</v>
      </c>
      <c r="B5742" s="5" t="s">
        <v>10506</v>
      </c>
      <c r="C5742" s="6">
        <v>1.0</v>
      </c>
      <c r="D5742" s="9" t="s">
        <v>10507</v>
      </c>
      <c r="E5742" s="8" t="str">
        <f>IFERROR(__xludf.DUMMYFUNCTION("googletranslate(D5742,""id"",""en"")"),"Lu's seeds aren't sprinkled..royat at PPKM, just eat it?")</f>
        <v>Lu's seeds aren't sprinkled..royat at PPKM, just eat it?</v>
      </c>
    </row>
    <row r="5743" ht="15.75" customHeight="1">
      <c r="A5743" s="2">
        <v>5746.0</v>
      </c>
      <c r="B5743" s="5" t="s">
        <v>10508</v>
      </c>
      <c r="C5743" s="6">
        <v>3.0</v>
      </c>
      <c r="D5743" s="9" t="s">
        <v>10509</v>
      </c>
      <c r="E5743" s="8" t="str">
        <f>IFERROR(__xludf.DUMMYFUNCTION("googletranslate(D5743,""id"",""en"")"),"Morning boss, already behind Maning Nang Bali anyway, welcome to bali, congratulations on running ppkmelan but surely we win against covid-19, don't forget to appeal pak yan koster, drink coffee hook + wine so the spirit")</f>
        <v>Morning boss, already behind Maning Nang Bali anyway, welcome to bali, congratulations on running ppkmelan but surely we win against covid-19, don't forget to appeal pak yan koster, drink coffee hook + wine so the spirit</v>
      </c>
    </row>
    <row r="5744" ht="15.75" customHeight="1">
      <c r="A5744" s="2">
        <v>5747.0</v>
      </c>
      <c r="B5744" s="5" t="s">
        <v>10510</v>
      </c>
      <c r="C5744" s="6">
        <v>1.0</v>
      </c>
      <c r="D5744" s="7" t="s">
        <v>10511</v>
      </c>
      <c r="E5744" s="8" t="str">
        <f>IFERROR(__xludf.DUMMYFUNCTION("googletranslate(D5744,""id"",""en"")"),"Again PPKM Kak Danger Tar AQ Kidnapped to RS")</f>
        <v>Again PPKM Kak Danger Tar AQ Kidnapped to RS</v>
      </c>
    </row>
    <row r="5745" ht="15.75" customHeight="1">
      <c r="A5745" s="2">
        <v>5748.0</v>
      </c>
      <c r="B5745" s="5" t="s">
        <v>10512</v>
      </c>
      <c r="C5745" s="6">
        <v>1.0</v>
      </c>
      <c r="D5745" s="7" t="s">
        <v>10512</v>
      </c>
      <c r="E5745" s="8" t="str">
        <f>IFERROR(__xludf.DUMMYFUNCTION("googletranslate(D5745,""id"",""en"")"),"Good morning the young life of his marriage is hampered by PPKM")</f>
        <v>Good morning the young life of his marriage is hampered by PPKM</v>
      </c>
    </row>
    <row r="5746" ht="15.75" customHeight="1">
      <c r="A5746" s="2">
        <v>5749.0</v>
      </c>
      <c r="B5746" s="5" t="s">
        <v>10513</v>
      </c>
      <c r="C5746" s="6">
        <v>1.0</v>
      </c>
      <c r="D5746" s="7" t="s">
        <v>10513</v>
      </c>
      <c r="E5746" s="8" t="str">
        <f>IFERROR(__xludf.DUMMYFUNCTION("googletranslate(D5746,""id"",""en"")"),"literally work road and indifferent PPKM")</f>
        <v>literally work road and indifferent PPKM</v>
      </c>
    </row>
    <row r="5747" ht="15.75" customHeight="1">
      <c r="A5747" s="2">
        <v>5750.0</v>
      </c>
      <c r="B5747" s="5" t="s">
        <v>10514</v>
      </c>
      <c r="C5747" s="6">
        <v>2.0</v>
      </c>
      <c r="D5747" s="9" t="s">
        <v>10515</v>
      </c>
      <c r="E5747" s="8" t="str">
        <f>IFERROR(__xludf.DUMMYFUNCTION("googletranslate(D5747,""id"",""en"")"),"If in the provisions still ... because PPKM is extended. But I don't know, God willing, God willing, tomorrow, you just leave. Prayer ya ken.")</f>
        <v>If in the provisions still ... because PPKM is extended. But I don't know, God willing, God willing, tomorrow, you just leave. Prayer ya ken.</v>
      </c>
    </row>
    <row r="5748" ht="15.75" customHeight="1">
      <c r="A5748" s="2">
        <v>5751.0</v>
      </c>
      <c r="B5748" s="5" t="s">
        <v>10516</v>
      </c>
      <c r="C5748" s="6">
        <v>3.0</v>
      </c>
      <c r="D5748" s="9" t="s">
        <v>10517</v>
      </c>
      <c r="E5748" s="8" t="str">
        <f>IFERROR(__xludf.DUMMYFUNCTION("googletranslate(D5748,""id"",""en"")"),"Alhamdulillah, I and my family are fine ... hope this PPKM brings kindness for all of us, Aamiin ..")</f>
        <v>Alhamdulillah, I and my family are fine ... hope this PPKM brings kindness for all of us, Aamiin ..</v>
      </c>
    </row>
    <row r="5749" ht="15.75" customHeight="1">
      <c r="A5749" s="2">
        <v>5752.0</v>
      </c>
      <c r="B5749" s="5" t="s">
        <v>10518</v>
      </c>
      <c r="C5749" s="6">
        <v>1.0</v>
      </c>
      <c r="D5749" s="7" t="s">
        <v>10519</v>
      </c>
      <c r="E5749" s="8" t="str">
        <f>IFERROR(__xludf.DUMMYFUNCTION("googletranslate(D5749,""id"",""en"")"),"Online continued Cape Bun, even though from August - June yesterday had entered. Skrg ppkm so online")</f>
        <v>Online continued Cape Bun, even though from August - June yesterday had entered. Skrg ppkm so online</v>
      </c>
    </row>
    <row r="5750" ht="15.75" customHeight="1">
      <c r="A5750" s="2">
        <v>5753.0</v>
      </c>
      <c r="B5750" s="5" t="s">
        <v>10520</v>
      </c>
      <c r="C5750" s="6">
        <v>1.0</v>
      </c>
      <c r="D5750" s="7" t="s">
        <v>10521</v>
      </c>
      <c r="E5750" s="8" t="str">
        <f>IFERROR(__xludf.DUMMYFUNCTION("googletranslate(D5750,""id"",""en"")"),"Never attention later to disappear you with Kyk PPKM")</f>
        <v>Never attention later to disappear you with Kyk PPKM</v>
      </c>
    </row>
    <row r="5751" ht="15.75" customHeight="1">
      <c r="A5751" s="2">
        <v>5754.0</v>
      </c>
      <c r="B5751" s="5" t="s">
        <v>10522</v>
      </c>
      <c r="C5751" s="6">
        <v>3.0</v>
      </c>
      <c r="D5751" s="7" t="s">
        <v>10523</v>
      </c>
      <c r="E5751" s="8" t="str">
        <f>IFERROR(__xludf.DUMMYFUNCTION("googletranslate(D5751,""id"",""en"")"),"Get ready to nge ... and more ... and hopefully the PPKM results are maximal and real.")</f>
        <v>Get ready to nge ... and more ... and hopefully the PPKM results are maximal and real.</v>
      </c>
    </row>
    <row r="5752" ht="15.75" customHeight="1">
      <c r="A5752" s="2">
        <v>5755.0</v>
      </c>
      <c r="B5752" s="5" t="s">
        <v>10524</v>
      </c>
      <c r="C5752" s="6">
        <v>1.0</v>
      </c>
      <c r="D5752" s="7" t="s">
        <v>10525</v>
      </c>
      <c r="E5752" s="8" t="str">
        <f>IFERROR(__xludf.DUMMYFUNCTION("googletranslate(D5752,""id"",""en"")"),"This was so than yesterday, almost the clock of Nutren, the crazy person, ppkm, there was no task of Gabut, I wanted to name it, but when I was given the mager, I didn't understand")</f>
        <v>This was so than yesterday, almost the clock of Nutren, the crazy person, ppkm, there was no task of Gabut, I wanted to name it, but when I was given the mager, I didn't understand</v>
      </c>
    </row>
    <row r="5753" ht="15.75" customHeight="1">
      <c r="A5753" s="2">
        <v>5756.0</v>
      </c>
      <c r="B5753" s="5" t="s">
        <v>10526</v>
      </c>
      <c r="C5753" s="6">
        <v>2.0</v>
      </c>
      <c r="D5753" s="9" t="s">
        <v>10527</v>
      </c>
      <c r="E5753" s="8" t="str">
        <f>IFERROR(__xludf.DUMMYFUNCTION("googletranslate(D5753,""id"",""en"")"),"Do you want to ask min, already vaccine but what is covid? Because the PCR results can be positive, what is the solution for this problem? Even though it was from the beginning of the PPKM but there was still no solution and PPKM continued to be extended."&amp;" Yia-mks route")</f>
        <v>Do you want to ask min, already vaccine but what is covid? Because the PCR results can be positive, what is the solution for this problem? Even though it was from the beginning of the PPKM but there was still no solution and PPKM continued to be extended. Yia-mks route</v>
      </c>
    </row>
    <row r="5754" ht="15.75" customHeight="1">
      <c r="A5754" s="2">
        <v>5757.0</v>
      </c>
      <c r="B5754" s="5" t="s">
        <v>10528</v>
      </c>
      <c r="C5754" s="6">
        <v>3.0</v>
      </c>
      <c r="D5754" s="9" t="s">
        <v>10529</v>
      </c>
      <c r="E5754" s="8" t="str">
        <f>IFERROR(__xludf.DUMMYFUNCTION("googletranslate(D5754,""id"",""en"")"),"Bismillah, you want to accompany it during the PPKM so that it doesn't work Gabut Wish Luck")</f>
        <v>Bismillah, you want to accompany it during the PPKM so that it doesn't work Gabut Wish Luck</v>
      </c>
    </row>
    <row r="5755" ht="15.75" customHeight="1">
      <c r="A5755" s="2">
        <v>5758.0</v>
      </c>
      <c r="B5755" s="5" t="s">
        <v>10530</v>
      </c>
      <c r="C5755" s="6">
        <v>1.0</v>
      </c>
      <c r="D5755" s="7" t="s">
        <v>10530</v>
      </c>
      <c r="E5755" s="8" t="str">
        <f>IFERROR(__xludf.DUMMYFUNCTION("googletranslate(D5755,""id"",""en"")"),"Dih Mles Bgt Sklh Guhe Today there is a book-taking. Knp sie sklh2 now it's not looking for an opportunity in narrow ?? I've known LG PPKM, it's necessary to tell students to take the book hrs to sklh")</f>
        <v>Dih Mles Bgt Sklh Guhe Today there is a book-taking. Knp sie sklh2 now it's not looking for an opportunity in narrow ?? I've known LG PPKM, it's necessary to tell students to take the book hrs to sklh</v>
      </c>
    </row>
    <row r="5756" ht="15.75" customHeight="1">
      <c r="A5756" s="2">
        <v>5759.0</v>
      </c>
      <c r="B5756" s="5" t="s">
        <v>10531</v>
      </c>
      <c r="C5756" s="6">
        <v>2.0</v>
      </c>
      <c r="D5756" s="7" t="s">
        <v>10532</v>
      </c>
      <c r="E5756" s="8" t="str">
        <f>IFERROR(__xludf.DUMMYFUNCTION("googletranslate(D5756,""id"",""en"")"),"Ppkm oh ppkmmmmm")</f>
        <v>Ppkm oh ppkmmmmm</v>
      </c>
    </row>
    <row r="5757" ht="15.75" customHeight="1">
      <c r="A5757" s="2">
        <v>5760.0</v>
      </c>
      <c r="B5757" s="5" t="s">
        <v>10533</v>
      </c>
      <c r="C5757" s="6">
        <v>2.0</v>
      </c>
      <c r="D5757" s="7" t="s">
        <v>10534</v>
      </c>
      <c r="E5757" s="8" t="str">
        <f>IFERROR(__xludf.DUMMYFUNCTION("googletranslate(D5757,""id"",""en"")"),"I waited for PPKM Ki Kelon Hufff")</f>
        <v>I waited for PPKM Ki Kelon Hufff</v>
      </c>
    </row>
    <row r="5758" ht="15.75" customHeight="1">
      <c r="A5758" s="2">
        <v>5761.0</v>
      </c>
      <c r="B5758" s="5" t="s">
        <v>10535</v>
      </c>
      <c r="C5758" s="6">
        <v>1.0</v>
      </c>
      <c r="D5758" s="9" t="s">
        <v>10536</v>
      </c>
      <c r="E5758" s="8" t="str">
        <f>IFERROR(__xludf.DUMMYFUNCTION("googletranslate(D5758,""id"",""en"")"),"Dah Bosen PPKM Mulu.")</f>
        <v>Dah Bosen PPKM Mulu.</v>
      </c>
    </row>
    <row r="5759" ht="15.75" customHeight="1">
      <c r="A5759" s="2">
        <v>5762.0</v>
      </c>
      <c r="B5759" s="5" t="s">
        <v>10537</v>
      </c>
      <c r="C5759" s="6">
        <v>1.0</v>
      </c>
      <c r="D5759" s="9" t="s">
        <v>10538</v>
      </c>
      <c r="E5759" s="8" t="str">
        <f>IFERROR(__xludf.DUMMYFUNCTION("googletranslate(D5759,""id"",""en"")"),"posthink just nder the ppkm dwarf so that it was rich in rich I wanted to make a surprise to the bestie but even extended the ppkm mwu angry")</f>
        <v>posthink just nder the ppkm dwarf so that it was rich in rich I wanted to make a surprise to the bestie but even extended the ppkm mwu angry</v>
      </c>
    </row>
    <row r="5760" ht="15.75" customHeight="1">
      <c r="A5760" s="2">
        <v>5763.0</v>
      </c>
      <c r="B5760" s="5" t="s">
        <v>10539</v>
      </c>
      <c r="C5760" s="6">
        <v>1.0</v>
      </c>
      <c r="D5760" s="7" t="s">
        <v>10540</v>
      </c>
      <c r="E5760" s="8" t="str">
        <f>IFERROR(__xludf.DUMMYFUNCTION("googletranslate(D5760,""id"",""en"")"),"I've missed the program, the program is still not clear, if you don't know, when? Every last day PPKM will be thusuin after sunset if it is extended a week again.")</f>
        <v>I've missed the program, the program is still not clear, if you don't know, when? Every last day PPKM will be thusuin after sunset if it is extended a week again.</v>
      </c>
    </row>
    <row r="5761" ht="15.75" customHeight="1">
      <c r="A5761" s="2">
        <v>5764.0</v>
      </c>
      <c r="B5761" s="5" t="s">
        <v>10541</v>
      </c>
      <c r="C5761" s="6">
        <v>1.0</v>
      </c>
      <c r="D5761" s="9" t="s">
        <v>10541</v>
      </c>
      <c r="E5761" s="8" t="str">
        <f>IFERROR(__xludf.DUMMYFUNCTION("googletranslate(D5761,""id"",""en"")"),"Ppkm extended, how do you want to find a mate if it's dibesinin mulu yak")</f>
        <v>Ppkm extended, how do you want to find a mate if it's dibesinin mulu yak</v>
      </c>
    </row>
    <row r="5762" ht="15.75" customHeight="1">
      <c r="A5762" s="2">
        <v>5765.0</v>
      </c>
      <c r="B5762" s="5" t="s">
        <v>10542</v>
      </c>
      <c r="C5762" s="6">
        <v>2.0</v>
      </c>
      <c r="D5762" s="7" t="s">
        <v>10543</v>
      </c>
      <c r="E5762" s="8" t="str">
        <f>IFERROR(__xludf.DUMMYFUNCTION("googletranslate(D5762,""id"",""en"")"),"if it's not ppkm huh")</f>
        <v>if it's not ppkm huh</v>
      </c>
    </row>
    <row r="5763" ht="15.75" customHeight="1">
      <c r="A5763" s="2">
        <v>5766.0</v>
      </c>
      <c r="B5763" s="5" t="s">
        <v>10544</v>
      </c>
      <c r="C5763" s="6">
        <v>1.0</v>
      </c>
      <c r="D5763" s="9" t="s">
        <v>10544</v>
      </c>
      <c r="E5763" s="8" t="str">
        <f>IFERROR(__xludf.DUMMYFUNCTION("googletranslate(D5763,""id"",""en"")"),"PPKM PPKM, GA Nice Lockdown AE SE. Kabeh Kabeh stops for some time. ppkm sm daily ramenya msh tangah different pdhl. CVD Asu OG Ancen.")</f>
        <v>PPKM PPKM, GA Nice Lockdown AE SE. Kabeh Kabeh stops for some time. ppkm sm daily ramenya msh tangah different pdhl. CVD Asu OG Ancen.</v>
      </c>
    </row>
    <row r="5764" ht="15.75" customHeight="1">
      <c r="A5764" s="2">
        <v>5767.0</v>
      </c>
      <c r="B5764" s="5" t="s">
        <v>10545</v>
      </c>
      <c r="C5764" s="6">
        <v>2.0</v>
      </c>
      <c r="D5764" s="9" t="s">
        <v>10546</v>
      </c>
      <c r="E5764" s="8" t="str">
        <f>IFERROR(__xludf.DUMMYFUNCTION("googletranslate(D5764,""id"",""en"")"),"Ppkm effect and pandemic huh? Usually there is always crowded because of the art center")</f>
        <v>Ppkm effect and pandemic huh? Usually there is always crowded because of the art center</v>
      </c>
    </row>
    <row r="5765" ht="15.75" customHeight="1">
      <c r="A5765" s="2">
        <v>5768.0</v>
      </c>
      <c r="B5765" s="5" t="s">
        <v>10547</v>
      </c>
      <c r="C5765" s="6">
        <v>1.0</v>
      </c>
      <c r="D5765" s="7" t="s">
        <v>10547</v>
      </c>
      <c r="E5765" s="8" t="str">
        <f>IFERROR(__xludf.DUMMYFUNCTION("googletranslate(D5765,""id"",""en"")"),"I was surprised, I went to health but the people didn't know PPKM. Hold practices, hold offline guidance. Kasian, whose house far must face PPKM.")</f>
        <v>I was surprised, I went to health but the people didn't know PPKM. Hold practices, hold offline guidance. Kasian, whose house far must face PPKM.</v>
      </c>
    </row>
    <row r="5766" ht="15.75" customHeight="1">
      <c r="A5766" s="2">
        <v>5769.0</v>
      </c>
      <c r="B5766" s="5" t="s">
        <v>10548</v>
      </c>
      <c r="C5766" s="6">
        <v>3.0</v>
      </c>
      <c r="D5766" s="7" t="s">
        <v>10549</v>
      </c>
      <c r="E5766" s="8" t="str">
        <f>IFERROR(__xludf.DUMMYFUNCTION("googletranslate(D5766,""id"",""en"")"),"Come on support PPKM.")</f>
        <v>Come on support PPKM.</v>
      </c>
    </row>
    <row r="5767" ht="15.75" customHeight="1">
      <c r="A5767" s="2">
        <v>5770.0</v>
      </c>
      <c r="B5767" s="5" t="s">
        <v>10550</v>
      </c>
      <c r="C5767" s="6">
        <v>3.0</v>
      </c>
      <c r="D5767" s="9" t="s">
        <v>10551</v>
      </c>
      <c r="E5767" s="8" t="str">
        <f>IFERROR(__xludf.DUMMYFUNCTION("googletranslate(D5767,""id"",""en"")"),"This HR Covid19 world translucent JT case.10JT The last case was reached in the day. hr lbh quickly. World pandemics rise again. The ID began to decline thanks to the PPKM and incessant vaccination. Agust the sacred bln for the Indonesian people. Hopefull"&amp;"y bring a blessing of the Pandemic SGR to pass.")</f>
        <v>This HR Covid19 world translucent JT case.10JT The last case was reached in the day. hr lbh quickly. World pandemics rise again. The ID began to decline thanks to the PPKM and incessant vaccination. Agust the sacred bln for the Indonesian people. Hopefully bring a blessing of the Pandemic SGR to pass.</v>
      </c>
    </row>
    <row r="5768" ht="15.75" customHeight="1">
      <c r="A5768" s="2">
        <v>5771.0</v>
      </c>
      <c r="B5768" s="5" t="s">
        <v>10552</v>
      </c>
      <c r="C5768" s="6">
        <v>1.0</v>
      </c>
      <c r="D5768" s="9" t="s">
        <v>10553</v>
      </c>
      <c r="E5768" s="8" t="str">
        <f>IFERROR(__xludf.DUMMYFUNCTION("googletranslate(D5768,""id"",""en"")"),"Apakabar indo ppkm mlulu first, when is it augment, but there is no change.")</f>
        <v>Apakabar indo ppkm mlulu first, when is it augment, but there is no change.</v>
      </c>
    </row>
    <row r="5769" ht="15.75" customHeight="1">
      <c r="A5769" s="2">
        <v>5772.0</v>
      </c>
      <c r="B5769" s="5" t="s">
        <v>10554</v>
      </c>
      <c r="C5769" s="6">
        <v>3.0</v>
      </c>
      <c r="D5769" s="10" t="s">
        <v>10555</v>
      </c>
      <c r="E5769" s="8" t="str">
        <f>IFERROR(__xludf.DUMMYFUNCTION("googletranslate(D5769,""id"",""en"")"),"Obey PPKM")</f>
        <v>Obey PPKM</v>
      </c>
    </row>
    <row r="5770" ht="15.75" customHeight="1">
      <c r="A5770" s="2">
        <v>5773.0</v>
      </c>
      <c r="B5770" s="5" t="s">
        <v>10556</v>
      </c>
      <c r="C5770" s="6">
        <v>2.0</v>
      </c>
      <c r="D5770" s="9" t="s">
        <v>10557</v>
      </c>
      <c r="E5770" s="8" t="str">
        <f>IFERROR(__xludf.DUMMYFUNCTION("googletranslate(D5770,""id"",""en"")"),"RI Independence Country, Pasjah State Palestine. In RI many people are difficult, in Palestine too. But here because independence and can be free of economic activities (before PPKM), of course the welfare can be better than Palestine, especially the Gaza"&amp;" where there is a checkpoint.")</f>
        <v>RI Independence Country, Pasjah State Palestine. In RI many people are difficult, in Palestine too. But here because independence and can be free of economic activities (before PPKM), of course the welfare can be better than Palestine, especially the Gaza where there is a checkpoint.</v>
      </c>
    </row>
    <row r="5771" ht="15.75" customHeight="1">
      <c r="A5771" s="2">
        <v>5774.0</v>
      </c>
      <c r="B5771" s="5" t="s">
        <v>10558</v>
      </c>
      <c r="C5771" s="6">
        <v>2.0</v>
      </c>
      <c r="D5771" s="7" t="s">
        <v>10559</v>
      </c>
      <c r="E5771" s="8" t="str">
        <f>IFERROR(__xludf.DUMMYFUNCTION("googletranslate(D5771,""id"",""en"")"),"Kira Fleet Twitter is missing why? Is it so bad? Or just ppkm anymore so it doesn't appear?")</f>
        <v>Kira Fleet Twitter is missing why? Is it so bad? Or just ppkm anymore so it doesn't appear?</v>
      </c>
    </row>
    <row r="5772" ht="15.75" customHeight="1">
      <c r="A5772" s="2">
        <v>5775.0</v>
      </c>
      <c r="B5772" s="5" t="s">
        <v>10560</v>
      </c>
      <c r="C5772" s="6">
        <v>3.0</v>
      </c>
      <c r="D5772" s="7" t="s">
        <v>10561</v>
      </c>
      <c r="E5772" s="8" t="str">
        <f>IFERROR(__xludf.DUMMYFUNCTION("googletranslate(D5772,""id"",""en"")"),"Ppkm jeee, take care of the distance so it doesn't work")</f>
        <v>Ppkm jeee, take care of the distance so it doesn't work</v>
      </c>
    </row>
    <row r="5773" ht="15.75" customHeight="1">
      <c r="A5773" s="2">
        <v>5776.0</v>
      </c>
      <c r="B5773" s="5" t="s">
        <v>10562</v>
      </c>
      <c r="C5773" s="6">
        <v>1.0</v>
      </c>
      <c r="D5773" s="9" t="s">
        <v>10563</v>
      </c>
      <c r="E5773" s="8" t="str">
        <f>IFERROR(__xludf.DUMMYFUNCTION("googletranslate(D5773,""id"",""en"")"),"Ppkm on the road ... the border ... mobilization ... what benefits? Mo to get there ... I used to explain the way ... late in the office..dimarahin..dlleh..malah vaccination ..acaus violations of mass prokesberumun bulk..bikin cluster transmission .. can "&amp;"it be really this")</f>
        <v>Ppkm on the road ... the border ... mobilization ... what benefits? Mo to get there ... I used to explain the way ... late in the office..dimarahin..dlleh..malah vaccination ..acaus violations of mass prokesberumun bulk..bikin cluster transmission .. can it be really this</v>
      </c>
    </row>
    <row r="5774" ht="15.75" customHeight="1">
      <c r="A5774" s="2">
        <v>5777.0</v>
      </c>
      <c r="B5774" s="5" t="s">
        <v>10564</v>
      </c>
      <c r="C5774" s="6">
        <v>2.0</v>
      </c>
      <c r="D5774" s="7" t="s">
        <v>10564</v>
      </c>
      <c r="E5774" s="8" t="str">
        <f>IFERROR(__xludf.DUMMYFUNCTION("googletranslate(D5774,""id"",""en"")"),"Just extended ppkm until one piece graduated")</f>
        <v>Just extended ppkm until one piece graduated</v>
      </c>
    </row>
    <row r="5775" ht="15.75" customHeight="1">
      <c r="A5775" s="2">
        <v>5778.0</v>
      </c>
      <c r="B5775" s="5" t="s">
        <v>10565</v>
      </c>
      <c r="C5775" s="6">
        <v>2.0</v>
      </c>
      <c r="D5775" s="7" t="s">
        <v>10566</v>
      </c>
      <c r="E5775" s="8" t="str">
        <f>IFERROR(__xludf.DUMMYFUNCTION("googletranslate(D5775,""id"",""en"")"),"Aamiin Sis Pasi at the time of PPKM ... Yom KK followed JG")</f>
        <v>Aamiin Sis Pasi at the time of PPKM ... Yom KK followed JG</v>
      </c>
    </row>
    <row r="5776" ht="15.75" customHeight="1">
      <c r="A5776" s="2">
        <v>5779.0</v>
      </c>
      <c r="B5776" s="5" t="s">
        <v>10567</v>
      </c>
      <c r="C5776" s="6">
        <v>2.0</v>
      </c>
      <c r="D5776" s="7" t="s">
        <v>10567</v>
      </c>
      <c r="E5776" s="8" t="str">
        <f>IFERROR(__xludf.DUMMYFUNCTION("googletranslate(D5776,""id"",""en"")"),"who has Instagram in PPKM this is only for giveaway one server kawand")</f>
        <v>who has Instagram in PPKM this is only for giveaway one server kawand</v>
      </c>
    </row>
    <row r="5777" ht="15.75" customHeight="1">
      <c r="A5777" s="2">
        <v>5780.0</v>
      </c>
      <c r="B5777" s="5" t="s">
        <v>10568</v>
      </c>
      <c r="C5777" s="6">
        <v>1.0</v>
      </c>
      <c r="D5777" s="7" t="s">
        <v>10569</v>
      </c>
      <c r="E5777" s="8" t="str">
        <f>IFERROR(__xludf.DUMMYFUNCTION("googletranslate(D5777,""id"",""en"")"),"Want to go to TPI TPI Gajadi Gegara PPKM Extended")</f>
        <v>Want to go to TPI TPI Gajadi Gegara PPKM Extended</v>
      </c>
    </row>
    <row r="5778" ht="15.75" customHeight="1">
      <c r="A5778" s="2">
        <v>5781.0</v>
      </c>
      <c r="B5778" s="5" t="s">
        <v>10570</v>
      </c>
      <c r="C5778" s="6">
        <v>2.0</v>
      </c>
      <c r="D5778" s="7" t="s">
        <v>10571</v>
      </c>
      <c r="E5778" s="8" t="str">
        <f>IFERROR(__xludf.DUMMYFUNCTION("googletranslate(D5778,""id"",""en"")"),"PPKM level extended, eating at the warteg can be minutes")</f>
        <v>PPKM level extended, eating at the warteg can be minutes</v>
      </c>
    </row>
    <row r="5779" ht="15.75" customHeight="1">
      <c r="A5779" s="2">
        <v>5782.0</v>
      </c>
      <c r="B5779" s="5" t="s">
        <v>10572</v>
      </c>
      <c r="C5779" s="6">
        <v>1.0</v>
      </c>
      <c r="D5779" s="7" t="s">
        <v>10573</v>
      </c>
      <c r="E5779" s="8" t="str">
        <f>IFERROR(__xludf.DUMMYFUNCTION("googletranslate(D5779,""id"",""en"")"),"Pandegalng-bintaro when the normal lecture was just the trouble of the day coupled with PPKM, the trouble made me depression. Brangkat from the house that usually to the clock station must now be a clock of travel because it has to go to the Cikouya stati"&amp;"on located in Tanggerang.")</f>
        <v>Pandegalng-bintaro when the normal lecture was just the trouble of the day coupled with PPKM, the trouble made me depression. Brangkat from the house that usually to the clock station must now be a clock of travel because it has to go to the Cikouya station located in Tanggerang.</v>
      </c>
    </row>
    <row r="5780" ht="15.75" customHeight="1">
      <c r="A5780" s="2">
        <v>5783.0</v>
      </c>
      <c r="B5780" s="5" t="s">
        <v>10574</v>
      </c>
      <c r="C5780" s="6">
        <v>1.0</v>
      </c>
      <c r="D5780" s="7" t="s">
        <v>10575</v>
      </c>
      <c r="E5780" s="8" t="str">
        <f>IFERROR(__xludf.DUMMYFUNCTION("googletranslate(D5780,""id"",""en"")"),"Emang the president where, again PPKM JG, waste money,")</f>
        <v>Emang the president where, again PPKM JG, waste money,</v>
      </c>
    </row>
    <row r="5781" ht="15.75" customHeight="1">
      <c r="A5781" s="2">
        <v>5784.0</v>
      </c>
      <c r="B5781" s="5" t="s">
        <v>10576</v>
      </c>
      <c r="C5781" s="6">
        <v>3.0</v>
      </c>
      <c r="D5781" s="7" t="s">
        <v>10577</v>
      </c>
      <c r="E5781" s="8" t="str">
        <f>IFERROR(__xludf.DUMMYFUNCTION("googletranslate(D5781,""id"",""en"")"),"Assalamualaikum WR Wbmet Morning Met Activities Fixed Discipline Prokes, Cat of PPKM, Immediately Vaccine Fixed Spirit Dg Red and White")</f>
        <v>Assalamualaikum WR Wbmet Morning Met Activities Fixed Discipline Prokes, Cat of PPKM, Immediately Vaccine Fixed Spirit Dg Red and White</v>
      </c>
    </row>
    <row r="5782" ht="15.75" customHeight="1">
      <c r="A5782" s="2">
        <v>5785.0</v>
      </c>
      <c r="B5782" s="5" t="s">
        <v>10578</v>
      </c>
      <c r="C5782" s="6">
        <v>1.0</v>
      </c>
      <c r="D5782" s="9" t="s">
        <v>10579</v>
      </c>
      <c r="E5782" s="8" t="str">
        <f>IFERROR(__xludf.DUMMYFUNCTION("googletranslate(D5782,""id"",""en"")"),"Support PPKM Level but there is no one who gives you what Covid can be a malnutrition too. Don't just scream Prokas Prokes that the poor are still shouting at eating! Do you want to finish? If the government does not corrupt and not too thirsty")</f>
        <v>Support PPKM Level but there is no one who gives you what Covid can be a malnutrition too. Don't just scream Prokas Prokes that the poor are still shouting at eating! Do you want to finish? If the government does not corrupt and not too thirsty</v>
      </c>
    </row>
    <row r="5783" ht="15.75" customHeight="1">
      <c r="A5783" s="2">
        <v>5786.0</v>
      </c>
      <c r="B5783" s="5" t="s">
        <v>10580</v>
      </c>
      <c r="C5783" s="6">
        <v>3.0</v>
      </c>
      <c r="D5783" s="7" t="s">
        <v>10581</v>
      </c>
      <c r="E5783" s="8" t="str">
        <f>IFERROR(__xludf.DUMMYFUNCTION("googletranslate(D5783,""id"",""en"")"),"Support micro PPKM in Ambon City")</f>
        <v>Support micro PPKM in Ambon City</v>
      </c>
    </row>
    <row r="5784" ht="15.75" customHeight="1">
      <c r="A5784" s="2">
        <v>5787.0</v>
      </c>
      <c r="B5784" s="5" t="s">
        <v>10582</v>
      </c>
      <c r="C5784" s="6">
        <v>3.0</v>
      </c>
      <c r="D5784" s="7" t="s">
        <v>10583</v>
      </c>
      <c r="E5784" s="8" t="str">
        <f>IFERROR(__xludf.DUMMYFUNCTION("googletranslate(D5784,""id"",""en"")"),"Micro PPKM Effectively Lower Corona Active Case")</f>
        <v>Micro PPKM Effectively Lower Corona Active Case</v>
      </c>
    </row>
    <row r="5785" ht="15.75" customHeight="1">
      <c r="A5785" s="2">
        <v>5788.0</v>
      </c>
      <c r="B5785" s="5" t="s">
        <v>10584</v>
      </c>
      <c r="C5785" s="6">
        <v>1.0</v>
      </c>
      <c r="D5785" s="7" t="s">
        <v>10585</v>
      </c>
      <c r="E5785" s="8" t="str">
        <f>IFERROR(__xludf.DUMMYFUNCTION("googletranslate(D5785,""id"",""en"")"),"HMI Bangsatgak puppies have work ... the wider community half life survives and struggles with the economy in the middle of a pandememelahanananan ppkme ..... Lu on kayak pigs, there is no braindema new demo, the base of the dog you bring to bring people'"&amp;"s names for Your action is Njing")</f>
        <v>HMI Bangsatgak puppies have work ... the wider community half life survives and struggles with the economy in the middle of a pandememelahanananan ppkme ..... Lu on kayak pigs, there is no braindema new demo, the base of the dog you bring to bring people's names for Your action is Njing</v>
      </c>
    </row>
    <row r="5786" ht="15.75" customHeight="1">
      <c r="A5786" s="2">
        <v>5789.0</v>
      </c>
      <c r="B5786" s="5" t="s">
        <v>10586</v>
      </c>
      <c r="C5786" s="6">
        <v>2.0</v>
      </c>
      <c r="D5786" s="9" t="s">
        <v>10587</v>
      </c>
      <c r="E5786" s="8" t="str">
        <f>IFERROR(__xludf.DUMMYFUNCTION("googletranslate(D5786,""id"",""en"")"),"Yes, I wanted to believe, Yakaliiii Mr. Jokowi was criticized by the Affairs of the PPKM level instead told the stream")</f>
        <v>Yes, I wanted to believe, Yakaliiii Mr. Jokowi was criticized by the Affairs of the PPKM level instead told the stream</v>
      </c>
    </row>
    <row r="5787" ht="15.75" customHeight="1">
      <c r="A5787" s="2">
        <v>5790.0</v>
      </c>
      <c r="B5787" s="5" t="s">
        <v>10588</v>
      </c>
      <c r="C5787" s="6">
        <v>3.0</v>
      </c>
      <c r="D5787" s="9" t="s">
        <v>10589</v>
      </c>
      <c r="E5787" s="8" t="str">
        <f>IFERROR(__xludf.DUMMYFUNCTION("googletranslate(D5787,""id"",""en"")"),"PPKM Level in certain districts / cities continued until August. The spirit of the guys ... still obedient ... so as not to apply the previous PPKM.")</f>
        <v>PPKM Level in certain districts / cities continued until August. The spirit of the guys ... still obedient ... so as not to apply the previous PPKM.</v>
      </c>
    </row>
    <row r="5788" ht="15.75" customHeight="1">
      <c r="A5788" s="2">
        <v>5791.0</v>
      </c>
      <c r="B5788" s="5" t="s">
        <v>10590</v>
      </c>
      <c r="C5788" s="6">
        <v>3.0</v>
      </c>
      <c r="D5788" s="7" t="s">
        <v>10591</v>
      </c>
      <c r="E5788" s="8" t="str">
        <f>IFERROR(__xludf.DUMMYFUNCTION("googletranslate(D5788,""id"",""en"")"),". Support the emergency PPKM level with obedient PPKM rules imposed, strict disciplines of the health protocol and immediately visit Fakes2 in your area to participate in vaccination. Help Indonesia recover again so that economic recovery can also be done"&amp;".")</f>
        <v>. Support the emergency PPKM level with obedient PPKM rules imposed, strict disciplines of the health protocol and immediately visit Fakes2 in your area to participate in vaccination. Help Indonesia recover again so that economic recovery can also be done.</v>
      </c>
    </row>
    <row r="5789" ht="15.75" customHeight="1">
      <c r="A5789" s="2">
        <v>5792.0</v>
      </c>
      <c r="B5789" s="5" t="s">
        <v>10592</v>
      </c>
      <c r="C5789" s="6">
        <v>3.0</v>
      </c>
      <c r="D5789" s="7" t="s">
        <v>10593</v>
      </c>
      <c r="E5789" s="8" t="str">
        <f>IFERROR(__xludf.DUMMYFUNCTION("googletranslate(D5789,""id"",""en"")"),"PPKM Level has proven to effectively reduce daily positive numbers, the amount of sand has been dramatically reduced in Covid reference hospitals.")</f>
        <v>PPKM Level has proven to effectively reduce daily positive numbers, the amount of sand has been dramatically reduced in Covid reference hospitals.</v>
      </c>
    </row>
    <row r="5790" ht="15.75" customHeight="1">
      <c r="A5790" s="2">
        <v>5793.0</v>
      </c>
      <c r="B5790" s="5" t="s">
        <v>10594</v>
      </c>
      <c r="C5790" s="6">
        <v>3.0</v>
      </c>
      <c r="D5790" s="7" t="s">
        <v>10595</v>
      </c>
      <c r="E5790" s="8" t="str">
        <f>IFERROR(__xludf.DUMMYFUNCTION("googletranslate(D5790,""id"",""en"")"),". Yuk Tiss, make sure we become a part that supports the full government program in handling Covid19. Supporting government policies related to Emergency PPKM level in order to break the chain of Covid-19 deployment.")</f>
        <v>. Yuk Tiss, make sure we become a part that supports the full government program in handling Covid19. Supporting government policies related to Emergency PPKM level in order to break the chain of Covid-19 deployment.</v>
      </c>
    </row>
    <row r="5791" ht="15.75" customHeight="1">
      <c r="A5791" s="2">
        <v>5794.0</v>
      </c>
      <c r="B5791" s="5" t="s">
        <v>10596</v>
      </c>
      <c r="C5791" s="6">
        <v>3.0</v>
      </c>
      <c r="D5791" s="9" t="s">
        <v>10597</v>
      </c>
      <c r="E5791" s="8" t="str">
        <f>IFERROR(__xludf.DUMMYFUNCTION("googletranslate(D5791,""id"",""en"")"),"Legitimate the government has extended PPKM LV, which passed in some regions according to their respective regional policies, and remember the speed of vaccination so that we quickly freed back normal")</f>
        <v>Legitimate the government has extended PPKM LV, which passed in some regions according to their respective regional policies, and remember the speed of vaccination so that we quickly freed back normal</v>
      </c>
    </row>
    <row r="5792" ht="15.75" customHeight="1">
      <c r="A5792" s="2">
        <v>5795.0</v>
      </c>
      <c r="B5792" s="5" t="s">
        <v>10598</v>
      </c>
      <c r="C5792" s="6">
        <v>3.0</v>
      </c>
      <c r="D5792" s="7" t="s">
        <v>10599</v>
      </c>
      <c r="E5792" s="8" t="str">
        <f>IFERROR(__xludf.DUMMYFUNCTION("googletranslate(D5792,""id"",""en"")"),"He continued PPKM to August in some certain districts and cities by carrying out adjustments ... optimistic ... that the number of copid cases will decrease and more and more are saved ...")</f>
        <v>He continued PPKM to August in some certain districts and cities by carrying out adjustments ... optimistic ... that the number of copid cases will decrease and more and more are saved ...</v>
      </c>
    </row>
    <row r="5793" ht="15.75" customHeight="1">
      <c r="A5793" s="2">
        <v>5796.0</v>
      </c>
      <c r="B5793" s="5" t="s">
        <v>10600</v>
      </c>
      <c r="C5793" s="6">
        <v>3.0</v>
      </c>
      <c r="D5793" s="7" t="s">
        <v>10601</v>
      </c>
      <c r="E5793" s="8" t="str">
        <f>IFERROR(__xludf.DUMMYFUNCTION("googletranslate(D5793,""id"",""en"")"),"Let's keep prokes and obey the Rules of the PPKM extension level4. This is for one goal, to continue to reduce the distribution rate and eliminate the Covid-19 virus from Indonesia.")</f>
        <v>Let's keep prokes and obey the Rules of the PPKM extension level4. This is for one goal, to continue to reduce the distribution rate and eliminate the Covid-19 virus from Indonesia.</v>
      </c>
    </row>
    <row r="5794" ht="15.75" customHeight="1">
      <c r="A5794" s="2">
        <v>5797.0</v>
      </c>
      <c r="B5794" s="5" t="s">
        <v>10602</v>
      </c>
      <c r="C5794" s="6">
        <v>3.0</v>
      </c>
      <c r="D5794" s="7" t="s">
        <v>10603</v>
      </c>
      <c r="E5794" s="8" t="str">
        <f>IFERROR(__xludf.DUMMYFUNCTION("googletranslate(D5794,""id"",""en"")"),"It is really true that the government's decision to extend the PPKM level is already right, of course so that this policy is effective, the community must continue to be disciplined in carrying out the health protocol, right ?? Yok remains obedient Gaes P"&amp;"rocess ...: //")</f>
        <v>It is really true that the government's decision to extend the PPKM level is already right, of course so that this policy is effective, the community must continue to be disciplined in carrying out the health protocol, right ?? Yok remains obedient Gaes Process ...: //</v>
      </c>
    </row>
    <row r="5795" ht="15.75" customHeight="1">
      <c r="A5795" s="2">
        <v>5798.0</v>
      </c>
      <c r="B5795" s="5" t="s">
        <v>10604</v>
      </c>
      <c r="C5795" s="6">
        <v>1.0</v>
      </c>
      <c r="D5795" s="7" t="s">
        <v>10605</v>
      </c>
      <c r="E5795" s="8" t="str">
        <f>IFERROR(__xludf.DUMMYFUNCTION("googletranslate(D5795,""id"",""en"")"),"PPKM GA PPKM is also most people who are mentally beggars")</f>
        <v>PPKM GA PPKM is also most people who are mentally beggars</v>
      </c>
    </row>
    <row r="5796" ht="15.75" customHeight="1">
      <c r="A5796" s="2">
        <v>5799.0</v>
      </c>
      <c r="B5796" s="5" t="s">
        <v>10606</v>
      </c>
      <c r="C5796" s="6">
        <v>3.0</v>
      </c>
      <c r="D5796" s="7" t="s">
        <v>10607</v>
      </c>
      <c r="E5796" s="8" t="str">
        <f>IFERROR(__xludf.DUMMYFUNCTION("googletranslate(D5796,""id"",""en"")"),"Although the positive trend has shown a decline, we must remain vigilant, remain strictly obedient prokes and obedient PPKM.")</f>
        <v>Although the positive trend has shown a decline, we must remain vigilant, remain strictly obedient prokes and obedient PPKM.</v>
      </c>
    </row>
    <row r="5797" ht="15.75" customHeight="1">
      <c r="A5797" s="2">
        <v>5800.0</v>
      </c>
      <c r="B5797" s="5" t="s">
        <v>10608</v>
      </c>
      <c r="C5797" s="6">
        <v>3.0</v>
      </c>
      <c r="D5797" s="9" t="s">
        <v>10609</v>
      </c>
      <c r="E5797" s="8" t="str">
        <f>IFERROR(__xludf.DUMMYFUNCTION("googletranslate(D5797,""id"",""en"")"),"Support the PPKM extension to August, this is for the sake of our goodness, don't disobey obey the rules made if you want to be healthy fast, take care of each of us")</f>
        <v>Support the PPKM extension to August, this is for the sake of our goodness, don't disobey obey the rules made if you want to be healthy fast, take care of each of us</v>
      </c>
    </row>
    <row r="5798" ht="15.75" customHeight="1">
      <c r="A5798" s="2">
        <v>5801.0</v>
      </c>
      <c r="B5798" s="5" t="s">
        <v>10610</v>
      </c>
      <c r="C5798" s="6">
        <v>3.0</v>
      </c>
      <c r="D5798" s="7" t="s">
        <v>10611</v>
      </c>
      <c r="E5798" s="8" t="str">
        <f>IFERROR(__xludf.DUMMYFUNCTION("googletranslate(D5798,""id"",""en"")"),"The government decided to continue the implementation of the date of the government to extend the PPKM level with a number of adjustments to the regulations related to the activities and mobility of the community in each region")</f>
        <v>The government decided to continue the implementation of the date of the government to extend the PPKM level with a number of adjustments to the regulations related to the activities and mobility of the community in each region</v>
      </c>
    </row>
    <row r="5799" ht="15.75" customHeight="1">
      <c r="A5799" s="2">
        <v>5802.0</v>
      </c>
      <c r="B5799" s="5" t="s">
        <v>10612</v>
      </c>
      <c r="C5799" s="6">
        <v>3.0</v>
      </c>
      <c r="D5799" s="7" t="s">
        <v>10613</v>
      </c>
      <c r="E5799" s="8" t="str">
        <f>IFERROR(__xludf.DUMMYFUNCTION("googletranslate(D5799,""id"",""en"")"),"PPKM level rules until August.yg obediently, friend, all of you,")</f>
        <v>PPKM level rules until August.yg obediently, friend, all of you,</v>
      </c>
    </row>
    <row r="5800" ht="15.75" customHeight="1">
      <c r="A5800" s="2">
        <v>5803.0</v>
      </c>
      <c r="B5800" s="5" t="s">
        <v>10614</v>
      </c>
      <c r="C5800" s="6">
        <v>2.0</v>
      </c>
      <c r="D5800" s="9" t="s">
        <v>10615</v>
      </c>
      <c r="E5800" s="8" t="str">
        <f>IFERROR(__xludf.DUMMYFUNCTION("googletranslate(D5800,""id"",""en"")"),"Ijin followed the MBA Domicile Depokalau, for example, Kepicidan, want a cob. Yok mak tebetkak bekasiikikiki suitable at this time of ppkm")</f>
        <v>Ijin followed the MBA Domicile Depokalau, for example, Kepicidan, want a cob. Yok mak tebetkak bekasiikikiki suitable at this time of ppkm</v>
      </c>
    </row>
    <row r="5801" ht="15.75" customHeight="1">
      <c r="A5801" s="2">
        <v>5804.0</v>
      </c>
      <c r="B5801" s="5" t="s">
        <v>10616</v>
      </c>
      <c r="C5801" s="6">
        <v>3.0</v>
      </c>
      <c r="D5801" s="9" t="s">
        <v>10617</v>
      </c>
      <c r="E5801" s="8" t="str">
        <f>IFERROR(__xludf.DUMMYFUNCTION("googletranslate(D5801,""id"",""en"")"),"PPKM is proven to press the Covid number, but we must be a proced discipline so that it will immediately pass.")</f>
        <v>PPKM is proven to press the Covid number, but we must be a proced discipline so that it will immediately pass.</v>
      </c>
    </row>
    <row r="5802" ht="15.75" customHeight="1">
      <c r="A5802" s="2">
        <v>5805.0</v>
      </c>
      <c r="B5802" s="5" t="s">
        <v>10618</v>
      </c>
      <c r="C5802" s="6">
        <v>1.0</v>
      </c>
      <c r="D5802" s="7" t="s">
        <v>10619</v>
      </c>
      <c r="E5802" s="8" t="str">
        <f>IFERROR(__xludf.DUMMYFUNCTION("googletranslate(D5802,""id"",""en"")"),"really want self healing to the beach but again ppkm gini")</f>
        <v>really want self healing to the beach but again ppkm gini</v>
      </c>
    </row>
    <row r="5803" ht="15.75" customHeight="1">
      <c r="A5803" s="2">
        <v>5806.0</v>
      </c>
      <c r="B5803" s="5" t="s">
        <v>10620</v>
      </c>
      <c r="C5803" s="6">
        <v>1.0</v>
      </c>
      <c r="D5803" s="7" t="s">
        <v>10621</v>
      </c>
      <c r="E5803" s="8" t="str">
        <f>IFERROR(__xludf.DUMMYFUNCTION("googletranslate(D5803,""id"",""en"")"),"It's delicious if corruption can, small MSMEs sell at PPKM auto prison days or fine JT. It's clear that corruption is still maintained, it can also be, it's delicious. my father challenged bpk dare not anyone who corruption immediately shot in place")</f>
        <v>It's delicious if corruption can, small MSMEs sell at PPKM auto prison days or fine JT. It's clear that corruption is still maintained, it can also be, it's delicious. my father challenged bpk dare not anyone who corruption immediately shot in place</v>
      </c>
    </row>
    <row r="5804" ht="15.75" customHeight="1">
      <c r="A5804" s="2">
        <v>5807.0</v>
      </c>
      <c r="B5804" s="5" t="s">
        <v>10622</v>
      </c>
      <c r="C5804" s="6">
        <v>2.0</v>
      </c>
      <c r="D5804" s="9" t="s">
        <v>10623</v>
      </c>
      <c r="E5804" s="8" t="str">
        <f>IFERROR(__xludf.DUMMYFUNCTION("googletranslate(D5804,""id"",""en"")"),"It's still really remember yesterday when I was married to an impromptu because again the PPKM with the drama can't go to Klaten, finally participating and confused about the make up, this was the foundie, Thankyou so much, I had added my add to the found"&amp;"i!")</f>
        <v>It's still really remember yesterday when I was married to an impromptu because again the PPKM with the drama can't go to Klaten, finally participating and confused about the make up, this was the foundie, Thankyou so much, I had added my add to the foundi!</v>
      </c>
    </row>
    <row r="5805" ht="15.75" customHeight="1">
      <c r="A5805" s="2">
        <v>5808.0</v>
      </c>
      <c r="B5805" s="5" t="s">
        <v>10624</v>
      </c>
      <c r="C5805" s="6">
        <v>1.0</v>
      </c>
      <c r="D5805" s="9" t="s">
        <v>10625</v>
      </c>
      <c r="E5805" s="8" t="str">
        <f>IFERROR(__xludf.DUMMYFUNCTION("googletranslate(D5805,""id"",""en"")"),"After all ,,,, what yes ,,,, Like you like ?? I also, if it's not lazy at the house anying")</f>
        <v>After all ,,,, what yes ,,,, Like you like ?? I also, if it's not lazy at the house anying</v>
      </c>
    </row>
    <row r="5806" ht="15.75" customHeight="1">
      <c r="A5806" s="2">
        <v>5809.0</v>
      </c>
      <c r="B5806" s="5" t="s">
        <v>10626</v>
      </c>
      <c r="C5806" s="6">
        <v>1.0</v>
      </c>
      <c r="D5806" s="7" t="s">
        <v>10627</v>
      </c>
      <c r="E5806" s="8" t="str">
        <f>IFERROR(__xludf.DUMMYFUNCTION("googletranslate(D5806,""id"",""en"")"),"There are those who are tereaka - Teawer screaming fuel prices at that time, now when the PPKM is even the workshop is in the billboards")</f>
        <v>There are those who are tereaka - Teawer screaming fuel prices at that time, now when the PPKM is even the workshop is in the billboards</v>
      </c>
    </row>
    <row r="5807" ht="15.75" customHeight="1">
      <c r="A5807" s="2">
        <v>5810.0</v>
      </c>
      <c r="B5807" s="5" t="s">
        <v>10628</v>
      </c>
      <c r="C5807" s="6">
        <v>2.0</v>
      </c>
      <c r="D5807" s="7" t="s">
        <v>10629</v>
      </c>
      <c r="E5807" s="8" t="str">
        <f>IFERROR(__xludf.DUMMYFUNCTION("googletranslate(D5807,""id"",""en"")"),"But still ppkm too")</f>
        <v>But still ppkm too</v>
      </c>
    </row>
    <row r="5808" ht="15.75" customHeight="1">
      <c r="A5808" s="2">
        <v>5811.0</v>
      </c>
      <c r="B5808" s="5" t="s">
        <v>10630</v>
      </c>
      <c r="C5808" s="6">
        <v>2.0</v>
      </c>
      <c r="D5808" s="7" t="s">
        <v>10631</v>
      </c>
      <c r="E5808" s="8" t="str">
        <f>IFERROR(__xludf.DUMMYFUNCTION("googletranslate(D5808,""id"",""en"")"),"Abis ppkm jagin yes")</f>
        <v>Abis ppkm jagin yes</v>
      </c>
    </row>
    <row r="5809" ht="15.75" customHeight="1">
      <c r="A5809" s="2">
        <v>5812.0</v>
      </c>
      <c r="B5809" s="5" t="s">
        <v>10632</v>
      </c>
      <c r="C5809" s="6">
        <v>1.0</v>
      </c>
      <c r="D5809" s="7" t="s">
        <v>10633</v>
      </c>
      <c r="E5809" s="8" t="str">
        <f>IFERROR(__xludf.DUMMYFUNCTION("googletranslate(D5809,""id"",""en"")"),"Trs bright, party on the field of ramennya is really crazy ... there is no name pandemic. Even this PPKM, someone has a party on the grounds of his house. It's not if you know, you know but pretend to be silent. But a lot of transmission there. The Covi c"&amp;"ase in Medan rises x fold.")</f>
        <v>Trs bright, party on the field of ramennya is really crazy ... there is no name pandemic. Even this PPKM, someone has a party on the grounds of his house. It's not if you know, you know but pretend to be silent. But a lot of transmission there. The Covi case in Medan rises x fold.</v>
      </c>
    </row>
    <row r="5810" ht="15.75" customHeight="1">
      <c r="A5810" s="2">
        <v>5813.0</v>
      </c>
      <c r="B5810" s="5" t="s">
        <v>10634</v>
      </c>
      <c r="C5810" s="6">
        <v>2.0</v>
      </c>
      <c r="D5810" s="9" t="s">
        <v>10635</v>
      </c>
      <c r="E5810" s="8" t="str">
        <f>IFERROR(__xludf.DUMMYFUNCTION("googletranslate(D5810,""id"",""en"")"),"Kalimantan jug ppkm huh? Here thank God it's a bit loose for the office with the market")</f>
        <v>Kalimantan jug ppkm huh? Here thank God it's a bit loose for the office with the market</v>
      </c>
    </row>
    <row r="5811" ht="15.75" customHeight="1">
      <c r="A5811" s="2">
        <v>5814.0</v>
      </c>
      <c r="B5811" s="5" t="s">
        <v>10636</v>
      </c>
      <c r="C5811" s="6">
        <v>2.0</v>
      </c>
      <c r="D5811" s="7" t="s">
        <v>10637</v>
      </c>
      <c r="E5811" s="8" t="str">
        <f>IFERROR(__xludf.DUMMYFUNCTION("googletranslate(D5811,""id"",""en"")"),"According to the Governor of Khofifah, if the PPKM is now the National and August dated, we are waiting for a decision from the government afternoon or night to see the decision")</f>
        <v>According to the Governor of Khofifah, if the PPKM is now the National and August dated, we are waiting for a decision from the government afternoon or night to see the decision</v>
      </c>
    </row>
    <row r="5812" ht="15.75" customHeight="1">
      <c r="A5812" s="2">
        <v>5815.0</v>
      </c>
      <c r="B5812" s="5" t="s">
        <v>10638</v>
      </c>
      <c r="C5812" s="6">
        <v>2.0</v>
      </c>
      <c r="D5812" s="9" t="s">
        <v>10639</v>
      </c>
      <c r="E5812" s="8" t="str">
        <f>IFERROR(__xludf.DUMMYFUNCTION("googletranslate(D5812,""id"",""en"")"),"A maturing SIM when the LV4 PPKM takes place, given concessions for the extension?")</f>
        <v>A maturing SIM when the LV4 PPKM takes place, given concessions for the extension?</v>
      </c>
    </row>
    <row r="5813" ht="15.75" customHeight="1">
      <c r="A5813" s="2">
        <v>5816.0</v>
      </c>
      <c r="B5813" s="5" t="s">
        <v>10640</v>
      </c>
      <c r="C5813" s="6">
        <v>3.0</v>
      </c>
      <c r="D5813" s="7" t="s">
        <v>10641</v>
      </c>
      <c r="E5813" s="8" t="str">
        <f>IFERROR(__xludf.DUMMYFUNCTION("googletranslate(D5813,""id"",""en"")"),"yes ko wkwk, thank God Masi Ka N hbu?")</f>
        <v>yes ko wkwk, thank God Masi Ka N hbu?</v>
      </c>
    </row>
    <row r="5814" ht="15.75" customHeight="1">
      <c r="A5814" s="2">
        <v>5817.0</v>
      </c>
      <c r="B5814" s="5" t="s">
        <v>10642</v>
      </c>
      <c r="C5814" s="6">
        <v>1.0</v>
      </c>
      <c r="D5814" s="7" t="s">
        <v>10643</v>
      </c>
      <c r="E5814" s="8" t="str">
        <f>IFERROR(__xludf.DUMMYFUNCTION("googletranslate(D5814,""id"",""en"")"),"Hey, pssstt .. wkwkga may be crowded to be disannyaaa, restricted still ppkm")</f>
        <v>Hey, pssstt .. wkwkga may be crowded to be disannyaaa, restricted still ppkm</v>
      </c>
    </row>
    <row r="5815" ht="15.75" customHeight="1">
      <c r="A5815" s="2">
        <v>5818.0</v>
      </c>
      <c r="B5815" s="5" t="s">
        <v>10644</v>
      </c>
      <c r="C5815" s="6">
        <v>1.0</v>
      </c>
      <c r="D5815" s="7" t="s">
        <v>10645</v>
      </c>
      <c r="E5815" s="8" t="str">
        <f>IFERROR(__xludf.DUMMYFUNCTION("googletranslate(D5815,""id"",""en"")"),"The people are just ordinary ... become entertainment in PPKM. SDH is usually cheated.")</f>
        <v>The people are just ordinary ... become entertainment in PPKM. SDH is usually cheated.</v>
      </c>
    </row>
    <row r="5816" ht="15.75" customHeight="1">
      <c r="A5816" s="2">
        <v>5819.0</v>
      </c>
      <c r="B5816" s="5" t="s">
        <v>10646</v>
      </c>
      <c r="C5816" s="6">
        <v>2.0</v>
      </c>
      <c r="D5816" s="7" t="s">
        <v>10647</v>
      </c>
      <c r="E5816" s="8" t="str">
        <f>IFERROR(__xludf.DUMMYFUNCTION("googletranslate(D5816,""id"",""en"")"),"PPKM level extended to August means there is still a level again to get to the level")</f>
        <v>PPKM level extended to August means there is still a level again to get to the level</v>
      </c>
    </row>
    <row r="5817" ht="15.75" customHeight="1">
      <c r="A5817" s="2">
        <v>5820.0</v>
      </c>
      <c r="B5817" s="5" t="s">
        <v>10648</v>
      </c>
      <c r="C5817" s="6">
        <v>2.0</v>
      </c>
      <c r="D5817" s="9" t="s">
        <v>10649</v>
      </c>
      <c r="E5817" s="8" t="str">
        <f>IFERROR(__xludf.DUMMYFUNCTION("googletranslate(D5817,""id"",""en"")"),"According to the Governor of East Java, we are waiting for today to be able to update PPKM Level, all of these policies can not say Malang How and East Java")</f>
        <v>According to the Governor of East Java, we are waiting for today to be able to update PPKM Level, all of these policies can not say Malang How and East Java</v>
      </c>
    </row>
    <row r="5818" ht="15.75" customHeight="1">
      <c r="A5818" s="2">
        <v>5821.0</v>
      </c>
      <c r="B5818" s="5" t="s">
        <v>10650</v>
      </c>
      <c r="C5818" s="6">
        <v>2.0</v>
      </c>
      <c r="D5818" s="7" t="s">
        <v>10651</v>
      </c>
      <c r="E5818" s="8" t="str">
        <f>IFERROR(__xludf.DUMMYFUNCTION("googletranslate(D5818,""id"",""en"")"),"PPKM is extended I still take the seat")</f>
        <v>PPKM is extended I still take the seat</v>
      </c>
    </row>
    <row r="5819" ht="15.75" customHeight="1">
      <c r="A5819" s="2">
        <v>5822.0</v>
      </c>
      <c r="B5819" s="5" t="s">
        <v>10652</v>
      </c>
      <c r="C5819" s="6">
        <v>2.0</v>
      </c>
      <c r="D5819" s="9" t="s">
        <v>10653</v>
      </c>
      <c r="E5819" s="8" t="str">
        <f>IFERROR(__xludf.DUMMYFUNCTION("googletranslate(D5819,""id"",""en"")"),"Is it an AstraZeneca vaccine in Semarang? I can't get the second dose of PA, but it can't go to Jakarta because PPKM is extended. The second schedule should be July. thanks")</f>
        <v>Is it an AstraZeneca vaccine in Semarang? I can't get the second dose of PA, but it can't go to Jakarta because PPKM is extended. The second schedule should be July. thanks</v>
      </c>
    </row>
    <row r="5820" ht="15.75" customHeight="1">
      <c r="A5820" s="2">
        <v>5823.0</v>
      </c>
      <c r="B5820" s="5" t="s">
        <v>10654</v>
      </c>
      <c r="C5820" s="6">
        <v>2.0</v>
      </c>
      <c r="D5820" s="9" t="s">
        <v>10655</v>
      </c>
      <c r="E5820" s="8" t="str">
        <f>IFERROR(__xludf.DUMMYFUNCTION("googletranslate(D5820,""id"",""en"")"),"Indeed salute the organizer of this exhibition, neat, strict health protocol, it is patient with labile fans (already given free, asking this to protest too)")</f>
        <v>Indeed salute the organizer of this exhibition, neat, strict health protocol, it is patient with labile fans (already given free, asking this to protest too)</v>
      </c>
    </row>
    <row r="5821" ht="15.75" customHeight="1">
      <c r="A5821" s="2">
        <v>5824.0</v>
      </c>
      <c r="B5821" s="5" t="s">
        <v>10656</v>
      </c>
      <c r="C5821" s="6">
        <v>2.0</v>
      </c>
      <c r="D5821" s="9" t="s">
        <v>10657</v>
      </c>
      <c r="E5821" s="8" t="str">
        <f>IFERROR(__xludf.DUMMYFUNCTION("googletranslate(D5821,""id"",""en"")"),"East Java Governor Khofifah Indar Parawansa said PPKM Level is currently a national policy because it is enforced throughout Java - Bali and has involved the epidemiology of many universities")</f>
        <v>East Java Governor Khofifah Indar Parawansa said PPKM Level is currently a national policy because it is enforced throughout Java - Bali and has involved the epidemiology of many universities</v>
      </c>
    </row>
    <row r="5822" ht="15.75" customHeight="1">
      <c r="A5822" s="2">
        <v>5825.0</v>
      </c>
      <c r="B5822" s="5" t="s">
        <v>10658</v>
      </c>
      <c r="C5822" s="6">
        <v>3.0</v>
      </c>
      <c r="D5822" s="7" t="s">
        <v>10659</v>
      </c>
      <c r="E5822" s="8" t="str">
        <f>IFERROR(__xludf.DUMMYFUNCTION("googletranslate(D5822,""id"",""en"")"),"Supports the implementation of PPKM for safety together with Jokowi")</f>
        <v>Supports the implementation of PPKM for safety together with Jokowi</v>
      </c>
    </row>
    <row r="5823" ht="15.75" customHeight="1">
      <c r="A5823" s="2">
        <v>5826.0</v>
      </c>
      <c r="B5823" s="5" t="s">
        <v>10660</v>
      </c>
      <c r="C5823" s="6">
        <v>3.0</v>
      </c>
      <c r="D5823" s="7" t="s">
        <v>10659</v>
      </c>
      <c r="E5823" s="8" t="str">
        <f>IFERROR(__xludf.DUMMYFUNCTION("googletranslate(D5823,""id"",""en"")"),"Supports the implementation of PPKM for safety together with Jokowi")</f>
        <v>Supports the implementation of PPKM for safety together with Jokowi</v>
      </c>
    </row>
    <row r="5824" ht="15.75" customHeight="1">
      <c r="A5824" s="2">
        <v>5827.0</v>
      </c>
      <c r="B5824" s="5" t="s">
        <v>10661</v>
      </c>
      <c r="C5824" s="6">
        <v>1.0</v>
      </c>
      <c r="D5824" s="9" t="s">
        <v>10662</v>
      </c>
      <c r="E5824" s="8" t="str">
        <f>IFERROR(__xludf.DUMMYFUNCTION("googletranslate(D5824,""id"",""en"")"),"I just went to the dentist, it didn't work because of the PPKM")</f>
        <v>I just went to the dentist, it didn't work because of the PPKM</v>
      </c>
    </row>
    <row r="5825" ht="15.75" customHeight="1">
      <c r="A5825" s="2">
        <v>5828.0</v>
      </c>
      <c r="B5825" s="5" t="s">
        <v>10663</v>
      </c>
      <c r="C5825" s="6">
        <v>1.0</v>
      </c>
      <c r="D5825" s="7" t="s">
        <v>10664</v>
      </c>
      <c r="E5825" s="8" t="str">
        <f>IFERROR(__xludf.DUMMYFUNCTION("googletranslate(D5825,""id"",""en"")"),"ppkm = slow slowly we are poor")</f>
        <v>ppkm = slow slowly we are poor</v>
      </c>
    </row>
    <row r="5826" ht="15.75" customHeight="1">
      <c r="A5826" s="2">
        <v>5829.0</v>
      </c>
      <c r="B5826" s="5" t="s">
        <v>10665</v>
      </c>
      <c r="C5826" s="6">
        <v>1.0</v>
      </c>
      <c r="D5826" s="7" t="s">
        <v>10665</v>
      </c>
      <c r="E5826" s="8" t="str">
        <f>IFERROR(__xludf.DUMMYFUNCTION("googletranslate(D5826,""id"",""en"")"),"PPKM is extended, Hadehhh Ngenes Indonesia, for how long as Indonesia is brackets")</f>
        <v>PPKM is extended, Hadehhh Ngenes Indonesia, for how long as Indonesia is brackets</v>
      </c>
    </row>
    <row r="5827" ht="15.75" customHeight="1">
      <c r="A5827" s="2">
        <v>5830.0</v>
      </c>
      <c r="B5827" s="5" t="s">
        <v>10666</v>
      </c>
      <c r="C5827" s="6">
        <v>3.0</v>
      </c>
      <c r="D5827" s="7" t="s">
        <v>10667</v>
      </c>
      <c r="E5827" s="8" t="str">
        <f>IFERROR(__xludf.DUMMYFUNCTION("googletranslate(D5827,""id"",""en"")"),"PPKM: Slowly we make it makmurujujuju ???")</f>
        <v>PPKM: Slowly we make it makmurujujuju ???</v>
      </c>
    </row>
    <row r="5828" ht="15.75" customHeight="1">
      <c r="A5828" s="2">
        <v>5831.0</v>
      </c>
      <c r="B5828" s="5" t="s">
        <v>10668</v>
      </c>
      <c r="C5828" s="6">
        <v>2.0</v>
      </c>
      <c r="D5828" s="7" t="s">
        <v>10668</v>
      </c>
      <c r="E5828" s="8" t="str">
        <f>IFERROR(__xludf.DUMMYFUNCTION("googletranslate(D5828,""id"",""en"")"),"Ppkm extended again huh ...?")</f>
        <v>Ppkm extended again huh ...?</v>
      </c>
    </row>
    <row r="5829" ht="15.75" customHeight="1">
      <c r="A5829" s="2">
        <v>5832.0</v>
      </c>
      <c r="B5829" s="5" t="s">
        <v>10669</v>
      </c>
      <c r="C5829" s="6">
        <v>2.0</v>
      </c>
      <c r="D5829" s="7" t="s">
        <v>10670</v>
      </c>
      <c r="E5829" s="8" t="str">
        <f>IFERROR(__xludf.DUMMYFUNCTION("googletranslate(D5829,""id"",""en"")"),"There is a PPKM promo")</f>
        <v>There is a PPKM promo</v>
      </c>
    </row>
    <row r="5830" ht="15.75" customHeight="1">
      <c r="A5830" s="2">
        <v>5833.0</v>
      </c>
      <c r="B5830" s="5" t="s">
        <v>10671</v>
      </c>
      <c r="C5830" s="6">
        <v>1.0</v>
      </c>
      <c r="D5830" s="9" t="s">
        <v>10671</v>
      </c>
      <c r="E5830" s="8" t="str">
        <f>IFERROR(__xludf.DUMMYFUNCTION("googletranslate(D5830,""id"",""en"")"),"Ngahan Ai PPKM Cave Pen Graduated Ni Ajg")</f>
        <v>Ngahan Ai PPKM Cave Pen Graduated Ni Ajg</v>
      </c>
    </row>
    <row r="5831" ht="15.75" customHeight="1">
      <c r="A5831" s="2">
        <v>5834.0</v>
      </c>
      <c r="B5831" s="5" t="s">
        <v>10672</v>
      </c>
      <c r="C5831" s="6">
        <v>1.0</v>
      </c>
      <c r="D5831" s="7" t="s">
        <v>10672</v>
      </c>
      <c r="E5831" s="8" t="str">
        <f>IFERROR(__xludf.DUMMYFUNCTION("googletranslate(D5831,""id"",""en"")"),"PPKM: Torture the poor")</f>
        <v>PPKM: Torture the poor</v>
      </c>
    </row>
    <row r="5832" ht="15.75" customHeight="1">
      <c r="A5832" s="2">
        <v>5835.0</v>
      </c>
      <c r="B5832" s="5" t="s">
        <v>10673</v>
      </c>
      <c r="C5832" s="6">
        <v>1.0</v>
      </c>
      <c r="D5832" s="9" t="s">
        <v>10674</v>
      </c>
      <c r="E5832" s="8" t="str">
        <f>IFERROR(__xludf.DUMMYFUNCTION("googletranslate(D5832,""id"",""en"")"),"yes but see sikon first is big ??? Again, the PPKM period was in the party in Pucetttt")</f>
        <v>yes but see sikon first is big ??? Again, the PPKM period was in the party in Pucetttt</v>
      </c>
    </row>
    <row r="5833" ht="15.75" customHeight="1">
      <c r="A5833" s="2">
        <v>5836.0</v>
      </c>
      <c r="B5833" s="5" t="s">
        <v>10675</v>
      </c>
      <c r="C5833" s="6">
        <v>1.0</v>
      </c>
      <c r="D5833" s="7" t="s">
        <v>10676</v>
      </c>
      <c r="E5833" s="8" t="str">
        <f>IFERROR(__xludf.DUMMYFUNCTION("googletranslate(D5833,""id"",""en"")"),"yeah tbtb sleep remember masi ppkm")</f>
        <v>yeah tbtb sleep remember masi ppkm</v>
      </c>
    </row>
    <row r="5834" ht="15.75" customHeight="1">
      <c r="A5834" s="2">
        <v>5837.0</v>
      </c>
      <c r="B5834" s="5" t="s">
        <v>10677</v>
      </c>
      <c r="C5834" s="6">
        <v>2.0</v>
      </c>
      <c r="D5834" s="9" t="s">
        <v>10677</v>
      </c>
      <c r="E5834" s="8" t="str">
        <f>IFERROR(__xludf.DUMMYFUNCTION("googletranslate(D5834,""id"",""en"")"),"Very appreciation if the road has no insulation in this PPKM")</f>
        <v>Very appreciation if the road has no insulation in this PPKM</v>
      </c>
    </row>
    <row r="5835" ht="15.75" customHeight="1">
      <c r="A5835" s="2">
        <v>5838.0</v>
      </c>
      <c r="B5835" s="5" t="s">
        <v>10678</v>
      </c>
      <c r="C5835" s="6">
        <v>3.0</v>
      </c>
      <c r="D5835" s="7" t="s">
        <v>10678</v>
      </c>
      <c r="E5835" s="8" t="str">
        <f>IFERROR(__xludf.DUMMYFUNCTION("googletranslate(D5835,""id"",""en"")"),"Ppkm for the sake of nation like our gymnastics to healthy, cycling, walk")</f>
        <v>Ppkm for the sake of nation like our gymnastics to healthy, cycling, walk</v>
      </c>
    </row>
    <row r="5836" ht="15.75" customHeight="1">
      <c r="A5836" s="2">
        <v>5839.0</v>
      </c>
      <c r="B5836" s="5" t="s">
        <v>10679</v>
      </c>
      <c r="C5836" s="6">
        <v>3.0</v>
      </c>
      <c r="D5836" s="9" t="s">
        <v>10680</v>
      </c>
      <c r="E5836" s="8" t="str">
        <f>IFERROR(__xludf.DUMMYFUNCTION("googletranslate(D5836,""id"",""en"")"),"Luckily I am most lazy to talk to people, go home from work, herself in the room, just fight. if you chat, you use a mask. Puji God I have never been sick during PPKM, it is still given a healthy reward with the above")</f>
        <v>Luckily I am most lazy to talk to people, go home from work, herself in the room, just fight. if you chat, you use a mask. Puji God I have never been sick during PPKM, it is still given a healthy reward with the above</v>
      </c>
    </row>
    <row r="5837" ht="15.75" customHeight="1">
      <c r="A5837" s="2">
        <v>5840.0</v>
      </c>
      <c r="B5837" s="5" t="s">
        <v>10681</v>
      </c>
      <c r="C5837" s="6">
        <v>2.0</v>
      </c>
      <c r="D5837" s="7" t="s">
        <v>10682</v>
      </c>
      <c r="E5837" s="8" t="str">
        <f>IFERROR(__xludf.DUMMYFUNCTION("googletranslate(D5837,""id"",""en"")"),"sir if lht info from the bpk, the level of covid dkh down hrsnya ppkm dki bs level")</f>
        <v>sir if lht info from the bpk, the level of covid dkh down hrsnya ppkm dki bs level</v>
      </c>
    </row>
    <row r="5838" ht="15.75" customHeight="1">
      <c r="A5838" s="2">
        <v>5841.0</v>
      </c>
      <c r="B5838" s="5" t="s">
        <v>10683</v>
      </c>
      <c r="C5838" s="6">
        <v>1.0</v>
      </c>
      <c r="D5838" s="7" t="s">
        <v>10684</v>
      </c>
      <c r="E5838" s="8" t="str">
        <f>IFERROR(__xludf.DUMMYFUNCTION("googletranslate(D5838,""id"",""en"")"),"Mrs. Siti my advice, it's better not to have a TV. Ppkm like this right time to sell home furnishings")</f>
        <v>Mrs. Siti my advice, it's better not to have a TV. Ppkm like this right time to sell home furnishings</v>
      </c>
    </row>
    <row r="5839" ht="15.75" customHeight="1">
      <c r="A5839" s="2">
        <v>5842.0</v>
      </c>
      <c r="B5839" s="5" t="s">
        <v>10685</v>
      </c>
      <c r="C5839" s="6">
        <v>2.0</v>
      </c>
      <c r="D5839" s="7" t="s">
        <v>10686</v>
      </c>
      <c r="E5839" s="8" t="str">
        <f>IFERROR(__xludf.DUMMYFUNCTION("googletranslate(D5839,""id"",""en"")"),"I gasuka ppkm except it changes letters after z")</f>
        <v>I gasuka ppkm except it changes letters after z</v>
      </c>
    </row>
    <row r="5840" ht="15.75" customHeight="1">
      <c r="A5840" s="2">
        <v>5843.0</v>
      </c>
      <c r="B5840" s="5" t="s">
        <v>10687</v>
      </c>
      <c r="C5840" s="6">
        <v>1.0</v>
      </c>
      <c r="D5840" s="9" t="s">
        <v>10688</v>
      </c>
      <c r="E5840" s="8" t="str">
        <f>IFERROR(__xludf.DUMMYFUNCTION("googletranslate(D5840,""id"",""en"")"),"What's not too late, just look for Hospital it's hard. It looks like the macro macro ppkm ppkm et al are even those who make RS and other faces become fog, which should be the elderly control once a month now or fear, then hard control. The tip of the end"&amp;" of commorbid is severe, then exposed to covid")</f>
        <v>What's not too late, just look for Hospital it's hard. It looks like the macro macro ppkm ppkm et al are even those who make RS and other faces become fog, which should be the elderly control once a month now or fear, then hard control. The tip of the end of commorbid is severe, then exposed to covid</v>
      </c>
    </row>
    <row r="5841" ht="15.75" customHeight="1">
      <c r="A5841" s="2">
        <v>5844.0</v>
      </c>
      <c r="B5841" s="5" t="s">
        <v>10689</v>
      </c>
      <c r="C5841" s="6">
        <v>1.0</v>
      </c>
      <c r="D5841" s="9" t="s">
        <v>10689</v>
      </c>
      <c r="E5841" s="8" t="str">
        <f>IFERROR(__xludf.DUMMYFUNCTION("googletranslate(D5841,""id"",""en"")"),"era ppkm gini if ​​you want to go to dating trs buy food must be cared because it can't eat in place, it's already aing the dating using a motorcycle")</f>
        <v>era ppkm gini if ​​you want to go to dating trs buy food must be cared because it can't eat in place, it's already aing the dating using a motorcycle</v>
      </c>
    </row>
    <row r="5842" ht="15.75" customHeight="1">
      <c r="A5842" s="2">
        <v>5845.0</v>
      </c>
      <c r="B5842" s="5" t="s">
        <v>10690</v>
      </c>
      <c r="C5842" s="6">
        <v>1.0</v>
      </c>
      <c r="D5842" s="7" t="s">
        <v>10691</v>
      </c>
      <c r="E5842" s="8" t="str">
        <f>IFERROR(__xludf.DUMMYFUNCTION("googletranslate(D5842,""id"",""en"")"),"Select corona ppkm yes yes")</f>
        <v>Select corona ppkm yes yes</v>
      </c>
    </row>
    <row r="5843" ht="15.75" customHeight="1">
      <c r="A5843" s="2">
        <v>5846.0</v>
      </c>
      <c r="B5843" s="5" t="s">
        <v>10692</v>
      </c>
      <c r="C5843" s="6">
        <v>3.0</v>
      </c>
      <c r="D5843" s="7" t="s">
        <v>10693</v>
      </c>
      <c r="E5843" s="8" t="str">
        <f>IFERROR(__xludf.DUMMYFUNCTION("googletranslate(D5843,""id"",""en"")"),"If the case goes down because the extension of the PPKM in my opinion is okay2 just mbak")</f>
        <v>If the case goes down because the extension of the PPKM in my opinion is okay2 just mbak</v>
      </c>
    </row>
    <row r="5844" ht="15.75" customHeight="1">
      <c r="A5844" s="2">
        <v>5847.0</v>
      </c>
      <c r="B5844" s="5" t="s">
        <v>10694</v>
      </c>
      <c r="C5844" s="6">
        <v>2.0</v>
      </c>
      <c r="D5844" s="10" t="s">
        <v>10695</v>
      </c>
      <c r="E5844" s="8" t="str">
        <f>IFERROR(__xludf.DUMMYFUNCTION("googletranslate(D5844,""id"",""en"")"),"msi ppkm cuy.")</f>
        <v>msi ppkm cuy.</v>
      </c>
    </row>
    <row r="5845" ht="15.75" customHeight="1">
      <c r="A5845" s="2">
        <v>5848.0</v>
      </c>
      <c r="B5845" s="5" t="s">
        <v>10696</v>
      </c>
      <c r="C5845" s="6">
        <v>2.0</v>
      </c>
      <c r="D5845" s="7" t="s">
        <v>10697</v>
      </c>
      <c r="E5845" s="8" t="str">
        <f>IFERROR(__xludf.DUMMYFUNCTION("googletranslate(D5845,""id"",""en"")"),"People Again PPKM Return Donk Pancix ...")</f>
        <v>People Again PPKM Return Donk Pancix ...</v>
      </c>
    </row>
    <row r="5846" ht="15.75" customHeight="1">
      <c r="A5846" s="2">
        <v>5849.0</v>
      </c>
      <c r="B5846" s="5" t="s">
        <v>10698</v>
      </c>
      <c r="C5846" s="6">
        <v>2.0</v>
      </c>
      <c r="D5846" s="9" t="s">
        <v>10699</v>
      </c>
      <c r="E5846" s="8" t="str">
        <f>IFERROR(__xludf.DUMMYFUNCTION("googletranslate(D5846,""id"",""en"")"),"egk zee again ppkm gabidity gmn sieee")</f>
        <v>egk zee again ppkm gabidity gmn sieee</v>
      </c>
    </row>
    <row r="5847" ht="15.75" customHeight="1">
      <c r="A5847" s="2">
        <v>5850.0</v>
      </c>
      <c r="B5847" s="5" t="s">
        <v>10700</v>
      </c>
      <c r="C5847" s="6">
        <v>1.0</v>
      </c>
      <c r="D5847" s="9" t="s">
        <v>10701</v>
      </c>
      <c r="E5847" s="8" t="str">
        <f>IFERROR(__xludf.DUMMYFUNCTION("googletranslate(D5847,""id"",""en"")"),"Blocking the KTP to confiscate ??? There are only. The KTP is a state document given to residents as an Indonesian citizen identity. This KLU happened this name violations of civic rights. Is there in the Criminal Code? Klu violates the PPKM refers to the"&amp;" regulations that regulate it, no.")</f>
        <v>Blocking the KTP to confiscate ??? There are only. The KTP is a state document given to residents as an Indonesian citizen identity. This KLU happened this name violations of civic rights. Is there in the Criminal Code? Klu violates the PPKM refers to the regulations that regulate it, no.</v>
      </c>
    </row>
    <row r="5848" ht="15.75" customHeight="1">
      <c r="A5848" s="2">
        <v>5851.0</v>
      </c>
      <c r="B5848" s="5" t="s">
        <v>10702</v>
      </c>
      <c r="C5848" s="6">
        <v>2.0</v>
      </c>
      <c r="D5848" s="10" t="s">
        <v>10703</v>
      </c>
      <c r="E5848" s="8" t="str">
        <f>IFERROR(__xludf.DUMMYFUNCTION("googletranslate(D5848,""id"",""en"")"),"LG PPKM ._.")</f>
        <v>LG PPKM ._.</v>
      </c>
    </row>
    <row r="5849" ht="15.75" customHeight="1">
      <c r="A5849" s="2">
        <v>5852.0</v>
      </c>
      <c r="B5849" s="5" t="s">
        <v>10704</v>
      </c>
      <c r="C5849" s="6">
        <v>1.0</v>
      </c>
      <c r="D5849" s="9" t="s">
        <v>10705</v>
      </c>
      <c r="E5849" s="8" t="str">
        <f>IFERROR(__xludf.DUMMYFUNCTION("googletranslate(D5849,""id"",""en"")"),"MHN is assisted by other factors. . Changes in Integrunn / Cover Cover Case and Rs.2 capacity. Enhancement / economic downturn of the community between PSBB and PPKM.3. Categorize more specific Voters.4. The evaluation of the solution that has been given "&amp;"apakh is right.")</f>
        <v>MHN is assisted by other factors. . Changes in Integrunn / Cover Cover Case and Rs.2 capacity. Enhancement / economic downturn of the community between PSBB and PPKM.3. Categorize more specific Voters.4. The evaluation of the solution that has been given apakh is right.</v>
      </c>
    </row>
    <row r="5850" ht="15.75" customHeight="1">
      <c r="A5850" s="2">
        <v>5853.0</v>
      </c>
      <c r="B5850" s="5" t="s">
        <v>10706</v>
      </c>
      <c r="C5850" s="6">
        <v>2.0</v>
      </c>
      <c r="D5850" s="9" t="s">
        <v>10706</v>
      </c>
      <c r="E5850" s="8" t="str">
        <f>IFERROR(__xludf.DUMMYFUNCTION("googletranslate(D5850,""id"",""en"")"),"The PPKM Impact was extended again, semalem I dreamed of playing to CP Mall.")</f>
        <v>The PPKM Impact was extended again, semalem I dreamed of playing to CP Mall.</v>
      </c>
    </row>
    <row r="5851" ht="15.75" customHeight="1">
      <c r="A5851" s="2">
        <v>5854.0</v>
      </c>
      <c r="B5851" s="5" t="s">
        <v>10707</v>
      </c>
      <c r="C5851" s="6">
        <v>1.0</v>
      </c>
      <c r="D5851" s="9" t="s">
        <v>10708</v>
      </c>
      <c r="E5851" s="8" t="str">
        <f>IFERROR(__xludf.DUMMYFUNCTION("googletranslate(D5851,""id"",""en"")"),"If the PPKM extension has not yet appeared the result, we change paint!")</f>
        <v>If the PPKM extension has not yet appeared the result, we change paint!</v>
      </c>
    </row>
    <row r="5852" ht="15.75" customHeight="1">
      <c r="A5852" s="2">
        <v>5855.0</v>
      </c>
      <c r="B5852" s="5" t="s">
        <v>10709</v>
      </c>
      <c r="C5852" s="6">
        <v>2.0</v>
      </c>
      <c r="D5852" s="7" t="s">
        <v>10710</v>
      </c>
      <c r="E5852" s="8" t="str">
        <f>IFERROR(__xludf.DUMMYFUNCTION("googletranslate(D5852,""id"",""en"")"),"PPKM Level (Extended)")</f>
        <v>PPKM Level (Extended)</v>
      </c>
    </row>
    <row r="5853" ht="15.75" customHeight="1">
      <c r="A5853" s="2">
        <v>5856.0</v>
      </c>
      <c r="B5853" s="5" t="s">
        <v>10711</v>
      </c>
      <c r="C5853" s="6">
        <v>2.0</v>
      </c>
      <c r="D5853" s="7" t="s">
        <v>10712</v>
      </c>
      <c r="E5853" s="8" t="str">
        <f>IFERROR(__xludf.DUMMYFUNCTION("googletranslate(D5853,""id"",""en"")"),"Hopefully the After Days PPKM is extended to subside and not renewed again, want to be a kossan child again")</f>
        <v>Hopefully the After Days PPKM is extended to subside and not renewed again, want to be a kossan child again</v>
      </c>
    </row>
    <row r="5854" ht="15.75" customHeight="1">
      <c r="A5854" s="2">
        <v>5857.0</v>
      </c>
      <c r="B5854" s="5" t="s">
        <v>10713</v>
      </c>
      <c r="C5854" s="6">
        <v>1.0</v>
      </c>
      <c r="D5854" s="7" t="s">
        <v>10714</v>
      </c>
      <c r="E5854" s="8" t="str">
        <f>IFERROR(__xludf.DUMMYFUNCTION("googletranslate(D5854,""id"",""en"")"),"The dream of the dream but know this condition bro, ppkm again?")</f>
        <v>The dream of the dream but know this condition bro, ppkm again?</v>
      </c>
    </row>
    <row r="5855" ht="15.75" customHeight="1">
      <c r="A5855" s="2">
        <v>5858.0</v>
      </c>
      <c r="B5855" s="5" t="s">
        <v>10715</v>
      </c>
      <c r="C5855" s="6">
        <v>1.0</v>
      </c>
      <c r="D5855" s="7" t="s">
        <v>10716</v>
      </c>
      <c r="E5855" s="8" t="str">
        <f>IFERROR(__xludf.DUMMYFUNCTION("googletranslate(D5855,""id"",""en"")"),"BSA is reported .. About the bansos cannot be hamlaned by vaccines ... the bansos are the right of residents who are resolved PPKM")</f>
        <v>BSA is reported .. About the bansos cannot be hamlaned by vaccines ... the bansos are the right of residents who are resolved PPKM</v>
      </c>
    </row>
    <row r="5856" ht="15.75" customHeight="1">
      <c r="A5856" s="2">
        <v>5859.0</v>
      </c>
      <c r="B5856" s="5" t="s">
        <v>10717</v>
      </c>
      <c r="C5856" s="6">
        <v>1.0</v>
      </c>
      <c r="D5856" s="7" t="s">
        <v>10718</v>
      </c>
      <c r="E5856" s="8" t="str">
        <f>IFERROR(__xludf.DUMMYFUNCTION("googletranslate(D5856,""id"",""en"")"),"Who did not comply the country of the extension of the PPKM one provincial did not Manchester County")</f>
        <v>Who did not comply the country of the extension of the PPKM one provincial did not Manchester County</v>
      </c>
    </row>
    <row r="5857" ht="15.75" customHeight="1">
      <c r="A5857" s="2">
        <v>5860.0</v>
      </c>
      <c r="B5857" s="5" t="s">
        <v>10719</v>
      </c>
      <c r="C5857" s="6">
        <v>1.0</v>
      </c>
      <c r="D5857" s="7" t="s">
        <v>10720</v>
      </c>
      <c r="E5857" s="8" t="str">
        <f>IFERROR(__xludf.DUMMYFUNCTION("googletranslate(D5857,""id"",""en"")"),"This is an idiot org, 2 millyar can tuk to help the people affected by the PPKM. The plane is not changed the plane can't fly")</f>
        <v>This is an idiot org, 2 millyar can tuk to help the people affected by the PPKM. The plane is not changed the plane can't fly</v>
      </c>
    </row>
    <row r="5858" ht="15.75" customHeight="1">
      <c r="A5858" s="2">
        <v>5861.0</v>
      </c>
      <c r="B5858" s="5" t="s">
        <v>10721</v>
      </c>
      <c r="C5858" s="6">
        <v>1.0</v>
      </c>
      <c r="D5858" s="9" t="s">
        <v>10722</v>
      </c>
      <c r="E5858" s="8" t="str">
        <f>IFERROR(__xludf.DUMMYFUNCTION("googletranslate(D5858,""id"",""en"")"),"the juy he said he had a birthday program at PPKM because his birthday was never served ... I was the last sixth grade of elementary school after that my family said that I just wanted to forget everything")</f>
        <v>the juy he said he had a birthday program at PPKM because his birthday was never served ... I was the last sixth grade of elementary school after that my family said that I just wanted to forget everything</v>
      </c>
    </row>
    <row r="5859" ht="15.75" customHeight="1">
      <c r="A5859" s="2">
        <v>5862.0</v>
      </c>
      <c r="B5859" s="5" t="s">
        <v>10723</v>
      </c>
      <c r="C5859" s="6">
        <v>3.0</v>
      </c>
      <c r="D5859" s="9" t="s">
        <v>10724</v>
      </c>
      <c r="E5859" s="8" t="str">
        <f>IFERROR(__xludf.DUMMYFUNCTION("googletranslate(D5859,""id"",""en"")"),"Awareness of all parties in suppressing the spread of-19. Starting from compliance with the health protocol, adhering to the policies imposed, to help the succeed of vaccinationPPKM is not needed if the public consciously applying the prokes!")</f>
        <v>Awareness of all parties in suppressing the spread of-19. Starting from compliance with the health protocol, adhering to the policies imposed, to help the succeed of vaccinationPPKM is not needed if the public consciously applying the prokes!</v>
      </c>
    </row>
    <row r="5860" ht="15.75" customHeight="1">
      <c r="A5860" s="2">
        <v>5863.0</v>
      </c>
      <c r="B5860" s="5" t="s">
        <v>10725</v>
      </c>
      <c r="C5860" s="6">
        <v>3.0</v>
      </c>
      <c r="D5860" s="7" t="s">
        <v>10726</v>
      </c>
      <c r="E5860" s="8" t="str">
        <f>IFERROR(__xludf.DUMMYFUNCTION("googletranslate(D5860,""id"",""en"")"),"The PPKM Level, which was announced by LGSG by President Jokowi re-implemented because it brought repairs on a national scale. It is expected that the pandemic can be overcome by this PPKM")</f>
        <v>The PPKM Level, which was announced by LGSG by President Jokowi re-implemented because it brought repairs on a national scale. It is expected that the pandemic can be overcome by this PPKM</v>
      </c>
    </row>
    <row r="5861" ht="15.75" customHeight="1">
      <c r="A5861" s="2">
        <v>5864.0</v>
      </c>
      <c r="B5861" s="5" t="s">
        <v>10727</v>
      </c>
      <c r="C5861" s="6">
        <v>1.0</v>
      </c>
      <c r="D5861" s="9" t="s">
        <v>10728</v>
      </c>
      <c r="E5861" s="8" t="str">
        <f>IFERROR(__xludf.DUMMYFUNCTION("googletranslate(D5861,""id"",""en"")"),"Morning Pak please, ppkm, no need to be extended. The fate of workers and other employees at Piye? Don't pull the hell GA JLS Gini. If you are public, don't even go to the end of the PPKM TP Max H-2 or lah. We all need certainty instead of PHP like love, "&amp;"sir")</f>
        <v>Morning Pak please, ppkm, no need to be extended. The fate of workers and other employees at Piye? Don't pull the hell GA JLS Gini. If you are public, don't even go to the end of the PPKM TP Max H-2 or lah. We all need certainty instead of PHP like love, sir</v>
      </c>
    </row>
    <row r="5862" ht="15.75" customHeight="1">
      <c r="A5862" s="2">
        <v>5865.0</v>
      </c>
      <c r="B5862" s="5" t="s">
        <v>10729</v>
      </c>
      <c r="C5862" s="6">
        <v>1.0</v>
      </c>
      <c r="D5862" s="9" t="s">
        <v>10730</v>
      </c>
      <c r="E5862" s="8" t="str">
        <f>IFERROR(__xludf.DUMMYFUNCTION("googletranslate(D5862,""id"",""en"")"),"KO PPKM Demo, Mending Look for more benefits, DR on complicating the situation, looking for a positive thing is good, but don't be positive Covit, it treats many of your family who are victims")</f>
        <v>KO PPKM Demo, Mending Look for more benefits, DR on complicating the situation, looking for a positive thing is good, but don't be positive Covit, it treats many of your family who are victims</v>
      </c>
    </row>
    <row r="5863" ht="15.75" customHeight="1">
      <c r="A5863" s="2">
        <v>5866.0</v>
      </c>
      <c r="B5863" s="5" t="s">
        <v>10731</v>
      </c>
      <c r="C5863" s="6">
        <v>2.0</v>
      </c>
      <c r="D5863" s="7" t="s">
        <v>10731</v>
      </c>
      <c r="E5863" s="8" t="str">
        <f>IFERROR(__xludf.DUMMYFUNCTION("googletranslate(D5863,""id"",""en"")"),"PPKM hurry up")</f>
        <v>PPKM hurry up</v>
      </c>
    </row>
    <row r="5864" ht="15.75" customHeight="1">
      <c r="A5864" s="2">
        <v>5867.0</v>
      </c>
      <c r="B5864" s="5" t="s">
        <v>10732</v>
      </c>
      <c r="C5864" s="6">
        <v>2.0</v>
      </c>
      <c r="D5864" s="7" t="s">
        <v>10733</v>
      </c>
      <c r="E5864" s="8" t="str">
        <f>IFERROR(__xludf.DUMMYFUNCTION("googletranslate(D5864,""id"",""en"")"),"Kan continued PPKM eh, Yakali dgedimsum minutes")</f>
        <v>Kan continued PPKM eh, Yakali dgedimsum minutes</v>
      </c>
    </row>
    <row r="5865" ht="15.75" customHeight="1">
      <c r="A5865" s="2">
        <v>5868.0</v>
      </c>
      <c r="B5865" s="5" t="s">
        <v>10734</v>
      </c>
      <c r="C5865" s="6">
        <v>1.0</v>
      </c>
      <c r="D5865" s="9" t="s">
        <v>10735</v>
      </c>
      <c r="E5865" s="8" t="str">
        <f>IFERROR(__xludf.DUMMYFUNCTION("googletranslate(D5865,""id"",""en"")"),"This bastard if the crowd keeps nimbulin cluster continuing to be ppkm again, damned derivative")</f>
        <v>This bastard if the crowd keeps nimbulin cluster continuing to be ppkm again, damned derivative</v>
      </c>
    </row>
    <row r="5866" ht="15.75" customHeight="1">
      <c r="A5866" s="2">
        <v>5869.0</v>
      </c>
      <c r="B5866" s="5" t="s">
        <v>10736</v>
      </c>
      <c r="C5866" s="6">
        <v>1.0</v>
      </c>
      <c r="D5866" s="7" t="s">
        <v>10737</v>
      </c>
      <c r="E5866" s="8" t="str">
        <f>IFERROR(__xludf.DUMMYFUNCTION("googletranslate(D5866,""id"",""en"")"),"The original I have a plan to Pacet Mbsay with Nurul, uh I when it was sick and HBS was hit by PPKM until now")</f>
        <v>The original I have a plan to Pacet Mbsay with Nurul, uh I when it was sick and HBS was hit by PPKM until now</v>
      </c>
    </row>
    <row r="5867" ht="15.75" customHeight="1">
      <c r="A5867" s="2">
        <v>5870.0</v>
      </c>
      <c r="B5867" s="5" t="s">
        <v>10738</v>
      </c>
      <c r="C5867" s="6">
        <v>2.0</v>
      </c>
      <c r="D5867" s="7" t="s">
        <v>10739</v>
      </c>
      <c r="E5867" s="8" t="str">
        <f>IFERROR(__xludf.DUMMYFUNCTION("googletranslate(D5867,""id"",""en"")"),"ppkm = want to be girlfriend brother Mikey")</f>
        <v>ppkm = want to be girlfriend brother Mikey</v>
      </c>
    </row>
    <row r="5868" ht="15.75" customHeight="1">
      <c r="A5868" s="2">
        <v>5871.0</v>
      </c>
      <c r="B5868" s="5" t="s">
        <v>10740</v>
      </c>
      <c r="C5868" s="6">
        <v>1.0</v>
      </c>
      <c r="D5868" s="9" t="s">
        <v>10741</v>
      </c>
      <c r="E5868" s="8" t="str">
        <f>IFERROR(__xludf.DUMMYFUNCTION("googletranslate(D5868,""id"",""en"")"),"This time pls allow repaired upload min. It's been difficult because the ppkm can't take the exam, I don't read the upload rules")</f>
        <v>This time pls allow repaired upload min. It's been difficult because the ppkm can't take the exam, I don't read the upload rules</v>
      </c>
    </row>
    <row r="5869" ht="15.75" customHeight="1">
      <c r="A5869" s="2">
        <v>5872.0</v>
      </c>
      <c r="B5869" s="5" t="s">
        <v>10742</v>
      </c>
      <c r="C5869" s="6">
        <v>3.0</v>
      </c>
      <c r="D5869" s="9" t="s">
        <v>10743</v>
      </c>
      <c r="E5869" s="8" t="str">
        <f>IFERROR(__xludf.DUMMYFUNCTION("googletranslate(D5869,""id"",""en"")"),"If you want to maximimal, Geber PPKM vaccination, inspect all factories / offices that are operational, are required to be obliged to have a vaccine, Alish ASN for Tasks")</f>
        <v>If you want to maximimal, Geber PPKM vaccination, inspect all factories / offices that are operational, are required to be obliged to have a vaccine, Alish ASN for Tasks</v>
      </c>
    </row>
    <row r="5870" ht="15.75" customHeight="1">
      <c r="A5870" s="2">
        <v>5873.0</v>
      </c>
      <c r="B5870" s="5" t="s">
        <v>10744</v>
      </c>
      <c r="C5870" s="6">
        <v>3.0</v>
      </c>
      <c r="D5870" s="7" t="s">
        <v>10745</v>
      </c>
      <c r="E5870" s="8" t="str">
        <f>IFERROR(__xludf.DUMMYFUNCTION("googletranslate(D5870,""id"",""en"")"),"The extension of the PPKM level to August which was decided by the Jokowi government in this pandemic period referred to the indicator that a positive case began to decline.")</f>
        <v>The extension of the PPKM level to August which was decided by the Jokowi government in this pandemic period referred to the indicator that a positive case began to decline.</v>
      </c>
    </row>
    <row r="5871" ht="15.75" customHeight="1">
      <c r="A5871" s="2">
        <v>5874.0</v>
      </c>
      <c r="B5871" s="5" t="s">
        <v>10746</v>
      </c>
      <c r="C5871" s="6">
        <v>2.0</v>
      </c>
      <c r="D5871" s="9" t="s">
        <v>10747</v>
      </c>
      <c r="E5871" s="8" t="str">
        <f>IFERROR(__xludf.DUMMYFUNCTION("googletranslate(D5871,""id"",""en"")"),"Later if it's really finished PPKM, so it's delicious to chat it hehehe")</f>
        <v>Later if it's really finished PPKM, so it's delicious to chat it hehehe</v>
      </c>
    </row>
    <row r="5872" ht="15.75" customHeight="1">
      <c r="A5872" s="2">
        <v>5875.0</v>
      </c>
      <c r="B5872" s="5" t="s">
        <v>10748</v>
      </c>
      <c r="C5872" s="6">
        <v>2.0</v>
      </c>
      <c r="D5872" s="7" t="s">
        <v>10749</v>
      </c>
      <c r="E5872" s="8" t="str">
        <f>IFERROR(__xludf.DUMMYFUNCTION("googletranslate(D5872,""id"",""en"")"),"Let's!! Later, wait for PPKM Abis")</f>
        <v>Let's!! Later, wait for PPKM Abis</v>
      </c>
    </row>
    <row r="5873" ht="15.75" customHeight="1">
      <c r="A5873" s="2">
        <v>5876.0</v>
      </c>
      <c r="B5873" s="5" t="s">
        <v>10750</v>
      </c>
      <c r="C5873" s="6">
        <v>1.0</v>
      </c>
      <c r="D5873" s="9" t="s">
        <v>10751</v>
      </c>
      <c r="E5873" s="8" t="str">
        <f>IFERROR(__xludf.DUMMYFUNCTION("googletranslate(D5873,""id"",""en"")"),"""Mak complicated to Mr. Jokowi"" ""Complementary fuck doesn't need to"" ""This PPKM is extended until the date"" ""Ahh don't have to do the word above,"" But we don't have a money, ""it can be searched for us. mah so just ahead of death, Mr. Jokowi """" "&amp;"I installments, sir """)</f>
        <v>"Mak complicated to Mr. Jokowi" "Complementary fuck doesn't need to" "This PPKM is extended until the date" "Ahh don't have to do the word above," But we don't have a money, "it can be searched for us. mah so just ahead of death, Mr. Jokowi "" I installments, sir "</v>
      </c>
    </row>
    <row r="5874" ht="15.75" customHeight="1">
      <c r="A5874" s="2">
        <v>5877.0</v>
      </c>
      <c r="B5874" s="5" t="s">
        <v>10752</v>
      </c>
      <c r="C5874" s="6">
        <v>2.0</v>
      </c>
      <c r="D5874" s="7" t="s">
        <v>10753</v>
      </c>
      <c r="E5874" s="8" t="str">
        <f>IFERROR(__xludf.DUMMYFUNCTION("googletranslate(D5874,""id"",""en"")"),"Sek .. Sek ... I mean you mean PPKM extended again until the date is Mbah?")</f>
        <v>Sek .. Sek ... I mean you mean PPKM extended again until the date is Mbah?</v>
      </c>
    </row>
    <row r="5875" ht="15.75" customHeight="1">
      <c r="A5875" s="2">
        <v>5878.0</v>
      </c>
      <c r="B5875" s="5" t="s">
        <v>10754</v>
      </c>
      <c r="C5875" s="6">
        <v>2.0</v>
      </c>
      <c r="D5875" s="9" t="s">
        <v>10754</v>
      </c>
      <c r="E5875" s="8" t="str">
        <f>IFERROR(__xludf.DUMMYFUNCTION("googletranslate(D5875,""id"",""en"")"),"ppkm = want to hug Sis Mikey")</f>
        <v>ppkm = want to hug Sis Mikey</v>
      </c>
    </row>
    <row r="5876" ht="15.75" customHeight="1">
      <c r="A5876" s="2">
        <v>5879.0</v>
      </c>
      <c r="B5876" s="5" t="s">
        <v>10755</v>
      </c>
      <c r="C5876" s="6">
        <v>1.0</v>
      </c>
      <c r="D5876" s="9" t="s">
        <v>10756</v>
      </c>
      <c r="E5876" s="8" t="str">
        <f>IFERROR(__xludf.DUMMYFUNCTION("googletranslate(D5876,""id"",""en"")"),"The PPKM is extended ... then the government period wants to let the demonstration by a group of people who say students, but behavior is not sensitive to the situation like this? Don't do it! Don't hurt the general public that I always try to obey!")</f>
        <v>The PPKM is extended ... then the government period wants to let the demonstration by a group of people who say students, but behavior is not sensitive to the situation like this? Don't do it! Don't hurt the general public that I always try to obey!</v>
      </c>
    </row>
    <row r="5877" ht="15.75" customHeight="1">
      <c r="A5877" s="2">
        <v>5880.0</v>
      </c>
      <c r="B5877" s="5" t="s">
        <v>10757</v>
      </c>
      <c r="C5877" s="6">
        <v>3.0</v>
      </c>
      <c r="D5877" s="7" t="s">
        <v>10758</v>
      </c>
      <c r="E5877" s="8" t="str">
        <f>IFERROR(__xludf.DUMMYFUNCTION("googletranslate(D5877,""id"",""en"")"),"PPKM levels imposed by President Jokowi NGA only applies to just the bree tp for the city / kab in Indonesia. Kuuy struggled together to overcome this pandemic")</f>
        <v>PPKM levels imposed by President Jokowi NGA only applies to just the bree tp for the city / kab in Indonesia. Kuuy struggled together to overcome this pandemic</v>
      </c>
    </row>
    <row r="5878" ht="15.75" customHeight="1">
      <c r="A5878" s="2">
        <v>5881.0</v>
      </c>
      <c r="B5878" s="5" t="s">
        <v>10759</v>
      </c>
      <c r="C5878" s="6">
        <v>1.0</v>
      </c>
      <c r="D5878" s="7" t="s">
        <v>10760</v>
      </c>
      <c r="E5878" s="8" t="str">
        <f>IFERROR(__xludf.DUMMYFUNCTION("googletranslate(D5878,""id"",""en"")"),"Most of the people have not believed, don't believe the people, the civil servants in my place believe this covid is kind, it's better to finish PPKM")</f>
        <v>Most of the people have not believed, don't believe the people, the civil servants in my place believe this covid is kind, it's better to finish PPKM</v>
      </c>
    </row>
    <row r="5879" ht="15.75" customHeight="1">
      <c r="A5879" s="2">
        <v>5882.0</v>
      </c>
      <c r="B5879" s="5" t="s">
        <v>10761</v>
      </c>
      <c r="C5879" s="6">
        <v>2.0</v>
      </c>
      <c r="D5879" s="7" t="s">
        <v>10762</v>
      </c>
      <c r="E5879" s="8" t="str">
        <f>IFERROR(__xludf.DUMMYFUNCTION("googletranslate(D5879,""id"",""en"")"),"TV I'm PPKM again ...")</f>
        <v>TV I'm PPKM again ...</v>
      </c>
    </row>
    <row r="5880" ht="15.75" customHeight="1">
      <c r="A5880" s="2">
        <v>5883.0</v>
      </c>
      <c r="B5880" s="5" t="s">
        <v>10763</v>
      </c>
      <c r="C5880" s="6">
        <v>2.0</v>
      </c>
      <c r="D5880" s="7" t="s">
        <v>10764</v>
      </c>
      <c r="E5880" s="8" t="str">
        <f>IFERROR(__xludf.DUMMYFUNCTION("googletranslate(D5880,""id"",""en"")"),"President Jokowi stipulates the implementation of PPKM Level starting to date $ number $ August")</f>
        <v>President Jokowi stipulates the implementation of PPKM Level starting to date $ number $ August</v>
      </c>
    </row>
    <row r="5881" ht="15.75" customHeight="1">
      <c r="A5881" s="2">
        <v>5884.0</v>
      </c>
      <c r="B5881" s="5" t="s">
        <v>10765</v>
      </c>
      <c r="C5881" s="6">
        <v>2.0</v>
      </c>
      <c r="D5881" s="7" t="s">
        <v>10766</v>
      </c>
      <c r="E5881" s="8" t="str">
        <f>IFERROR(__xludf.DUMMYFUNCTION("googletranslate(D5881,""id"",""en"")"),"Just times to be more popaler in the world ... he just looked at the bad, dragging the PPKM, but I didn't see the benefits ...")</f>
        <v>Just times to be more popaler in the world ... he just looked at the bad, dragging the PPKM, but I didn't see the benefits ...</v>
      </c>
    </row>
    <row r="5882" ht="15.75" customHeight="1">
      <c r="A5882" s="2">
        <v>5885.0</v>
      </c>
      <c r="B5882" s="5" t="s">
        <v>10767</v>
      </c>
      <c r="C5882" s="6">
        <v>2.0</v>
      </c>
      <c r="D5882" s="7" t="s">
        <v>10768</v>
      </c>
      <c r="E5882" s="8" t="str">
        <f>IFERROR(__xludf.DUMMYFUNCTION("googletranslate(D5882,""id"",""en"")"),"Mr. Jokowi announced a policy related to PPKM level during this pandemic by adjusting conditions in each region.")</f>
        <v>Mr. Jokowi announced a policy related to PPKM level during this pandemic by adjusting conditions in each region.</v>
      </c>
    </row>
    <row r="5883" ht="15.75" customHeight="1">
      <c r="A5883" s="2">
        <v>5886.0</v>
      </c>
      <c r="B5883" s="5" t="s">
        <v>10769</v>
      </c>
      <c r="C5883" s="6">
        <v>2.0</v>
      </c>
      <c r="D5883" s="7" t="s">
        <v>10769</v>
      </c>
      <c r="E5883" s="8" t="str">
        <f>IFERROR(__xludf.DUMMYFUNCTION("googletranslate(D5883,""id"",""en"")"),"PPKM is extended until he is sensitive")</f>
        <v>PPKM is extended until he is sensitive</v>
      </c>
    </row>
    <row r="5884" ht="15.75" customHeight="1">
      <c r="A5884" s="2">
        <v>5887.0</v>
      </c>
      <c r="B5884" s="5" t="s">
        <v>10770</v>
      </c>
      <c r="C5884" s="6">
        <v>1.0</v>
      </c>
      <c r="D5884" s="9" t="s">
        <v>10771</v>
      </c>
      <c r="E5884" s="8" t="str">
        <f>IFERROR(__xludf.DUMMYFUNCTION("googletranslate(D5884,""id"",""en"")"),"ppkm emg troublesome. But you don't need to stick your neck. Stupid his name.")</f>
        <v>ppkm emg troublesome. But you don't need to stick your neck. Stupid his name.</v>
      </c>
    </row>
    <row r="5885" ht="15.75" customHeight="1">
      <c r="A5885" s="2">
        <v>5888.0</v>
      </c>
      <c r="B5885" s="5" t="s">
        <v>10772</v>
      </c>
      <c r="C5885" s="6">
        <v>1.0</v>
      </c>
      <c r="D5885" s="7" t="s">
        <v>10773</v>
      </c>
      <c r="E5885" s="8" t="str">
        <f>IFERROR(__xludf.DUMMYFUNCTION("googletranslate(D5885,""id"",""en"")"),"I want to be afraid suddenly being called work, the work is also the case of PPKM")</f>
        <v>I want to be afraid suddenly being called work, the work is also the case of PPKM</v>
      </c>
    </row>
    <row r="5886" ht="15.75" customHeight="1">
      <c r="A5886" s="2">
        <v>5889.0</v>
      </c>
      <c r="B5886" s="5" t="s">
        <v>10774</v>
      </c>
      <c r="C5886" s="6">
        <v>1.0</v>
      </c>
      <c r="D5886" s="7" t="s">
        <v>10774</v>
      </c>
      <c r="E5886" s="8" t="str">
        <f>IFERROR(__xludf.DUMMYFUNCTION("googletranslate(D5886,""id"",""en"")"),"PPKM is shackled, so often up video trav in the reels")</f>
        <v>PPKM is shackled, so often up video trav in the reels</v>
      </c>
    </row>
    <row r="5887" ht="15.75" customHeight="1">
      <c r="A5887" s="2">
        <v>5890.0</v>
      </c>
      <c r="B5887" s="5" t="s">
        <v>10775</v>
      </c>
      <c r="C5887" s="6">
        <v>2.0</v>
      </c>
      <c r="D5887" s="9" t="s">
        <v>10776</v>
      </c>
      <c r="E5887" s="8" t="str">
        <f>IFERROR(__xludf.DUMMYFUNCTION("googletranslate(D5887,""id"",""en"")"),"Big PPKM BGT bree because of the president Jokowi seeks to ease the burden of Masy Dg pouring the bansos..pandemi oh pandemic")</f>
        <v>Big PPKM BGT bree because of the president Jokowi seeks to ease the burden of Masy Dg pouring the bansos..pandemi oh pandemic</v>
      </c>
    </row>
    <row r="5888" ht="15.75" customHeight="1">
      <c r="A5888" s="2">
        <v>5891.0</v>
      </c>
      <c r="B5888" s="5" t="s">
        <v>10777</v>
      </c>
      <c r="C5888" s="6">
        <v>3.0</v>
      </c>
      <c r="D5888" s="9" t="s">
        <v>10778</v>
      </c>
      <c r="E5888" s="8" t="str">
        <f>IFERROR(__xludf.DUMMYFUNCTION("googletranslate(D5888,""id"",""en"")"),"Alhamdulillah, after the lebaran pilgrimage, the sound of an ambulance, it doesn't work, why don't you know what KPKM rises, I don't know ...")</f>
        <v>Alhamdulillah, after the lebaran pilgrimage, the sound of an ambulance, it doesn't work, why don't you know what KPKM rises, I don't know ...</v>
      </c>
    </row>
    <row r="5889" ht="15.75" customHeight="1">
      <c r="A5889" s="2">
        <v>5892.0</v>
      </c>
      <c r="B5889" s="5" t="s">
        <v>10779</v>
      </c>
      <c r="C5889" s="6">
        <v>1.0</v>
      </c>
      <c r="D5889" s="7" t="s">
        <v>10780</v>
      </c>
      <c r="E5889" s="8" t="str">
        <f>IFERROR(__xludf.DUMMYFUNCTION("googletranslate(D5889,""id"",""en"")"),"Good morning, want to ask, meaning playing a ball when the PPKM level has been allowed? With the% capacity means that football can only have players per team? So vs. in the field? Or what do you do?")</f>
        <v>Good morning, want to ask, meaning playing a ball when the PPKM level has been allowed? With the% capacity means that football can only have players per team? So vs. in the field? Or what do you do?</v>
      </c>
    </row>
    <row r="5890" ht="15.75" customHeight="1">
      <c r="A5890" s="2">
        <v>5893.0</v>
      </c>
      <c r="B5890" s="5" t="s">
        <v>10781</v>
      </c>
      <c r="C5890" s="6">
        <v>3.0</v>
      </c>
      <c r="D5890" s="9" t="s">
        <v>10782</v>
      </c>
      <c r="E5890" s="8" t="str">
        <f>IFERROR(__xludf.DUMMYFUNCTION("googletranslate(D5890,""id"",""en"")"),"Morning..ppkm finally extended because the previous PPKM positive case began to decline. The SPT described by President Jokowi when announcing the extension of the PPKM Level, we HRS together struggling to adhere to the prokes and vaccinate the SGRA pande"&amp;"mic to end. (Thread)")</f>
        <v>Morning..ppkm finally extended because the previous PPKM positive case began to decline. The SPT described by President Jokowi when announcing the extension of the PPKM Level, we HRS together struggling to adhere to the prokes and vaccinate the SGRA pandemic to end. (Thread)</v>
      </c>
    </row>
    <row r="5891" ht="15.75" customHeight="1">
      <c r="A5891" s="2">
        <v>5894.0</v>
      </c>
      <c r="B5891" s="5" t="s">
        <v>10783</v>
      </c>
      <c r="C5891" s="6">
        <v>3.0</v>
      </c>
      <c r="D5891" s="7" t="s">
        <v>10784</v>
      </c>
      <c r="E5891" s="8" t="str">
        <f>IFERROR(__xludf.DUMMYFUNCTION("googletranslate(D5891,""id"",""en"")"),"Mornewng bree..gmn..gmn msh spirit underwent a ppkm extended level (again) by President Jokowi? Still the spirit of dong yaa.ppkm level4 applied because it proved to be effective for controlling a pandemic")</f>
        <v>Mornewng bree..gmn..gmn msh spirit underwent a ppkm extended level (again) by President Jokowi? Still the spirit of dong yaa.ppkm level4 applied because it proved to be effective for controlling a pandemic</v>
      </c>
    </row>
    <row r="5892" ht="15.75" customHeight="1">
      <c r="A5892" s="2">
        <v>5895.0</v>
      </c>
      <c r="B5892" s="5" t="s">
        <v>10785</v>
      </c>
      <c r="C5892" s="6">
        <v>3.0</v>
      </c>
      <c r="D5892" s="7" t="s">
        <v>10785</v>
      </c>
      <c r="E5892" s="8" t="str">
        <f>IFERROR(__xludf.DUMMYFUNCTION("googletranslate(D5892,""id"",""en"")"),"You can't stop the sunset, but you can definitely stop the Corona Virus of the new Fari. Carry out emergency PPKM at home.")</f>
        <v>You can't stop the sunset, but you can definitely stop the Corona Virus of the new Fari. Carry out emergency PPKM at home.</v>
      </c>
    </row>
    <row r="5893" ht="15.75" customHeight="1">
      <c r="A5893" s="2">
        <v>5896.0</v>
      </c>
      <c r="B5893" s="5" t="s">
        <v>10786</v>
      </c>
      <c r="C5893" s="6">
        <v>3.0</v>
      </c>
      <c r="D5893" s="9" t="s">
        <v>10787</v>
      </c>
      <c r="E5893" s="8" t="str">
        <f>IFERROR(__xludf.DUMMYFUNCTION("googletranslate(D5893,""id"",""en"")"),"The implementation of PPKM Level has an impact on restrictions on social activities of society, but the government is present in the community in the pandemic period")</f>
        <v>The implementation of PPKM Level has an impact on restrictions on social activities of society, but the government is present in the community in the pandemic period</v>
      </c>
    </row>
    <row r="5894" ht="15.75" customHeight="1">
      <c r="A5894" s="2">
        <v>5897.0</v>
      </c>
      <c r="B5894" s="5" t="s">
        <v>10788</v>
      </c>
      <c r="C5894" s="6">
        <v>1.0</v>
      </c>
      <c r="D5894" s="7" t="s">
        <v>10789</v>
      </c>
      <c r="E5894" s="8" t="str">
        <f>IFERROR(__xludf.DUMMYFUNCTION("googletranslate(D5894,""id"",""en"")"),"Yes, even then there are still choices; But is there no other choice more productive? Besides GDP which is still minus; The unemployment rate is still there and moreover the number of our vaccines is still lacking. Its use I believe is restricted; PPKM Gi"&amp;"ni President also want to go?")</f>
        <v>Yes, even then there are still choices; But is there no other choice more productive? Besides GDP which is still minus; The unemployment rate is still there and moreover the number of our vaccines is still lacking. Its use I believe is restricted; PPKM Gini President also want to go?</v>
      </c>
    </row>
    <row r="5895" ht="15.75" customHeight="1">
      <c r="A5895" s="2">
        <v>5898.0</v>
      </c>
      <c r="B5895" s="5" t="s">
        <v>10790</v>
      </c>
      <c r="C5895" s="6">
        <v>3.0</v>
      </c>
      <c r="D5895" s="9" t="s">
        <v>10791</v>
      </c>
      <c r="E5895" s="8" t="str">
        <f>IFERROR(__xludf.DUMMYFUNCTION("googletranslate(D5895,""id"",""en"")"),"The PPKM extension level will certainly not interfere with the productivity of citizens, because the government allows operating community economic activities such as traditional markets, grocery stores and supermarkets to o'clock. am With the capacity of"&amp;"% visitors.")</f>
        <v>The PPKM extension level will certainly not interfere with the productivity of citizens, because the government allows operating community economic activities such as traditional markets, grocery stores and supermarkets to o'clock. am With the capacity of% visitors.</v>
      </c>
    </row>
    <row r="5896" ht="15.75" customHeight="1">
      <c r="A5896" s="2">
        <v>5899.0</v>
      </c>
      <c r="B5896" s="5" t="s">
        <v>10792</v>
      </c>
      <c r="C5896" s="6">
        <v>3.0</v>
      </c>
      <c r="D5896" s="9" t="s">
        <v>10793</v>
      </c>
      <c r="E5896" s="8" t="str">
        <f>IFERROR(__xludf.DUMMYFUNCTION("googletranslate(D5896,""id"",""en"")"),"With the positive impact after the implementation of PPKM levels in the highly high exposure area. We must be together and support the government program against Covid.")</f>
        <v>With the positive impact after the implementation of PPKM levels in the highly high exposure area. We must be together and support the government program against Covid.</v>
      </c>
    </row>
    <row r="5897" ht="15.75" customHeight="1">
      <c r="A5897" s="2">
        <v>5900.0</v>
      </c>
      <c r="B5897" s="5" t="s">
        <v>10794</v>
      </c>
      <c r="C5897" s="6">
        <v>3.0</v>
      </c>
      <c r="D5897" s="7" t="s">
        <v>10795</v>
      </c>
      <c r="E5897" s="8" t="str">
        <f>IFERROR(__xludf.DUMMYFUNCTION("googletranslate(D5897,""id"",""en"")"),"After the enactment of PPKM Level did have a positive impact on Covid-19 exposure.")</f>
        <v>After the enactment of PPKM Level did have a positive impact on Covid-19 exposure.</v>
      </c>
    </row>
    <row r="5898" ht="15.75" customHeight="1">
      <c r="A5898" s="2">
        <v>5901.0</v>
      </c>
      <c r="B5898" s="5" t="s">
        <v>10796</v>
      </c>
      <c r="C5898" s="6">
        <v>3.0</v>
      </c>
      <c r="D5898" s="7" t="s">
        <v>10797</v>
      </c>
      <c r="E5898" s="8" t="str">
        <f>IFERROR(__xludf.DUMMYFUNCTION("googletranslate(D5898,""id"",""en"")"),"We cannot lose by Covid-19, must be together against Covit while still obeying the health protocol and suggestion of the government during the implementation of the PPKM level in the pandemic period. We should not be careless we should not lose we must be"&amp;" free from Covid ... !!")</f>
        <v>We cannot lose by Covid-19, must be together against Covit while still obeying the health protocol and suggestion of the government during the implementation of the PPKM level in the pandemic period. We should not be careless we should not lose we must be free from Covid ... !!</v>
      </c>
    </row>
    <row r="5899" ht="15.75" customHeight="1">
      <c r="A5899" s="2">
        <v>5902.0</v>
      </c>
      <c r="B5899" s="5" t="s">
        <v>10798</v>
      </c>
      <c r="C5899" s="6">
        <v>3.0</v>
      </c>
      <c r="D5899" s="7" t="s">
        <v>10798</v>
      </c>
      <c r="E5899" s="8" t="str">
        <f>IFERROR(__xludf.DUMMYFUNCTION("googletranslate(D5899,""id"",""en"")"),"There is a positive thing that can be obtained when this PPKM")</f>
        <v>There is a positive thing that can be obtained when this PPKM</v>
      </c>
    </row>
    <row r="5900" ht="15.75" customHeight="1">
      <c r="A5900" s="2">
        <v>5903.0</v>
      </c>
      <c r="B5900" s="5" t="s">
        <v>10799</v>
      </c>
      <c r="C5900" s="6">
        <v>1.0</v>
      </c>
      <c r="D5900" s="7" t="s">
        <v>10800</v>
      </c>
      <c r="E5900" s="8" t="str">
        <f>IFERROR(__xludf.DUMMYFUNCTION("googletranslate(D5900,""id"",""en"")"),"Miris ... the impact of PPKMelanPelanKaryawanMati")</f>
        <v>Miris ... the impact of PPKMelanPelanKaryawanMati</v>
      </c>
    </row>
    <row r="5901" ht="15.75" customHeight="1">
      <c r="A5901" s="2">
        <v>5904.0</v>
      </c>
      <c r="B5901" s="5" t="s">
        <v>10801</v>
      </c>
      <c r="C5901" s="6">
        <v>2.0</v>
      </c>
      <c r="D5901" s="7" t="s">
        <v>10802</v>
      </c>
      <c r="E5901" s="8" t="str">
        <f>IFERROR(__xludf.DUMMYFUNCTION("googletranslate(D5901,""id"",""en"")"),"LDR is the same as the LG PPKM")</f>
        <v>LDR is the same as the LG PPKM</v>
      </c>
    </row>
    <row r="5902" ht="15.75" customHeight="1">
      <c r="A5902" s="2">
        <v>5905.0</v>
      </c>
      <c r="B5902" s="5" t="s">
        <v>10803</v>
      </c>
      <c r="C5902" s="6">
        <v>3.0</v>
      </c>
      <c r="D5902" s="7" t="s">
        <v>10804</v>
      </c>
      <c r="E5902" s="8" t="str">
        <f>IFERROR(__xludf.DUMMYFUNCTION("googletranslate(D5902,""id"",""en"")"),"The government announced regarding the PPKM policy in the pandemic period was extended to August ... because after the implementation of the PPKM Level was implemented a positive impact on the exchangement of Covid transmission cases ..")</f>
        <v>The government announced regarding the PPKM policy in the pandemic period was extended to August ... because after the implementation of the PPKM Level was implemented a positive impact on the exchangement of Covid transmission cases ..</v>
      </c>
    </row>
    <row r="5903" ht="15.75" customHeight="1">
      <c r="A5903" s="2">
        <v>5906.0</v>
      </c>
      <c r="B5903" s="5" t="s">
        <v>10805</v>
      </c>
      <c r="C5903" s="6">
        <v>1.0</v>
      </c>
      <c r="D5903" s="7" t="s">
        <v>10806</v>
      </c>
      <c r="E5903" s="8" t="str">
        <f>IFERROR(__xludf.DUMMYFUNCTION("googletranslate(D5903,""id"",""en"")"),"Org, the vaccine form is at night. PPKM feels flat, lost its self-esteem. Hoooam, sleep again ah.")</f>
        <v>Org, the vaccine form is at night. PPKM feels flat, lost its self-esteem. Hoooam, sleep again ah.</v>
      </c>
    </row>
    <row r="5904" ht="15.75" customHeight="1">
      <c r="A5904" s="2">
        <v>5907.0</v>
      </c>
      <c r="B5904" s="5" t="s">
        <v>10807</v>
      </c>
      <c r="C5904" s="6">
        <v>2.0</v>
      </c>
      <c r="D5904" s="9" t="s">
        <v>10807</v>
      </c>
      <c r="E5904" s="8" t="str">
        <f>IFERROR(__xludf.DUMMYFUNCTION("googletranslate(D5904,""id"",""en"")"),"The research program is also a cute ppkm")</f>
        <v>The research program is also a cute ppkm</v>
      </c>
    </row>
    <row r="5905" ht="15.75" customHeight="1">
      <c r="A5905" s="2">
        <v>5908.0</v>
      </c>
      <c r="B5905" s="5" t="s">
        <v>10808</v>
      </c>
      <c r="C5905" s="6">
        <v>1.0</v>
      </c>
      <c r="D5905" s="9" t="s">
        <v>10809</v>
      </c>
      <c r="E5905" s="8" t="str">
        <f>IFERROR(__xludf.DUMMYFUNCTION("googletranslate(D5905,""id"",""en"")"),"Time Si Juliari Corrupts of Corruption Bansos Still Pretty Well Currently Well More Dragging There Is APANIH ??? PPKM Budget Perhearies Big Is Out Biasatapi Where Is That Money ??? Severe?")</f>
        <v>Time Si Juliari Corrupts of Corruption Bansos Still Pretty Well Currently Well More Dragging There Is APANIH ??? PPKM Budget Perhearies Big Is Out Biasatapi Where Is That Money ??? Severe?</v>
      </c>
    </row>
    <row r="5906" ht="15.75" customHeight="1">
      <c r="A5906" s="2">
        <v>5909.0</v>
      </c>
      <c r="B5906" s="5" t="s">
        <v>10810</v>
      </c>
      <c r="C5906" s="6">
        <v>2.0</v>
      </c>
      <c r="D5906" s="9" t="s">
        <v>10811</v>
      </c>
      <c r="E5906" s="8" t="str">
        <f>IFERROR(__xludf.DUMMYFUNCTION("googletranslate(D5906,""id"",""en"")"),"Fitting PPKM operates continued Lur")</f>
        <v>Fitting PPKM operates continued Lur</v>
      </c>
    </row>
    <row r="5907" ht="15.75" customHeight="1">
      <c r="A5907" s="2">
        <v>5910.0</v>
      </c>
      <c r="B5907" s="5" t="s">
        <v>10812</v>
      </c>
      <c r="C5907" s="6">
        <v>2.0</v>
      </c>
      <c r="D5907" s="7" t="s">
        <v>10812</v>
      </c>
      <c r="E5907" s="8" t="str">
        <f>IFERROR(__xludf.DUMMYFUNCTION("googletranslate(D5907,""id"",""en"")"),"Just wrote the extended ppkm, your relationship with him don't")</f>
        <v>Just wrote the extended ppkm, your relationship with him don't</v>
      </c>
    </row>
    <row r="5908" ht="15.75" customHeight="1">
      <c r="A5908" s="2">
        <v>5911.0</v>
      </c>
      <c r="B5908" s="5" t="s">
        <v>10813</v>
      </c>
      <c r="C5908" s="6">
        <v>1.0</v>
      </c>
      <c r="D5908" s="7" t="s">
        <v>10813</v>
      </c>
      <c r="E5908" s="8" t="str">
        <f>IFERROR(__xludf.DUMMYFUNCTION("googletranslate(D5908,""id"",""en"")"),"I was affected by the PPKM, the initially non-shift work was shifted: '((")</f>
        <v>I was affected by the PPKM, the initially non-shift work was shifted: '((</v>
      </c>
    </row>
    <row r="5909" ht="15.75" customHeight="1">
      <c r="A5909" s="2">
        <v>5912.0</v>
      </c>
      <c r="B5909" s="5" t="s">
        <v>10814</v>
      </c>
      <c r="C5909" s="6">
        <v>1.0</v>
      </c>
      <c r="D5909" s="7" t="s">
        <v>10815</v>
      </c>
      <c r="E5909" s="8" t="str">
        <f>IFERROR(__xludf.DUMMYFUNCTION("googletranslate(D5909,""id"",""en"")"),"This event must be the attention of the leaders of this country that PPKM is very tormenting the people, the action states and seriously is evidence of the suffering of the community because of PPKM.")</f>
        <v>This event must be the attention of the leaders of this country that PPKM is very tormenting the people, the action states and seriously is evidence of the suffering of the community because of PPKM.</v>
      </c>
    </row>
    <row r="5910" ht="15.75" customHeight="1">
      <c r="A5910" s="2">
        <v>5913.0</v>
      </c>
      <c r="B5910" s="5" t="s">
        <v>10816</v>
      </c>
      <c r="C5910" s="6">
        <v>3.0</v>
      </c>
      <c r="D5910" s="7" t="s">
        <v>10816</v>
      </c>
      <c r="E5910" s="8" t="str">
        <f>IFERROR(__xludf.DUMMYFUNCTION("googletranslate(D5910,""id"",""en"")"),"I swear during the PPKM, the average hour is still waking up, whether you don't watch or play the game or emg can't sleep. But now it's happy today at this time it's awake. Proud to Myself haha")</f>
        <v>I swear during the PPKM, the average hour is still waking up, whether you don't watch or play the game or emg can't sleep. But now it's happy today at this time it's awake. Proud to Myself haha</v>
      </c>
    </row>
    <row r="5911" ht="15.75" customHeight="1">
      <c r="A5911" s="2">
        <v>5914.0</v>
      </c>
      <c r="B5911" s="5" t="s">
        <v>10817</v>
      </c>
      <c r="C5911" s="6">
        <v>2.0</v>
      </c>
      <c r="D5911" s="9" t="s">
        <v>10818</v>
      </c>
      <c r="E5911" s="8" t="str">
        <f>IFERROR(__xludf.DUMMYFUNCTION("googletranslate(D5911,""id"",""en"")"),"Just let it flow, so that the PPKM will answer the Intan Mba ...")</f>
        <v>Just let it flow, so that the PPKM will answer the Intan Mba ...</v>
      </c>
    </row>
    <row r="5912" ht="15.75" customHeight="1">
      <c r="A5912" s="2">
        <v>5915.0</v>
      </c>
      <c r="B5912" s="5" t="s">
        <v>10819</v>
      </c>
      <c r="C5912" s="6">
        <v>2.0</v>
      </c>
      <c r="D5912" s="7" t="s">
        <v>10820</v>
      </c>
      <c r="E5912" s="8" t="str">
        <f>IFERROR(__xludf.DUMMYFUNCTION("googletranslate(D5912,""id"",""en"")"),"PPKM dream is revoked")</f>
        <v>PPKM dream is revoked</v>
      </c>
    </row>
    <row r="5913" ht="15.75" customHeight="1">
      <c r="A5913" s="2">
        <v>5916.0</v>
      </c>
      <c r="B5913" s="5" t="s">
        <v>10821</v>
      </c>
      <c r="C5913" s="6">
        <v>3.0</v>
      </c>
      <c r="D5913" s="7" t="s">
        <v>10822</v>
      </c>
      <c r="E5913" s="8" t="str">
        <f>IFERROR(__xludf.DUMMYFUNCTION("googletranslate(D5913,""id"",""en"")"),"Wow, hopefully this level PPKM will be smooth ... Aminn!")</f>
        <v>Wow, hopefully this level PPKM will be smooth ... Aminn!</v>
      </c>
    </row>
    <row r="5914" ht="15.75" customHeight="1">
      <c r="A5914" s="2">
        <v>5917.0</v>
      </c>
      <c r="B5914" s="5" t="s">
        <v>10823</v>
      </c>
      <c r="C5914" s="6">
        <v>1.0</v>
      </c>
      <c r="D5914" s="9" t="s">
        <v>10824</v>
      </c>
      <c r="E5914" s="8" t="str">
        <f>IFERROR(__xludf.DUMMYFUNCTION("googletranslate(D5914,""id"",""en"")"),"In DKI, the usual rules are made to be violated. PAUD and the mosque still carry out their activities even though they are PPKM. The governor and citizens are the same ... klop ...")</f>
        <v>In DKI, the usual rules are made to be violated. PAUD and the mosque still carry out their activities even though they are PPKM. The governor and citizens are the same ... klop ...</v>
      </c>
    </row>
    <row r="5915" ht="15.75" customHeight="1">
      <c r="A5915" s="2">
        <v>5918.0</v>
      </c>
      <c r="B5915" s="5" t="s">
        <v>10825</v>
      </c>
      <c r="C5915" s="6">
        <v>1.0</v>
      </c>
      <c r="D5915" s="7" t="s">
        <v>10826</v>
      </c>
      <c r="E5915" s="8" t="str">
        <f>IFERROR(__xludf.DUMMYFUNCTION("googletranslate(D5915,""id"",""en"")"),"Perhaps the reason ... Economical Pressure Social Social Socializing Psychic Dilemmatic Conditions When Inisemoga PPKM Quickly Revoked")</f>
        <v>Perhaps the reason ... Economical Pressure Social Social Socializing Psychic Dilemmatic Conditions When Inisemoga PPKM Quickly Revoked</v>
      </c>
    </row>
    <row r="5916" ht="15.75" customHeight="1">
      <c r="A5916" s="2">
        <v>5919.0</v>
      </c>
      <c r="B5916" s="5" t="s">
        <v>10827</v>
      </c>
      <c r="C5916" s="6">
        <v>1.0</v>
      </c>
      <c r="D5916" s="7" t="s">
        <v>10828</v>
      </c>
      <c r="E5916" s="8" t="str">
        <f>IFERROR(__xludf.DUMMYFUNCTION("googletranslate(D5916,""id"",""en"")"),"He stressed cm because the ppkm extended all also stressful mba")</f>
        <v>He stressed cm because the ppkm extended all also stressful mba</v>
      </c>
    </row>
    <row r="5917" ht="15.75" customHeight="1">
      <c r="A5917" s="2">
        <v>5920.0</v>
      </c>
      <c r="B5917" s="5" t="s">
        <v>10829</v>
      </c>
      <c r="C5917" s="6">
        <v>1.0</v>
      </c>
      <c r="D5917" s="9" t="s">
        <v>10830</v>
      </c>
      <c r="E5917" s="8" t="str">
        <f>IFERROR(__xludf.DUMMYFUNCTION("googletranslate(D5917,""id"",""en"")"),"All this Cases, PPKM, the variants like I can't see people just use masks, just at home, or he is negative. Already too many positive Circle examples on PCR to or. Moreover, just an antigen")</f>
        <v>All this Cases, PPKM, the variants like I can't see people just use masks, just at home, or he is negative. Already too many positive Circle examples on PCR to or. Moreover, just an antigen</v>
      </c>
    </row>
    <row r="5918" ht="15.75" customHeight="1">
      <c r="A5918" s="2">
        <v>5921.0</v>
      </c>
      <c r="B5918" s="5" t="s">
        <v>10831</v>
      </c>
      <c r="C5918" s="6">
        <v>2.0</v>
      </c>
      <c r="D5918" s="9" t="s">
        <v>10831</v>
      </c>
      <c r="E5918" s="8" t="str">
        <f>IFERROR(__xludf.DUMMYFUNCTION("googletranslate(D5918,""id"",""en"")"),"Noooo ... nobody's wrong doi just forgot to buy the package because of the ppkm trims")</f>
        <v>Noooo ... nobody's wrong doi just forgot to buy the package because of the ppkm trims</v>
      </c>
    </row>
    <row r="5919" ht="15.75" customHeight="1">
      <c r="A5919" s="2">
        <v>5922.0</v>
      </c>
      <c r="B5919" s="5" t="s">
        <v>10832</v>
      </c>
      <c r="C5919" s="6">
        <v>1.0</v>
      </c>
      <c r="D5919" s="7" t="s">
        <v>10833</v>
      </c>
      <c r="E5919" s="8" t="str">
        <f>IFERROR(__xludf.DUMMYFUNCTION("googletranslate(D5919,""id"",""en"")"),"Buzzer rp nanaon d posts jeng d selling, the heart of maneh buzzer rkyt loba loba ngajeri gr gr of covid virus d added ppkm, maneh cenah lecturer, but maneh ngudunganan rkyt, lecturer eweh k isin, eweh adab jeng ethics")</f>
        <v>Buzzer rp nanaon d posts jeng d selling, the heart of maneh buzzer rkyt loba loba ngajeri gr gr of covid virus d added ppkm, maneh cenah lecturer, but maneh ngudunganan rkyt, lecturer eweh k isin, eweh adab jeng ethics</v>
      </c>
    </row>
    <row r="5920" ht="15.75" customHeight="1">
      <c r="A5920" s="2">
        <v>5923.0</v>
      </c>
      <c r="B5920" s="5" t="s">
        <v>10834</v>
      </c>
      <c r="C5920" s="6">
        <v>1.0</v>
      </c>
      <c r="D5920" s="9" t="s">
        <v>10835</v>
      </c>
      <c r="E5920" s="8" t="str">
        <f>IFERROR(__xludf.DUMMYFUNCTION("googletranslate(D5920,""id"",""en"")"),"As usual, I check out clothes. But the PPKM is extended, it's the same as my single status. It's good to sleep ae")</f>
        <v>As usual, I check out clothes. But the PPKM is extended, it's the same as my single status. It's good to sleep ae</v>
      </c>
    </row>
    <row r="5921" ht="15.75" customHeight="1">
      <c r="A5921" s="2">
        <v>5924.0</v>
      </c>
      <c r="B5921" s="5" t="s">
        <v>10836</v>
      </c>
      <c r="C5921" s="6">
        <v>2.0</v>
      </c>
      <c r="D5921" s="7" t="s">
        <v>10837</v>
      </c>
      <c r="E5921" s="8" t="str">
        <f>IFERROR(__xludf.DUMMYFUNCTION("googletranslate(D5921,""id"",""en"")"),"His task, memorize the names of COV vaccines, how long can it be ppkm in the year?")</f>
        <v>His task, memorize the names of COV vaccines, how long can it be ppkm in the year?</v>
      </c>
    </row>
    <row r="5922" ht="15.75" customHeight="1">
      <c r="A5922" s="2">
        <v>5925.0</v>
      </c>
      <c r="B5922" s="5" t="s">
        <v>10838</v>
      </c>
      <c r="C5922" s="6">
        <v>2.0</v>
      </c>
      <c r="D5922" s="9" t="s">
        <v>10839</v>
      </c>
      <c r="E5922" s="8" t="str">
        <f>IFERROR(__xludf.DUMMYFUNCTION("googletranslate(D5922,""id"",""en"")"),"Before PPKM")</f>
        <v>Before PPKM</v>
      </c>
    </row>
    <row r="5923" ht="15.75" customHeight="1">
      <c r="A5923" s="2">
        <v>5926.0</v>
      </c>
      <c r="B5923" s="5" t="s">
        <v>10840</v>
      </c>
      <c r="C5923" s="6">
        <v>2.0</v>
      </c>
      <c r="D5923" s="9" t="s">
        <v>10841</v>
      </c>
      <c r="E5923" s="8" t="str">
        <f>IFERROR(__xludf.DUMMYFUNCTION("googletranslate(D5923,""id"",""en"")"),"PPKM is extended until next August. The tour terms did not change much from before.")</f>
        <v>PPKM is extended until next August. The tour terms did not change much from before.</v>
      </c>
    </row>
    <row r="5924" ht="15.75" customHeight="1">
      <c r="A5924" s="2">
        <v>5927.0</v>
      </c>
      <c r="B5924" s="5" t="s">
        <v>10842</v>
      </c>
      <c r="C5924" s="6">
        <v>2.0</v>
      </c>
      <c r="D5924" s="9" t="s">
        <v>10843</v>
      </c>
      <c r="E5924" s="8" t="str">
        <f>IFERROR(__xludf.DUMMYFUNCTION("googletranslate(D5924,""id"",""en"")"),"PPKM Morning Morning Kepengen Morning")</f>
        <v>PPKM Morning Morning Kepengen Morning</v>
      </c>
    </row>
    <row r="5925" ht="15.75" customHeight="1">
      <c r="A5925" s="2">
        <v>5928.0</v>
      </c>
      <c r="B5925" s="5" t="s">
        <v>10844</v>
      </c>
      <c r="C5925" s="6">
        <v>1.0</v>
      </c>
      <c r="D5925" s="9" t="s">
        <v>10845</v>
      </c>
      <c r="E5925" s="8" t="str">
        <f>IFERROR(__xludf.DUMMYFUNCTION("googletranslate(D5925,""id"",""en"")"),"Sumpek Kan Lo PPKM Molo Wkkw")</f>
        <v>Sumpek Kan Lo PPKM Molo Wkkw</v>
      </c>
    </row>
    <row r="5926" ht="15.75" customHeight="1">
      <c r="A5926" s="2">
        <v>5929.0</v>
      </c>
      <c r="B5926" s="5" t="s">
        <v>10846</v>
      </c>
      <c r="C5926" s="6">
        <v>1.0</v>
      </c>
      <c r="D5926" s="7" t="s">
        <v>10847</v>
      </c>
      <c r="E5926" s="8" t="str">
        <f>IFERROR(__xludf.DUMMYFUNCTION("googletranslate(D5926,""id"",""en"")"),"O God, Gapulang Kangenn, go home really tired of bringing the motorbike, where did you get rid of it, it's already a ppkm, so it can get the train again")</f>
        <v>O God, Gapulang Kangenn, go home really tired of bringing the motorbike, where did you get rid of it, it's already a ppkm, so it can get the train again</v>
      </c>
    </row>
    <row r="5927" ht="15.75" customHeight="1">
      <c r="A5927" s="2">
        <v>5930.0</v>
      </c>
      <c r="B5927" s="5" t="s">
        <v>10848</v>
      </c>
      <c r="C5927" s="6">
        <v>1.0</v>
      </c>
      <c r="D5927" s="7" t="s">
        <v>10849</v>
      </c>
      <c r="E5927" s="8" t="str">
        <f>IFERROR(__xludf.DUMMYFUNCTION("googletranslate(D5927,""id"",""en"")"),"Not about the color but the moment is not right with the current situation. New name emergency ppkm means this pandemic situation has been an emergency, but kog still can sniff the plane")</f>
        <v>Not about the color but the moment is not right with the current situation. New name emergency ppkm means this pandemic situation has been an emergency, but kog still can sniff the plane</v>
      </c>
    </row>
    <row r="5928" ht="15.75" customHeight="1">
      <c r="A5928" s="2">
        <v>5931.0</v>
      </c>
      <c r="B5928" s="5" t="s">
        <v>10850</v>
      </c>
      <c r="C5928" s="6">
        <v>3.0</v>
      </c>
      <c r="D5928" s="7" t="s">
        <v>10851</v>
      </c>
      <c r="E5928" s="8" t="str">
        <f>IFERROR(__xludf.DUMMYFUNCTION("googletranslate(D5928,""id"",""en"")"),"Hopefully this PPKM runs smoothly!")</f>
        <v>Hopefully this PPKM runs smoothly!</v>
      </c>
    </row>
    <row r="5929" ht="15.75" customHeight="1">
      <c r="A5929" s="2">
        <v>5932.0</v>
      </c>
      <c r="B5929" s="5" t="s">
        <v>10852</v>
      </c>
      <c r="C5929" s="6">
        <v>2.0</v>
      </c>
      <c r="D5929" s="7" t="s">
        <v>10852</v>
      </c>
      <c r="E5929" s="8" t="str">
        <f>IFERROR(__xludf.DUMMYFUNCTION("googletranslate(D5929,""id"",""en"")"),"just realized my cellphone case was really bad, the mall ambassador ppkm opened it")</f>
        <v>just realized my cellphone case was really bad, the mall ambassador ppkm opened it</v>
      </c>
    </row>
    <row r="5930" ht="15.75" customHeight="1">
      <c r="A5930" s="2">
        <v>5933.0</v>
      </c>
      <c r="B5930" s="5" t="s">
        <v>10853</v>
      </c>
      <c r="C5930" s="6">
        <v>3.0</v>
      </c>
      <c r="D5930" s="7" t="s">
        <v>10854</v>
      </c>
      <c r="E5930" s="8" t="str">
        <f>IFERROR(__xludf.DUMMYFUNCTION("googletranslate(D5930,""id"",""en"")"),"Effective PPKM Nurunin Covid Case Yes, it's not extended so that it will immediately live normally again, bro")</f>
        <v>Effective PPKM Nurunin Covid Case Yes, it's not extended so that it will immediately live normally again, bro</v>
      </c>
    </row>
    <row r="5931" ht="15.75" customHeight="1">
      <c r="A5931" s="2">
        <v>5934.0</v>
      </c>
      <c r="B5931" s="5" t="s">
        <v>10855</v>
      </c>
      <c r="C5931" s="6">
        <v>2.0</v>
      </c>
      <c r="D5931" s="7" t="s">
        <v>10856</v>
      </c>
      <c r="E5931" s="8" t="str">
        <f>IFERROR(__xludf.DUMMYFUNCTION("googletranslate(D5931,""id"",""en"")"),"Ppkm but wae gas")</f>
        <v>Ppkm but wae gas</v>
      </c>
    </row>
    <row r="5932" ht="15.75" customHeight="1">
      <c r="A5932" s="2">
        <v>5935.0</v>
      </c>
      <c r="B5932" s="5" t="s">
        <v>10857</v>
      </c>
      <c r="C5932" s="6">
        <v>3.0</v>
      </c>
      <c r="D5932" s="7" t="s">
        <v>10858</v>
      </c>
      <c r="E5932" s="8" t="str">
        <f>IFERROR(__xludf.DUMMYFUNCTION("googletranslate(D5932,""id"",""en"")"),"Most people just want PPKM to be completed, not the pandemic finished. Dous, how to do a pandemic? Yes ppkm one of them")</f>
        <v>Most people just want PPKM to be completed, not the pandemic finished. Dous, how to do a pandemic? Yes ppkm one of them</v>
      </c>
    </row>
    <row r="5933" ht="15.75" customHeight="1">
      <c r="A5933" s="2">
        <v>5936.0</v>
      </c>
      <c r="B5933" s="5" t="s">
        <v>10859</v>
      </c>
      <c r="C5933" s="6">
        <v>1.0</v>
      </c>
      <c r="D5933" s="7" t="s">
        <v>10860</v>
      </c>
      <c r="E5933" s="8" t="str">
        <f>IFERROR(__xludf.DUMMYFUNCTION("googletranslate(D5933,""id"",""en"")"),"Tasty bat in America can already tour Indonesian meanwhile still wae ppkm")</f>
        <v>Tasty bat in America can already tour Indonesian meanwhile still wae ppkm</v>
      </c>
    </row>
    <row r="5934" ht="15.75" customHeight="1">
      <c r="A5934" s="2">
        <v>5937.0</v>
      </c>
      <c r="B5934" s="5" t="s">
        <v>10861</v>
      </c>
      <c r="C5934" s="6">
        <v>3.0</v>
      </c>
      <c r="D5934" s="7" t="s">
        <v>10862</v>
      </c>
      <c r="E5934" s="8" t="str">
        <f>IFERROR(__xludf.DUMMYFUNCTION("googletranslate(D5934,""id"",""en"")"),"Not only the president who reminded the pillar of handling. Expert team and government spokesman for handling Covid-19, Prof. Wiku Adisasmito also said, ""In general, the application of PPKM Level has brought improvement.""")</f>
        <v>Not only the president who reminded the pillar of handling. Expert team and government spokesman for handling Covid-19, Prof. Wiku Adisasmito also said, "In general, the application of PPKM Level has brought improvement."</v>
      </c>
    </row>
    <row r="5935" ht="15.75" customHeight="1">
      <c r="A5935" s="2">
        <v>5938.0</v>
      </c>
      <c r="B5935" s="5" t="s">
        <v>10863</v>
      </c>
      <c r="C5935" s="6">
        <v>3.0</v>
      </c>
      <c r="D5935" s="9" t="s">
        <v>10864</v>
      </c>
      <c r="E5935" s="8" t="str">
        <f>IFERROR(__xludf.DUMMYFUNCTION("googletranslate(D5935,""id"",""en"")"),"""The application of the PPKM on - July to August has previously brought improvements. It can be seen from various indicators such as decreasing the number of daily cases, a decrease in the occupancy rate of the bed. And the increase in cure rates,"" Pill"&amp;"ar Handling")</f>
        <v>"The application of the PPKM on - July to August has previously brought improvements. It can be seen from various indicators such as decreasing the number of daily cases, a decrease in the occupancy rate of the bed. And the increase in cure rates," Pillar Handling</v>
      </c>
    </row>
    <row r="5936" ht="15.75" customHeight="1">
      <c r="A5936" s="2">
        <v>5939.0</v>
      </c>
      <c r="B5936" s="5" t="s">
        <v>10865</v>
      </c>
      <c r="C5936" s="6">
        <v>2.0</v>
      </c>
      <c r="D5936" s="7" t="s">
        <v>10866</v>
      </c>
      <c r="E5936" s="8" t="str">
        <f>IFERROR(__xludf.DUMMYFUNCTION("googletranslate(D5936,""id"",""en"")"),"Expert team and government spokesman for handling Covid-19 Prof. Wiku Adisasmito revealed, the government decided to implement the PPKM level until August. Pillar handling")</f>
        <v>Expert team and government spokesman for handling Covid-19 Prof. Wiku Adisasmito revealed, the government decided to implement the PPKM level until August. Pillar handling</v>
      </c>
    </row>
    <row r="5937" ht="15.75" customHeight="1">
      <c r="A5937" s="2">
        <v>5940.0</v>
      </c>
      <c r="B5937" s="5" t="s">
        <v>10867</v>
      </c>
      <c r="C5937" s="6">
        <v>1.0</v>
      </c>
      <c r="D5937" s="9" t="s">
        <v>10868</v>
      </c>
      <c r="E5937" s="8" t="str">
        <f>IFERROR(__xludf.DUMMYFUNCTION("googletranslate(D5937,""id"",""en"")"),"this August leave the plan to go to Bajo before returning to Bali but still PPKM")</f>
        <v>this August leave the plan to go to Bajo before returning to Bali but still PPKM</v>
      </c>
    </row>
    <row r="5938" ht="15.75" customHeight="1">
      <c r="A5938" s="2">
        <v>5941.0</v>
      </c>
      <c r="B5938" s="5" t="s">
        <v>10869</v>
      </c>
      <c r="C5938" s="6">
        <v>2.0</v>
      </c>
      <c r="D5938" s="9" t="s">
        <v>10870</v>
      </c>
      <c r="E5938" s="8" t="str">
        <f>IFERROR(__xludf.DUMMYFUNCTION("googletranslate(D5938,""id"",""en"")"),"Hopefully the PPKM is extended, so that there is a bikini round to or maybe topless ... but salute the same as a doi who keep the nazya, gaq rich ar which is cm omdo")</f>
        <v>Hopefully the PPKM is extended, so that there is a bikini round to or maybe topless ... but salute the same as a doi who keep the nazya, gaq rich ar which is cm omdo</v>
      </c>
    </row>
    <row r="5939" ht="15.75" customHeight="1">
      <c r="A5939" s="2">
        <v>5942.0</v>
      </c>
      <c r="B5939" s="5" t="s">
        <v>10871</v>
      </c>
      <c r="C5939" s="6">
        <v>1.0</v>
      </c>
      <c r="D5939" s="9" t="s">
        <v>10872</v>
      </c>
      <c r="E5939" s="8" t="str">
        <f>IFERROR(__xludf.DUMMYFUNCTION("googletranslate(D5939,""id"",""en"")"),"UBED TEU Trade Cilok Gara2 PPKM")</f>
        <v>UBED TEU Trade Cilok Gara2 PPKM</v>
      </c>
    </row>
    <row r="5940" ht="15.75" customHeight="1">
      <c r="A5940" s="2">
        <v>5943.0</v>
      </c>
      <c r="B5940" s="5" t="s">
        <v>10873</v>
      </c>
      <c r="C5940" s="6">
        <v>1.0</v>
      </c>
      <c r="D5940" s="7" t="s">
        <v>10874</v>
      </c>
      <c r="E5940" s="8" t="str">
        <f>IFERROR(__xludf.DUMMYFUNCTION("googletranslate(D5940,""id"",""en"")"),"I read it gini")</f>
        <v>I read it gini</v>
      </c>
    </row>
    <row r="5941" ht="15.75" customHeight="1">
      <c r="A5941" s="2">
        <v>5944.0</v>
      </c>
      <c r="B5941" s="5" t="s">
        <v>10875</v>
      </c>
      <c r="C5941" s="6">
        <v>3.0</v>
      </c>
      <c r="D5941" s="9" t="s">
        <v>10876</v>
      </c>
      <c r="E5941" s="8" t="str">
        <f>IFERROR(__xludf.DUMMYFUNCTION("googletranslate(D5941,""id"",""en"")"),"Currently we are still in the Covid virus pandemic! Then we must be quiet at home because they are undergoing PPKM level. And have to comply with the health protocol")</f>
        <v>Currently we are still in the Covid virus pandemic! Then we must be quiet at home because they are undergoing PPKM level. And have to comply with the health protocol</v>
      </c>
    </row>
    <row r="5942" ht="15.75" customHeight="1">
      <c r="A5942" s="2">
        <v>5945.0</v>
      </c>
      <c r="B5942" s="5" t="s">
        <v>10877</v>
      </c>
      <c r="C5942" s="6">
        <v>1.0</v>
      </c>
      <c r="D5942" s="7" t="s">
        <v>10878</v>
      </c>
      <c r="E5942" s="8" t="str">
        <f>IFERROR(__xludf.DUMMYFUNCTION("googletranslate(D5942,""id"",""en"")"),"Since the ppkm till pandemic tastes don't have friends, the life is being chosen, but it hasn't had a new tmn ... gossiped about akumah")</f>
        <v>Since the ppkm till pandemic tastes don't have friends, the life is being chosen, but it hasn't had a new tmn ... gossiped about akumah</v>
      </c>
    </row>
    <row r="5943" ht="15.75" customHeight="1">
      <c r="A5943" s="2">
        <v>5946.0</v>
      </c>
      <c r="B5943" s="5" t="s">
        <v>10879</v>
      </c>
      <c r="C5943" s="6">
        <v>1.0</v>
      </c>
      <c r="D5943" s="9" t="s">
        <v>10880</v>
      </c>
      <c r="E5943" s="8" t="str">
        <f>IFERROR(__xludf.DUMMYFUNCTION("googletranslate(D5943,""id"",""en"")"),"Really if you can, I will also watch Blackpink the movie but the problem is PPKM")</f>
        <v>Really if you can, I will also watch Blackpink the movie but the problem is PPKM</v>
      </c>
    </row>
    <row r="5944" ht="15.75" customHeight="1">
      <c r="A5944" s="2">
        <v>5947.0</v>
      </c>
      <c r="B5944" s="5" t="s">
        <v>10881</v>
      </c>
      <c r="C5944" s="6">
        <v>3.0</v>
      </c>
      <c r="D5944" s="9" t="s">
        <v>10882</v>
      </c>
      <c r="E5944" s="8" t="str">
        <f>IFERROR(__xludf.DUMMYFUNCTION("googletranslate(D5944,""id"",""en"")"),"The Covid-19 case continues to increase, DGB UGM reveals the importance of mutual cooperation overcoming the Pandemisebetul PPKM is not needed if the community consciously limits the movement to reduce the spread of the virus. : //")</f>
        <v>The Covid-19 case continues to increase, DGB UGM reveals the importance of mutual cooperation overcoming the Pandemisebetul PPKM is not needed if the community consciously limits the movement to reduce the spread of the virus. : //</v>
      </c>
    </row>
    <row r="5945" ht="15.75" customHeight="1">
      <c r="A5945" s="2">
        <v>5948.0</v>
      </c>
      <c r="B5945" s="5" t="s">
        <v>10883</v>
      </c>
      <c r="C5945" s="6">
        <v>3.0</v>
      </c>
      <c r="D5945" s="9" t="s">
        <v>10884</v>
      </c>
      <c r="E5945" s="8" t="str">
        <f>IFERROR(__xludf.DUMMYFUNCTION("googletranslate(D5945,""id"",""en"")"),"Emergency is made so that the element is to reduce mobility &amp; amp; Avoiding the crowd can be tapped maximally, the aim of the virus transmission is hampered until the Covid case falls drazras if it is still insisting on what demo don't love it &amp; amp; His "&amp;"family at home?")</f>
        <v>Emergency is made so that the element is to reduce mobility &amp; amp; Avoiding the crowd can be tapped maximally, the aim of the virus transmission is hampered until the Covid case falls drazras if it is still insisting on what demo don't love it &amp; amp; His family at home?</v>
      </c>
    </row>
    <row r="5946" ht="15.75" customHeight="1">
      <c r="A5946" s="2">
        <v>5949.0</v>
      </c>
      <c r="B5946" s="5" t="s">
        <v>10885</v>
      </c>
      <c r="C5946" s="6">
        <v>1.0</v>
      </c>
      <c r="D5946" s="7" t="s">
        <v>10886</v>
      </c>
      <c r="E5946" s="8" t="str">
        <f>IFERROR(__xludf.DUMMYFUNCTION("googletranslate(D5946,""id"",""en"")"),"Do you want the PPKM to extend again again, because of your actions that make you get more complicated, intelligent little don't make it difficult, we are the same as you can get a demo")</f>
        <v>Do you want the PPKM to extend again again, because of your actions that make you get more complicated, intelligent little don't make it difficult, we are the same as you can get a demo</v>
      </c>
    </row>
    <row r="5947" ht="15.75" customHeight="1">
      <c r="A5947" s="2">
        <v>5950.0</v>
      </c>
      <c r="B5947" s="5" t="s">
        <v>10887</v>
      </c>
      <c r="C5947" s="6">
        <v>1.0</v>
      </c>
      <c r="D5947" s="9" t="s">
        <v>10888</v>
      </c>
      <c r="E5947" s="8" t="str">
        <f>IFERROR(__xludf.DUMMYFUNCTION("googletranslate(D5947,""id"",""en"")"),"This animal clinic is limited to the tail per day, it is ppkm. Where is my sick cat")</f>
        <v>This animal clinic is limited to the tail per day, it is ppkm. Where is my sick cat</v>
      </c>
    </row>
    <row r="5948" ht="15.75" customHeight="1">
      <c r="A5948" s="2">
        <v>5951.0</v>
      </c>
      <c r="B5948" s="5" t="s">
        <v>10889</v>
      </c>
      <c r="C5948" s="6">
        <v>2.0</v>
      </c>
      <c r="D5948" s="7" t="s">
        <v>10890</v>
      </c>
      <c r="E5948" s="8" t="str">
        <f>IFERROR(__xludf.DUMMYFUNCTION("googletranslate(D5948,""id"",""en"")"),"Two women if no PPKM has definitely full on the streets of all parties to welcome the hero")</f>
        <v>Two women if no PPKM has definitely full on the streets of all parties to welcome the hero</v>
      </c>
    </row>
    <row r="5949" ht="15.75" customHeight="1">
      <c r="A5949" s="2">
        <v>5952.0</v>
      </c>
      <c r="B5949" s="5" t="s">
        <v>10891</v>
      </c>
      <c r="C5949" s="6">
        <v>2.0</v>
      </c>
      <c r="D5949" s="7" t="s">
        <v>10892</v>
      </c>
      <c r="E5949" s="8" t="str">
        <f>IFERROR(__xludf.DUMMYFUNCTION("googletranslate(D5949,""id"",""en"")"),"Does anyone know the pool besides the Kodam or Tirta which is open during PPKM ??")</f>
        <v>Does anyone know the pool besides the Kodam or Tirta which is open during PPKM ??</v>
      </c>
    </row>
    <row r="5950" ht="15.75" customHeight="1">
      <c r="A5950" s="2">
        <v>5953.0</v>
      </c>
      <c r="B5950" s="5" t="s">
        <v>10893</v>
      </c>
      <c r="C5950" s="6">
        <v>3.0</v>
      </c>
      <c r="D5950" s="7" t="s">
        <v>10894</v>
      </c>
      <c r="E5950" s="8" t="str">
        <f>IFERROR(__xludf.DUMMYFUNCTION("googletranslate(D5950,""id"",""en"")"),"Bansos PPKM. Indonesia's vaccine")</f>
        <v>Bansos PPKM. Indonesia's vaccine</v>
      </c>
    </row>
    <row r="5951" ht="15.75" customHeight="1">
      <c r="A5951" s="2">
        <v>5954.0</v>
      </c>
      <c r="B5951" s="5" t="s">
        <v>10895</v>
      </c>
      <c r="C5951" s="6">
        <v>1.0</v>
      </c>
      <c r="D5951" s="9" t="s">
        <v>10896</v>
      </c>
      <c r="E5951" s="8" t="str">
        <f>IFERROR(__xludf.DUMMYFUNCTION("googletranslate(D5951,""id"",""en"")"),"PPKM is added to a minute, it's also useless, sir, if I eat it too before the pandemic is only minutes.")</f>
        <v>PPKM is added to a minute, it's also useless, sir, if I eat it too before the pandemic is only minutes.</v>
      </c>
    </row>
    <row r="5952" ht="15.75" customHeight="1">
      <c r="A5952" s="2">
        <v>5955.0</v>
      </c>
      <c r="B5952" s="5" t="s">
        <v>10897</v>
      </c>
      <c r="C5952" s="6">
        <v>3.0</v>
      </c>
      <c r="D5952" s="7" t="s">
        <v>10898</v>
      </c>
      <c r="E5952" s="8" t="str">
        <f>IFERROR(__xludf.DUMMYFUNCTION("googletranslate(D5952,""id"",""en"")"),"PPKM Vaccine Save Indonesia")</f>
        <v>PPKM Vaccine Save Indonesia</v>
      </c>
    </row>
    <row r="5953" ht="15.75" customHeight="1">
      <c r="A5953" s="2">
        <v>5956.0</v>
      </c>
      <c r="B5953" s="5" t="s">
        <v>10899</v>
      </c>
      <c r="C5953" s="6">
        <v>1.0</v>
      </c>
      <c r="D5953" s="7" t="s">
        <v>10899</v>
      </c>
      <c r="E5953" s="8" t="str">
        <f>IFERROR(__xludf.DUMMYFUNCTION("googletranslate(D5953,""id"",""en"")"),"It's a paired turn but the PPKM is extended and the work holiday is changed wkwkwk ntaAppp")</f>
        <v>It's a paired turn but the PPKM is extended and the work holiday is changed wkwkwk ntaAppp</v>
      </c>
    </row>
    <row r="5954" ht="15.75" customHeight="1">
      <c r="A5954" s="2">
        <v>5957.0</v>
      </c>
      <c r="B5954" s="5" t="s">
        <v>10900</v>
      </c>
      <c r="C5954" s="6">
        <v>1.0</v>
      </c>
      <c r="D5954" s="7" t="s">
        <v>10901</v>
      </c>
      <c r="E5954" s="8" t="str">
        <f>IFERROR(__xludf.DUMMYFUNCTION("googletranslate(D5954,""id"",""en"")"),"You don't understand the essence of the video, it's not good but the satire of all PPKM until the Day of Judgment just")</f>
        <v>You don't understand the essence of the video, it's not good but the satire of all PPKM until the Day of Judgment just</v>
      </c>
    </row>
    <row r="5955" ht="15.75" customHeight="1">
      <c r="A5955" s="2">
        <v>5958.0</v>
      </c>
      <c r="B5955" s="5" t="s">
        <v>10902</v>
      </c>
      <c r="C5955" s="6">
        <v>1.0</v>
      </c>
      <c r="D5955" s="7" t="s">
        <v>10903</v>
      </c>
      <c r="E5955" s="8" t="str">
        <f>IFERROR(__xludf.DUMMYFUNCTION("googletranslate(D5955,""id"",""en"")"),"The research institute found events that could be categorized by civil disobedience during the Emergency PPKM period. Consisting of various forms, starting the white flag raising, holding a crowd event, demonstration etc.")</f>
        <v>The research institute found events that could be categorized by civil disobedience during the Emergency PPKM period. Consisting of various forms, starting the white flag raising, holding a crowd event, demonstration etc.</v>
      </c>
    </row>
    <row r="5956" ht="15.75" customHeight="1">
      <c r="A5956" s="2">
        <v>5959.0</v>
      </c>
      <c r="B5956" s="5" t="s">
        <v>10904</v>
      </c>
      <c r="C5956" s="6">
        <v>2.0</v>
      </c>
      <c r="D5956" s="10" t="s">
        <v>10905</v>
      </c>
      <c r="E5956" s="8" t="str">
        <f>IFERROR(__xludf.DUMMYFUNCTION("googletranslate(D5956,""id"",""en"")"),"PPKM Level")</f>
        <v>PPKM Level</v>
      </c>
    </row>
    <row r="5957" ht="15.75" customHeight="1">
      <c r="A5957" s="2">
        <v>5960.0</v>
      </c>
      <c r="B5957" s="5" t="s">
        <v>10906</v>
      </c>
      <c r="C5957" s="6">
        <v>3.0</v>
      </c>
      <c r="D5957" s="9" t="s">
        <v>10907</v>
      </c>
      <c r="E5957" s="8" t="str">
        <f>IFERROR(__xludf.DUMMYFUNCTION("googletranslate(D5957,""id"",""en"")"),"I'm even happy, if the PPKM is extended, because there is hope Corona immediately goes, so you can immediately live normally again")</f>
        <v>I'm even happy, if the PPKM is extended, because there is hope Corona immediately goes, so you can immediately live normally again</v>
      </c>
    </row>
    <row r="5958" ht="15.75" customHeight="1">
      <c r="A5958" s="2">
        <v>5961.0</v>
      </c>
      <c r="B5958" s="5" t="s">
        <v>10908</v>
      </c>
      <c r="C5958" s="6">
        <v>2.0</v>
      </c>
      <c r="D5958" s="9" t="s">
        <v>10909</v>
      </c>
      <c r="E5958" s="8" t="str">
        <f>IFERROR(__xludf.DUMMYFUNCTION("googletranslate(D5958,""id"",""en"")"),"Does anyone know this is the normal Cilok in the Laron market during the PPKM but it's still selling it? DMN DN JMBRP? Thank you before")</f>
        <v>Does anyone know this is the normal Cilok in the Laron market during the PPKM but it's still selling it? DMN DN JMBRP? Thank you before</v>
      </c>
    </row>
    <row r="5959" ht="15.75" customHeight="1">
      <c r="A5959" s="2">
        <v>5962.0</v>
      </c>
      <c r="B5959" s="5" t="s">
        <v>10910</v>
      </c>
      <c r="C5959" s="6">
        <v>1.0</v>
      </c>
      <c r="D5959" s="9" t="s">
        <v>10911</v>
      </c>
      <c r="E5959" s="8" t="str">
        <f>IFERROR(__xludf.DUMMYFUNCTION("googletranslate(D5959,""id"",""en"")"),"It's good at home. But Jringan XL Home in my place seems to follow PPKM. Take care of the distance as well as the network so you like to disappear even though if you pay the bill, it can't be half ... especially when the kids go to the online school then "&amp;"the net is sulking. Make God's emotions.")</f>
        <v>It's good at home. But Jringan XL Home in my place seems to follow PPKM. Take care of the distance as well as the network so you like to disappear even though if you pay the bill, it can't be half ... especially when the kids go to the online school then the net is sulking. Make God's emotions.</v>
      </c>
    </row>
    <row r="5960" ht="15.75" customHeight="1">
      <c r="A5960" s="2">
        <v>5963.0</v>
      </c>
      <c r="B5960" s="5" t="s">
        <v>10912</v>
      </c>
      <c r="C5960" s="6">
        <v>3.0</v>
      </c>
      <c r="D5960" s="7" t="s">
        <v>10913</v>
      </c>
      <c r="E5960" s="8" t="str">
        <f>IFERROR(__xludf.DUMMYFUNCTION("googletranslate(D5960,""id"",""en"")"),"Stay safe for all of you, the spirit of the PPKM is like Mimin, still the spirit. Fachrel is again watching?")</f>
        <v>Stay safe for all of you, the spirit of the PPKM is like Mimin, still the spirit. Fachrel is again watching?</v>
      </c>
    </row>
    <row r="5961" ht="15.75" customHeight="1">
      <c r="A5961" s="2">
        <v>5964.0</v>
      </c>
      <c r="B5961" s="5" t="s">
        <v>10914</v>
      </c>
      <c r="C5961" s="6">
        <v>3.0</v>
      </c>
      <c r="D5961" s="7" t="s">
        <v>10915</v>
      </c>
      <c r="E5961" s="8" t="str">
        <f>IFERROR(__xludf.DUMMYFUNCTION("googletranslate(D5961,""id"",""en"")"),"As long as this PPKM is indeed the testing capacity we rise in WHO standards, and indeed it must be pursued as much as possible to contact positive patients")</f>
        <v>As long as this PPKM is indeed the testing capacity we rise in WHO standards, and indeed it must be pursued as much as possible to contact positive patients</v>
      </c>
    </row>
    <row r="5962" ht="15.75" customHeight="1">
      <c r="A5962" s="2">
        <v>5965.0</v>
      </c>
      <c r="B5962" s="5" t="s">
        <v>10916</v>
      </c>
      <c r="C5962" s="6">
        <v>1.0</v>
      </c>
      <c r="D5962" s="7" t="s">
        <v>10917</v>
      </c>
      <c r="E5962" s="8" t="str">
        <f>IFERROR(__xludf.DUMMYFUNCTION("googletranslate(D5962,""id"",""en"")"),"Late nakes incentives ppkm until the end")</f>
        <v>Late nakes incentives ppkm until the end</v>
      </c>
    </row>
    <row r="5963" ht="15.75" customHeight="1">
      <c r="A5963" s="2">
        <v>5966.0</v>
      </c>
      <c r="B5963" s="5" t="s">
        <v>10918</v>
      </c>
      <c r="C5963" s="6">
        <v>2.0</v>
      </c>
      <c r="D5963" s="9" t="s">
        <v>10919</v>
      </c>
      <c r="E5963" s="8" t="str">
        <f>IFERROR(__xludf.DUMMYFUNCTION("googletranslate(D5963,""id"",""en"")"),"Separately, East Java Covid-19 Task Force Spokesman Makhyan Jibril also revealed the evaluation during the $ Number Level PPKM $ on July-2 August.")</f>
        <v>Separately, East Java Covid-19 Task Force Spokesman Makhyan Jibril also revealed the evaluation during the $ Number Level PPKM $ on July-2 August.</v>
      </c>
    </row>
    <row r="5964" ht="15.75" customHeight="1">
      <c r="A5964" s="2">
        <v>5967.0</v>
      </c>
      <c r="B5964" s="5" t="s">
        <v>10920</v>
      </c>
      <c r="C5964" s="6">
        <v>3.0</v>
      </c>
      <c r="D5964" s="7" t="s">
        <v>10921</v>
      </c>
      <c r="E5964" s="8" t="str">
        <f>IFERROR(__xludf.DUMMYFUNCTION("googletranslate(D5964,""id"",""en"")"),"PPKM for joint handling pillars")</f>
        <v>PPKM for joint handling pillars</v>
      </c>
    </row>
    <row r="5965" ht="15.75" customHeight="1">
      <c r="A5965" s="2">
        <v>5968.0</v>
      </c>
      <c r="B5965" s="5" t="s">
        <v>10922</v>
      </c>
      <c r="C5965" s="6">
        <v>3.0</v>
      </c>
      <c r="D5965" s="7" t="s">
        <v>10923</v>
      </c>
      <c r="E5965" s="8" t="str">
        <f>IFERROR(__xludf.DUMMYFUNCTION("googletranslate(D5965,""id"",""en"")"),"Plis Dech obeyed the PPKMWe volunteer team with a duet with a virus. Heal your country's birthday.")</f>
        <v>Plis Dech obeyed the PPKMWe volunteer team with a duet with a virus. Heal your country's birthday.</v>
      </c>
    </row>
    <row r="5966" ht="15.75" customHeight="1">
      <c r="A5966" s="2">
        <v>5969.0</v>
      </c>
      <c r="B5966" s="5" t="s">
        <v>10924</v>
      </c>
      <c r="C5966" s="6">
        <v>3.0</v>
      </c>
      <c r="D5966" s="7" t="s">
        <v>10925</v>
      </c>
      <c r="E5966" s="8" t="str">
        <f>IFERROR(__xludf.DUMMYFUNCTION("googletranslate(D5966,""id"",""en"")"),"Support Extend PPKM Level, Syarief Hasan: The Government Must Ensure Follow-up Policy Save Indonesia")</f>
        <v>Support Extend PPKM Level, Syarief Hasan: The Government Must Ensure Follow-up Policy Save Indonesia</v>
      </c>
    </row>
    <row r="5967" ht="15.75" customHeight="1">
      <c r="A5967" s="2">
        <v>5970.0</v>
      </c>
      <c r="B5967" s="5" t="s">
        <v>10926</v>
      </c>
      <c r="C5967" s="6">
        <v>2.0</v>
      </c>
      <c r="D5967" s="9" t="s">
        <v>10927</v>
      </c>
      <c r="E5967" s="8" t="str">
        <f>IFERROR(__xludf.DUMMYFUNCTION("googletranslate(D5967,""id"",""en"")"),"Please don't extend the ppkm, kasep")</f>
        <v>Please don't extend the ppkm, kasep</v>
      </c>
    </row>
    <row r="5968" ht="15.75" customHeight="1">
      <c r="A5968" s="2">
        <v>5971.0</v>
      </c>
      <c r="B5968" s="5" t="s">
        <v>10928</v>
      </c>
      <c r="C5968" s="6">
        <v>2.0</v>
      </c>
      <c r="D5968" s="9" t="s">
        <v>10929</v>
      </c>
      <c r="E5968" s="8" t="str">
        <f>IFERROR(__xludf.DUMMYFUNCTION("googletranslate(D5968,""id"",""en"")"),"ask yourself at the time of Lockdown due to Corona FT PPKM LVL Lvl")</f>
        <v>ask yourself at the time of Lockdown due to Corona FT PPKM LVL Lvl</v>
      </c>
    </row>
    <row r="5969" ht="15.75" customHeight="1">
      <c r="A5969" s="2">
        <v>5972.0</v>
      </c>
      <c r="B5969" s="5" t="s">
        <v>10930</v>
      </c>
      <c r="C5969" s="6">
        <v>2.0</v>
      </c>
      <c r="D5969" s="9" t="s">
        <v>10931</v>
      </c>
      <c r="E5969" s="8" t="str">
        <f>IFERROR(__xludf.DUMMYFUNCTION("googletranslate(D5969,""id"",""en"")"),"In East Java itself, the current Covid-19 active case as many cases, and East Java became one of the provinces that implemented Emergency PPKM, PPKM Level $ Number $ since last July.")</f>
        <v>In East Java itself, the current Covid-19 active case as many cases, and East Java became one of the provinces that implemented Emergency PPKM, PPKM Level $ Number $ since last July.</v>
      </c>
    </row>
    <row r="5970" ht="15.75" customHeight="1">
      <c r="A5970" s="2">
        <v>5973.0</v>
      </c>
      <c r="B5970" s="5" t="s">
        <v>10932</v>
      </c>
      <c r="C5970" s="6">
        <v>2.0</v>
      </c>
      <c r="D5970" s="9" t="s">
        <v>10932</v>
      </c>
      <c r="E5970" s="8" t="str">
        <f>IFERROR(__xludf.DUMMYFUNCTION("googletranslate(D5970,""id"",""en"")"),"This is the morning opening the IG, the contents of my friend's story, how come it's on the degree. I just got up early in the morning during the PPKM.")</f>
        <v>This is the morning opening the IG, the contents of my friend's story, how come it's on the degree. I just got up early in the morning during the PPKM.</v>
      </c>
    </row>
    <row r="5971" ht="15.75" customHeight="1">
      <c r="A5971" s="2">
        <v>5974.0</v>
      </c>
      <c r="B5971" s="5" t="s">
        <v>10933</v>
      </c>
      <c r="C5971" s="6">
        <v>2.0</v>
      </c>
      <c r="D5971" s="9" t="s">
        <v>10934</v>
      </c>
      <c r="E5971" s="8" t="str">
        <f>IFERROR(__xludf.DUMMYFUNCTION("googletranslate(D5971,""id"",""en"")"),"Still ppkm mbk, no one has opened")</f>
        <v>Still ppkm mbk, no one has opened</v>
      </c>
    </row>
    <row r="5972" ht="15.75" customHeight="1">
      <c r="A5972" s="2">
        <v>5975.0</v>
      </c>
      <c r="B5972" s="5" t="s">
        <v>10935</v>
      </c>
      <c r="C5972" s="6">
        <v>1.0</v>
      </c>
      <c r="D5972" s="7" t="s">
        <v>10936</v>
      </c>
      <c r="E5972" s="8" t="str">
        <f>IFERROR(__xludf.DUMMYFUNCTION("googletranslate(D5972,""id"",""en"")"),"Hindered by PPKM. Finally the puter turned back, and we were not at the same goal.")</f>
        <v>Hindered by PPKM. Finally the puter turned back, and we were not at the same goal.</v>
      </c>
    </row>
    <row r="5973" ht="15.75" customHeight="1">
      <c r="A5973" s="2">
        <v>5976.0</v>
      </c>
      <c r="B5973" s="5" t="s">
        <v>10937</v>
      </c>
      <c r="C5973" s="6">
        <v>2.0</v>
      </c>
      <c r="D5973" s="7" t="s">
        <v>10937</v>
      </c>
      <c r="E5973" s="8" t="str">
        <f>IFERROR(__xludf.DUMMYFUNCTION("googletranslate(D5973,""id"",""en"")"),"PPKM Extends Sampek Wong Wedok Ngakoni Wrong: V")</f>
        <v>PPKM Extends Sampek Wong Wedok Ngakoni Wrong: V</v>
      </c>
    </row>
    <row r="5974" ht="15.75" customHeight="1">
      <c r="A5974" s="2">
        <v>5977.0</v>
      </c>
      <c r="B5974" s="5" t="s">
        <v>10938</v>
      </c>
      <c r="C5974" s="6">
        <v>2.0</v>
      </c>
      <c r="D5974" s="9" t="s">
        <v>10939</v>
      </c>
      <c r="E5974" s="8" t="str">
        <f>IFERROR(__xludf.DUMMYFUNCTION("googletranslate(D5974,""id"",""en"")"),"The law regulates expressing a public opinion needs notice to the police, bkn permit, it's right. But because at this time the PPKM situation and the prohibition on the crowded demonstration was not without permission. It should be from the law of underst"&amp;"anding Lex Specialist Legi Generali.")</f>
        <v>The law regulates expressing a public opinion needs notice to the police, bkn permit, it's right. But because at this time the PPKM situation and the prohibition on the crowded demonstration was not without permission. It should be from the law of understanding Lex Specialist Legi Generali.</v>
      </c>
    </row>
    <row r="5975" ht="15.75" customHeight="1">
      <c r="A5975" s="2">
        <v>5978.0</v>
      </c>
      <c r="B5975" s="5" t="s">
        <v>10940</v>
      </c>
      <c r="C5975" s="6">
        <v>2.0</v>
      </c>
      <c r="D5975" s="9" t="s">
        <v>10941</v>
      </c>
      <c r="E5975" s="8" t="str">
        <f>IFERROR(__xludf.DUMMYFUNCTION("googletranslate(D5975,""id"",""en"")"),"Before the PPKM attacked W still Salim Si Wkkw")</f>
        <v>Before the PPKM attacked W still Salim Si Wkkw</v>
      </c>
    </row>
    <row r="5976" ht="15.75" customHeight="1">
      <c r="A5976" s="2">
        <v>5979.0</v>
      </c>
      <c r="B5976" s="5" t="s">
        <v>10942</v>
      </c>
      <c r="C5976" s="6">
        <v>3.0</v>
      </c>
      <c r="D5976" s="7" t="s">
        <v>10943</v>
      </c>
      <c r="E5976" s="8" t="str">
        <f>IFERROR(__xludf.DUMMYFUNCTION("googletranslate(D5976,""id"",""en"")"),"For the sake of the safety of the Indonesian people, let's support President Joko Widodo's decision regarding the extension of the PPKM")</f>
        <v>For the sake of the safety of the Indonesian people, let's support President Joko Widodo's decision regarding the extension of the PPKM</v>
      </c>
    </row>
    <row r="5977" ht="15.75" customHeight="1">
      <c r="A5977" s="2">
        <v>5980.0</v>
      </c>
      <c r="B5977" s="5" t="s">
        <v>10944</v>
      </c>
      <c r="C5977" s="6">
        <v>1.0</v>
      </c>
      <c r="D5977" s="9" t="s">
        <v>10945</v>
      </c>
      <c r="E5977" s="8" t="str">
        <f>IFERROR(__xludf.DUMMYFUNCTION("googletranslate(D5977,""id"",""en"")"),"OverThinking if I don't need to miss coz since the male ppkm gw mejogrok in front of me")</f>
        <v>OverThinking if I don't need to miss coz since the male ppkm gw mejogrok in front of me</v>
      </c>
    </row>
    <row r="5978" ht="15.75" customHeight="1">
      <c r="A5978" s="2">
        <v>5981.0</v>
      </c>
      <c r="B5978" s="5" t="s">
        <v>10946</v>
      </c>
      <c r="C5978" s="6">
        <v>2.0</v>
      </c>
      <c r="D5978" s="9" t="s">
        <v>10947</v>
      </c>
      <c r="E5978" s="8" t="str">
        <f>IFERROR(__xludf.DUMMYFUNCTION("googletranslate(D5978,""id"",""en"")"),"For the Extension of the $ NUMER $ NUMBE PPKM, Khofifah called on all parties in East Java to wait for the Governor's Decree, and in general, the rules at the Governor's Decree will follow the central instruction.")</f>
        <v>For the Extension of the $ NUMER $ NUMBE PPKM, Khofifah called on all parties in East Java to wait for the Governor's Decree, and in general, the rules at the Governor's Decree will follow the central instruction.</v>
      </c>
    </row>
    <row r="5979" ht="15.75" customHeight="1">
      <c r="A5979" s="2">
        <v>5982.0</v>
      </c>
      <c r="B5979" s="5" t="s">
        <v>10948</v>
      </c>
      <c r="C5979" s="6">
        <v>1.0</v>
      </c>
      <c r="D5979" s="7" t="s">
        <v>10949</v>
      </c>
      <c r="E5979" s="8" t="str">
        <f>IFERROR(__xludf.DUMMYFUNCTION("googletranslate(D5979,""id"",""en"")"),"Dying of marriage again PPKM afraid of being banned ... hm")</f>
        <v>Dying of marriage again PPKM afraid of being banned ... hm</v>
      </c>
    </row>
    <row r="5980" ht="15.75" customHeight="1">
      <c r="A5980" s="2">
        <v>5983.0</v>
      </c>
      <c r="B5980" s="5" t="s">
        <v>10950</v>
      </c>
      <c r="C5980" s="6">
        <v>2.0</v>
      </c>
      <c r="D5980" s="7" t="s">
        <v>10951</v>
      </c>
      <c r="E5980" s="8" t="str">
        <f>IFERROR(__xludf.DUMMYFUNCTION("googletranslate(D5980,""id"",""en"")"),"suitable for watching ppkm hahaha")</f>
        <v>suitable for watching ppkm hahaha</v>
      </c>
    </row>
    <row r="5981" ht="15.75" customHeight="1">
      <c r="A5981" s="2">
        <v>5984.0</v>
      </c>
      <c r="B5981" s="5" t="s">
        <v>10952</v>
      </c>
      <c r="C5981" s="6">
        <v>1.0</v>
      </c>
      <c r="D5981" s="9" t="s">
        <v>10953</v>
      </c>
      <c r="E5981" s="8" t="str">
        <f>IFERROR(__xludf.DUMMYFUNCTION("googletranslate(D5981,""id"",""en"")"),"Ntah is ... PPKM is over, it doesn't guarantee the citizens that jelly can obey the proces ...")</f>
        <v>Ntah is ... PPKM is over, it doesn't guarantee the citizens that jelly can obey the proces ...</v>
      </c>
    </row>
    <row r="5982" ht="15.75" customHeight="1">
      <c r="A5982" s="2">
        <v>5985.0</v>
      </c>
      <c r="B5982" s="5" t="s">
        <v>10954</v>
      </c>
      <c r="C5982" s="6">
        <v>3.0</v>
      </c>
      <c r="D5982" s="7" t="s">
        <v>10955</v>
      </c>
      <c r="E5982" s="8" t="str">
        <f>IFERROR(__xludf.DUMMYFUNCTION("googletranslate(D5982,""id"",""en"")"),"Obey PPKM for good goodness.")</f>
        <v>Obey PPKM for good goodness.</v>
      </c>
    </row>
    <row r="5983" ht="15.75" customHeight="1">
      <c r="A5983" s="2">
        <v>5986.0</v>
      </c>
      <c r="B5983" s="5" t="s">
        <v>10956</v>
      </c>
      <c r="C5983" s="6">
        <v>3.0</v>
      </c>
      <c r="D5983" s="7" t="s">
        <v>10957</v>
      </c>
      <c r="E5983" s="8" t="str">
        <f>IFERROR(__xludf.DUMMYFUNCTION("googletranslate(D5983,""id"",""en"")"),"Pretty Sis, PPKM Gini Sembako Useful")</f>
        <v>Pretty Sis, PPKM Gini Sembako Useful</v>
      </c>
    </row>
    <row r="5984" ht="15.75" customHeight="1">
      <c r="A5984" s="2">
        <v>5987.0</v>
      </c>
      <c r="B5984" s="5" t="s">
        <v>10958</v>
      </c>
      <c r="C5984" s="6">
        <v>1.0</v>
      </c>
      <c r="D5984" s="9" t="s">
        <v>10959</v>
      </c>
      <c r="E5984" s="8" t="str">
        <f>IFERROR(__xludf.DUMMYFUNCTION("googletranslate(D5984,""id"",""en"")"),"//. Cry out this is a rich toothache more severe than before the operation of impaction. ppkm all difficult to want to drg")</f>
        <v>//. Cry out this is a rich toothache more severe than before the operation of impaction. ppkm all difficult to want to drg</v>
      </c>
    </row>
    <row r="5985" ht="15.75" customHeight="1">
      <c r="A5985" s="2">
        <v>5988.0</v>
      </c>
      <c r="B5985" s="5" t="s">
        <v>10960</v>
      </c>
      <c r="C5985" s="6">
        <v>1.0</v>
      </c>
      <c r="D5985" s="9" t="s">
        <v>10961</v>
      </c>
      <c r="E5985" s="8" t="str">
        <f>IFERROR(__xludf.DUMMYFUNCTION("googletranslate(D5985,""id"",""en"")"),"Since the Buln, there is no money for snacks or needs to ask for parents, sometimes afraid of considering the covid seasons Gini + family finances so Sulid works odd jobs because after laid off IMDI ​​IMDI ​​Help the mother of sale in her friend's charact"&amp;"er, joining it is very petrified")</f>
        <v>Since the Buln, there is no money for snacks or needs to ask for parents, sometimes afraid of considering the covid seasons Gini + family finances so Sulid works odd jobs because after laid off IMDI ​​IMDI ​​Help the mother of sale in her friend's character, joining it is very petrified</v>
      </c>
    </row>
    <row r="5986" ht="15.75" customHeight="1">
      <c r="A5986" s="2">
        <v>5989.0</v>
      </c>
      <c r="B5986" s="5" t="s">
        <v>10962</v>
      </c>
      <c r="C5986" s="6">
        <v>1.0</v>
      </c>
      <c r="D5986" s="9" t="s">
        <v>10963</v>
      </c>
      <c r="E5986" s="8" t="str">
        <f>IFERROR(__xludf.DUMMYFUNCTION("googletranslate(D5986,""id"",""en"")"),"PPKM for selling my mother is increasingly best-selling. MY my mother sells a ring, keeps the bracelet, necklace. Where do you sell the fridge with TV, tomorrow you sell the motorbike, maybe the next day the car is also sold. What is the land with home to"&amp;"o? PPKM make me happy")</f>
        <v>PPKM for selling my mother is increasingly best-selling. MY my mother sells a ring, keeps the bracelet, necklace. Where do you sell the fridge with TV, tomorrow you sell the motorbike, maybe the next day the car is also sold. What is the land with home too? PPKM make me happy</v>
      </c>
    </row>
    <row r="5987" ht="15.75" customHeight="1">
      <c r="A5987" s="2">
        <v>5990.0</v>
      </c>
      <c r="B5987" s="5" t="s">
        <v>10964</v>
      </c>
      <c r="C5987" s="6">
        <v>2.0</v>
      </c>
      <c r="D5987" s="9" t="s">
        <v>10965</v>
      </c>
      <c r="E5987" s="8" t="str">
        <f>IFERROR(__xludf.DUMMYFUNCTION("googletranslate(D5987,""id"",""en"")"),"Before CV-19 and PPKM Levelan Level attacked, Miss My Body")</f>
        <v>Before CV-19 and PPKM Levelan Level attacked, Miss My Body</v>
      </c>
    </row>
    <row r="5988" ht="15.75" customHeight="1">
      <c r="A5988" s="2">
        <v>5991.0</v>
      </c>
      <c r="B5988" s="5" t="s">
        <v>10966</v>
      </c>
      <c r="C5988" s="6">
        <v>3.0</v>
      </c>
      <c r="D5988" s="7" t="s">
        <v>10955</v>
      </c>
      <c r="E5988" s="8" t="str">
        <f>IFERROR(__xludf.DUMMYFUNCTION("googletranslate(D5988,""id"",""en"")"),"Obey PPKM for good goodness.")</f>
        <v>Obey PPKM for good goodness.</v>
      </c>
    </row>
    <row r="5989" ht="15.75" customHeight="1">
      <c r="A5989" s="2">
        <v>5992.0</v>
      </c>
      <c r="B5989" s="5" t="s">
        <v>10967</v>
      </c>
      <c r="C5989" s="6">
        <v>3.0</v>
      </c>
      <c r="D5989" s="7" t="s">
        <v>10955</v>
      </c>
      <c r="E5989" s="8" t="str">
        <f>IFERROR(__xludf.DUMMYFUNCTION("googletranslate(D5989,""id"",""en"")"),"Obey PPKM for good goodness.")</f>
        <v>Obey PPKM for good goodness.</v>
      </c>
    </row>
    <row r="5990" ht="15.75" customHeight="1">
      <c r="A5990" s="2">
        <v>5993.0</v>
      </c>
      <c r="B5990" s="5" t="s">
        <v>10968</v>
      </c>
      <c r="C5990" s="6">
        <v>3.0</v>
      </c>
      <c r="D5990" s="7" t="s">
        <v>10955</v>
      </c>
      <c r="E5990" s="8" t="str">
        <f>IFERROR(__xludf.DUMMYFUNCTION("googletranslate(D5990,""id"",""en"")"),"Obey PPKM for good goodness.")</f>
        <v>Obey PPKM for good goodness.</v>
      </c>
    </row>
    <row r="5991" ht="15.75" customHeight="1">
      <c r="A5991" s="2">
        <v>5994.0</v>
      </c>
      <c r="B5991" s="5" t="s">
        <v>10969</v>
      </c>
      <c r="C5991" s="6">
        <v>3.0</v>
      </c>
      <c r="D5991" s="7" t="s">
        <v>10955</v>
      </c>
      <c r="E5991" s="8" t="str">
        <f>IFERROR(__xludf.DUMMYFUNCTION("googletranslate(D5991,""id"",""en"")"),"Obey PPKM for good goodness.")</f>
        <v>Obey PPKM for good goodness.</v>
      </c>
    </row>
    <row r="5992" ht="15.75" customHeight="1">
      <c r="A5992" s="2">
        <v>5995.0</v>
      </c>
      <c r="B5992" s="5" t="s">
        <v>10970</v>
      </c>
      <c r="C5992" s="6">
        <v>2.0</v>
      </c>
      <c r="D5992" s="7" t="s">
        <v>10971</v>
      </c>
      <c r="E5992" s="8" t="str">
        <f>IFERROR(__xludf.DUMMYFUNCTION("googletranslate(D5992,""id"",""en"")"),"ICU drill yesterday percent, so in some areas at the beginning of the PPKM there were those who had time")</f>
        <v>ICU drill yesterday percent, so in some areas at the beginning of the PPKM there were those who had time</v>
      </c>
    </row>
    <row r="5993" ht="15.75" customHeight="1">
      <c r="A5993" s="2">
        <v>5996.0</v>
      </c>
      <c r="B5993" s="5" t="s">
        <v>10972</v>
      </c>
      <c r="C5993" s="6">
        <v>2.0</v>
      </c>
      <c r="D5993" s="7" t="s">
        <v>10972</v>
      </c>
      <c r="E5993" s="8" t="str">
        <f>IFERROR(__xludf.DUMMYFUNCTION("googletranslate(D5993,""id"",""en"")"),"Since PPKM, it's more diligent in lay down: ')")</f>
        <v>Since PPKM, it's more diligent in lay down: ')</v>
      </c>
    </row>
    <row r="5994" ht="15.75" customHeight="1">
      <c r="A5994" s="2">
        <v>5997.0</v>
      </c>
      <c r="B5994" s="5" t="s">
        <v>10973</v>
      </c>
      <c r="C5994" s="6">
        <v>1.0</v>
      </c>
      <c r="D5994" s="7" t="s">
        <v>10974</v>
      </c>
      <c r="E5994" s="8" t="str">
        <f>IFERROR(__xludf.DUMMYFUNCTION("googletranslate(D5994,""id"",""en"")"),"Iyaaa, but indo again ppkm, it's hard")</f>
        <v>Iyaaa, but indo again ppkm, it's hard</v>
      </c>
    </row>
    <row r="5995" ht="15.75" customHeight="1">
      <c r="A5995" s="2">
        <v>5998.0</v>
      </c>
      <c r="B5995" s="5" t="s">
        <v>10975</v>
      </c>
      <c r="C5995" s="6">
        <v>2.0</v>
      </c>
      <c r="D5995" s="7" t="s">
        <v>10976</v>
      </c>
      <c r="E5995" s="8" t="str">
        <f>IFERROR(__xludf.DUMMYFUNCTION("googletranslate(D5995,""id"",""en"")"),"I also can't, but just wait for the Kali KPKM continued")</f>
        <v>I also can't, but just wait for the Kali KPKM continued</v>
      </c>
    </row>
    <row r="5996" ht="15.75" customHeight="1">
      <c r="A5996" s="2">
        <v>5999.0</v>
      </c>
      <c r="B5996" s="5" t="s">
        <v>10977</v>
      </c>
      <c r="C5996" s="6">
        <v>1.0</v>
      </c>
      <c r="D5996" s="9" t="s">
        <v>10978</v>
      </c>
      <c r="E5996" s="8" t="str">
        <f>IFERROR(__xludf.DUMMYFUNCTION("googletranslate(D5996,""id"",""en"")"),"just all the chairman of RT RW was made an accompaniment of an accompaniment to the guy who was caring for the speech at the same as the athlete was still still the remarks of the old PPKM rich")</f>
        <v>just all the chairman of RT RW was made an accompaniment of an accompaniment to the guy who was caring for the speech at the same as the athlete was still still the remarks of the old PPKM rich</v>
      </c>
    </row>
    <row r="5997" ht="15.75" customHeight="1">
      <c r="A5997" s="2">
        <v>6000.0</v>
      </c>
      <c r="B5997" s="5" t="s">
        <v>10979</v>
      </c>
      <c r="C5997" s="6">
        <v>2.0</v>
      </c>
      <c r="D5997" s="7" t="s">
        <v>10980</v>
      </c>
      <c r="E5997" s="8" t="str">
        <f>IFERROR(__xludf.DUMMYFUNCTION("googletranslate(D5997,""id"",""en"")"),"Again hit PPKM patiently")</f>
        <v>Again hit PPKM patiently</v>
      </c>
    </row>
    <row r="5998" ht="15.75" customHeight="1">
      <c r="A5998" s="2">
        <v>6001.0</v>
      </c>
      <c r="B5998" s="5" t="s">
        <v>10981</v>
      </c>
      <c r="C5998" s="6">
        <v>1.0</v>
      </c>
      <c r="D5998" s="7" t="s">
        <v>10982</v>
      </c>
      <c r="E5998" s="8" t="str">
        <f>IFERROR(__xludf.DUMMYFUNCTION("googletranslate(D5998,""id"",""en"")"),"Just tampol it's still still ppkm")</f>
        <v>Just tampol it's still still ppkm</v>
      </c>
    </row>
    <row r="5999" ht="15.75" customHeight="1">
      <c r="A5999" s="2">
        <v>6002.0</v>
      </c>
      <c r="B5999" s="5" t="s">
        <v>10983</v>
      </c>
      <c r="C5999" s="6">
        <v>2.0</v>
      </c>
      <c r="D5999" s="7" t="s">
        <v>10984</v>
      </c>
      <c r="E5999" s="8" t="str">
        <f>IFERROR(__xludf.DUMMYFUNCTION("googletranslate(D5999,""id"",""en"")"),"The drill was also percent, it had begun to run out, because of the initial Emergency PPKM percent, and now it's percent per yesterday")</f>
        <v>The drill was also percent, it had begun to run out, because of the initial Emergency PPKM percent, and now it's percent per yesterday</v>
      </c>
    </row>
    <row r="6000" ht="15.75" customHeight="1">
      <c r="A6000" s="2">
        <v>6003.0</v>
      </c>
      <c r="B6000" s="5" t="s">
        <v>10985</v>
      </c>
      <c r="C6000" s="6">
        <v>1.0</v>
      </c>
      <c r="D6000" s="9" t="s">
        <v>10986</v>
      </c>
      <c r="E6000" s="8" t="str">
        <f>IFERROR(__xludf.DUMMYFUNCTION("googletranslate(D6000,""id"",""en"")"),"We did not reject PPKM but we demanded used for our rights due to PPKM. Don't useless the Chapter Law is made with expensive costs that fit scientific and religion so as not to auto pilot this country")</f>
        <v>We did not reject PPKM but we demanded used for our rights due to PPKM. Don't useless the Chapter Law is made with expensive costs that fit scientific and religion so as not to auto pilot this country</v>
      </c>
    </row>
    <row r="6001" ht="15.75" customHeight="1">
      <c r="A6001" s="2">
        <v>6004.0</v>
      </c>
      <c r="B6001" s="5" t="s">
        <v>10987</v>
      </c>
      <c r="C6001" s="6">
        <v>1.0</v>
      </c>
      <c r="D6001" s="7" t="s">
        <v>10988</v>
      </c>
      <c r="E6001" s="8" t="str">
        <f>IFERROR(__xludf.DUMMYFUNCTION("googletranslate(D6001,""id"",""en"")"),"PPKM rules firmly only BT people KCl G valid BT org rich n 'The apparatus")</f>
        <v>PPKM rules firmly only BT people KCl G valid BT org rich n 'The apparatus</v>
      </c>
    </row>
    <row r="6002" ht="15.75" customHeight="1">
      <c r="A6002" s="2">
        <v>6005.0</v>
      </c>
      <c r="B6002" s="5" t="s">
        <v>10989</v>
      </c>
      <c r="C6002" s="6">
        <v>1.0</v>
      </c>
      <c r="D6002" s="7" t="s">
        <v>10990</v>
      </c>
      <c r="E6002" s="8" t="str">
        <f>IFERROR(__xludf.DUMMYFUNCTION("googletranslate(D6002,""id"",""en"")"),"Yeah yeah just realized if the campaign promises yesterday ""it didn't load the next th"" plane in the PPKM paint extended which caused debt to pile up")</f>
        <v>Yeah yeah just realized if the campaign promises yesterday "it didn't load the next th" plane in the PPKM paint extended which caused debt to pile up</v>
      </c>
    </row>
    <row r="6003" ht="15.75" customHeight="1">
      <c r="A6003" s="2">
        <v>6006.0</v>
      </c>
      <c r="B6003" s="5" t="s">
        <v>10991</v>
      </c>
      <c r="C6003" s="6">
        <v>3.0</v>
      </c>
      <c r="D6003" s="9" t="s">
        <v>10992</v>
      </c>
      <c r="E6003" s="8" t="str">
        <f>IFERROR(__xludf.DUMMYFUNCTION("googletranslate(D6003,""id"",""en"")"),"Khofififah also explained that the Covid-19 isolation drill in East Java also fell, and from the beginning of the Emergency Emergency PPKM, there was currently a percent remaining!")</f>
        <v>Khofififah also explained that the Covid-19 isolation drill in East Java also fell, and from the beginning of the Emergency Emergency PPKM, there was currently a percent remaining!</v>
      </c>
    </row>
    <row r="6004" ht="15.75" customHeight="1">
      <c r="A6004" s="2">
        <v>6007.0</v>
      </c>
      <c r="B6004" s="5" t="s">
        <v>10993</v>
      </c>
      <c r="C6004" s="6">
        <v>2.0</v>
      </c>
      <c r="D6004" s="10" t="s">
        <v>6349</v>
      </c>
      <c r="E6004" s="8" t="str">
        <f>IFERROR(__xludf.DUMMYFUNCTION("googletranslate(D6004,""id"",""en"")"),"Kan PPKM.")</f>
        <v>Kan PPKM.</v>
      </c>
    </row>
    <row r="6005" ht="15.75" customHeight="1">
      <c r="A6005" s="2">
        <v>6008.0</v>
      </c>
      <c r="B6005" s="5" t="s">
        <v>10994</v>
      </c>
      <c r="C6005" s="6">
        <v>2.0</v>
      </c>
      <c r="D6005" s="7" t="s">
        <v>10995</v>
      </c>
      <c r="E6005" s="8" t="str">
        <f>IFERROR(__xludf.DUMMYFUNCTION("googletranslate(D6005,""id"",""en"")"),"VERY BEAUTIFUL??? HiIII is really funny. Greetings I am RP Shuhua's OC Name Kanaya Just call Nanay, Ayok Deketan TP Most Distance More PPKM")</f>
        <v>VERY BEAUTIFUL??? HiIII is really funny. Greetings I am RP Shuhua's OC Name Kanaya Just call Nanay, Ayok Deketan TP Most Distance More PPKM</v>
      </c>
    </row>
    <row r="6006" ht="15.75" customHeight="1">
      <c r="A6006" s="2">
        <v>6009.0</v>
      </c>
      <c r="B6006" s="5" t="s">
        <v>10996</v>
      </c>
      <c r="C6006" s="6">
        <v>2.0</v>
      </c>
      <c r="D6006" s="7" t="s">
        <v>10997</v>
      </c>
      <c r="E6006" s="8" t="str">
        <f>IFERROR(__xludf.DUMMYFUNCTION("googletranslate(D6006,""id"",""en"")"),"ppkm level levels kyk boncabe ae")</f>
        <v>ppkm level levels kyk boncabe ae</v>
      </c>
    </row>
    <row r="6007" ht="15.75" customHeight="1">
      <c r="A6007" s="2">
        <v>6010.0</v>
      </c>
      <c r="B6007" s="5" t="s">
        <v>10998</v>
      </c>
      <c r="C6007" s="6">
        <v>3.0</v>
      </c>
      <c r="D6007" s="9" t="s">
        <v>10998</v>
      </c>
      <c r="E6007" s="8" t="str">
        <f>IFERROR(__xludf.DUMMYFUNCTION("googletranslate(D6007,""id"",""en"")"),"EVALUATION OF PPKM, if we evaluate the case (Covid-19) who is fully confirmed thank God continues to slide")</f>
        <v>EVALUATION OF PPKM, if we evaluate the case (Covid-19) who is fully confirmed thank God continues to slide</v>
      </c>
    </row>
    <row r="6008" ht="15.75" customHeight="1">
      <c r="A6008" s="2">
        <v>6011.0</v>
      </c>
      <c r="B6008" s="5" t="s">
        <v>10999</v>
      </c>
      <c r="C6008" s="6">
        <v>1.0</v>
      </c>
      <c r="D6008" s="9" t="s">
        <v>11000</v>
      </c>
      <c r="E6008" s="8" t="str">
        <f>IFERROR(__xludf.DUMMYFUNCTION("googletranslate(D6008,""id"",""en"")"),"PPKM applies to the people who are looking for a living KLU Satpol PP officer, you can make a party to invite the HRS HRS PPKM rules firmly apply JG BT members of the apparatus")</f>
        <v>PPKM applies to the people who are looking for a living KLU Satpol PP officer, you can make a party to invite the HRS HRS PPKM rules firmly apply JG BT members of the apparatus</v>
      </c>
    </row>
    <row r="6009" ht="15.75" customHeight="1">
      <c r="A6009" s="2">
        <v>6012.0</v>
      </c>
      <c r="B6009" s="5" t="s">
        <v>11001</v>
      </c>
      <c r="C6009" s="6">
        <v>1.0</v>
      </c>
      <c r="D6009" s="9" t="s">
        <v>11002</v>
      </c>
      <c r="E6009" s="8" t="str">
        <f>IFERROR(__xludf.DUMMYFUNCTION("googletranslate(D6009,""id"",""en"")"),"HAPE HE AGAIN already in the sky I have the cellphone is also good but unfortunately Payiles (taken by the police and where will it be finished) then I'm inferior to the rich level of PPKM")</f>
        <v>HAPE HE AGAIN already in the sky I have the cellphone is also good but unfortunately Payiles (taken by the police and where will it be finished) then I'm inferior to the rich level of PPKM</v>
      </c>
    </row>
    <row r="6010" ht="15.75" customHeight="1">
      <c r="A6010" s="2">
        <v>6013.0</v>
      </c>
      <c r="B6010" s="5" t="s">
        <v>11003</v>
      </c>
      <c r="C6010" s="6">
        <v>2.0</v>
      </c>
      <c r="D6010" s="7" t="s">
        <v>11004</v>
      </c>
      <c r="E6010" s="8" t="str">
        <f>IFERROR(__xludf.DUMMYFUNCTION("googletranslate(D6010,""id"",""en"")"),"Panjannggggggggg PPKM.")</f>
        <v>Panjannggggggggg PPKM.</v>
      </c>
    </row>
    <row r="6011" ht="15.75" customHeight="1">
      <c r="A6011" s="2">
        <v>6014.0</v>
      </c>
      <c r="B6011" s="5" t="s">
        <v>11005</v>
      </c>
      <c r="C6011" s="6">
        <v>1.0</v>
      </c>
      <c r="D6011" s="9" t="s">
        <v>11006</v>
      </c>
      <c r="E6011" s="8" t="str">
        <f>IFERROR(__xludf.DUMMYFUNCTION("googletranslate(D6011,""id"",""en"")"),"It works !!!! It's been a difficult day of sleeping because the pattern of sleep that brants During Thisss PPKM Trs using this Trs Benerrran $ Number $ MENISIAN has a cool bed LO Nova")</f>
        <v>It works !!!! It's been a difficult day of sleeping because the pattern of sleep that brants During Thisss PPKM Trs using this Trs Benerrran $ Number $ MENISIAN has a cool bed LO Nova</v>
      </c>
    </row>
    <row r="6012" ht="15.75" customHeight="1">
      <c r="A6012" s="2">
        <v>6015.0</v>
      </c>
      <c r="B6012" s="5" t="s">
        <v>11007</v>
      </c>
      <c r="C6012" s="6">
        <v>2.0</v>
      </c>
      <c r="D6012" s="9" t="s">
        <v>11008</v>
      </c>
      <c r="E6012" s="8" t="str">
        <f>IFERROR(__xludf.DUMMYFUNCTION("googletranslate(D6012,""id"",""en"")"),"A year more, just going on a vacation outside the city just thinking about times .. Padahal only goes to Jakarta, if you have ... finally last June, you dare to play in Jakarta, eh after that PPKM ..")</f>
        <v>A year more, just going on a vacation outside the city just thinking about times .. Padahal only goes to Jakarta, if you have ... finally last June, you dare to play in Jakarta, eh after that PPKM ..</v>
      </c>
    </row>
    <row r="6013" ht="15.75" customHeight="1">
      <c r="A6013" s="2">
        <v>6016.0</v>
      </c>
      <c r="B6013" s="5" t="s">
        <v>11009</v>
      </c>
      <c r="C6013" s="6">
        <v>1.0</v>
      </c>
      <c r="D6013" s="9" t="s">
        <v>11009</v>
      </c>
      <c r="E6013" s="8" t="str">
        <f>IFERROR(__xludf.DUMMYFUNCTION("googletranslate(D6013,""id"",""en"")"),"Just aja terooosss ppkm until I crazy")</f>
        <v>Just aja terooosss ppkm until I crazy</v>
      </c>
    </row>
    <row r="6014" ht="15.75" customHeight="1">
      <c r="A6014" s="2">
        <v>6017.0</v>
      </c>
      <c r="B6014" s="5" t="s">
        <v>11010</v>
      </c>
      <c r="C6014" s="6">
        <v>2.0</v>
      </c>
      <c r="D6014" s="9" t="s">
        <v>11011</v>
      </c>
      <c r="E6014" s="8" t="str">
        <f>IFERROR(__xludf.DUMMYFUNCTION("googletranslate(D6014,""id"",""en"")"),"The central government finally again extended the $ number level PPKM until next August!")</f>
        <v>The central government finally again extended the $ number level PPKM until next August!</v>
      </c>
    </row>
    <row r="6015" ht="15.75" customHeight="1">
      <c r="A6015" s="2">
        <v>6018.0</v>
      </c>
      <c r="B6015" s="5" t="s">
        <v>11012</v>
      </c>
      <c r="C6015" s="6">
        <v>1.0</v>
      </c>
      <c r="D6015" s="9" t="s">
        <v>11013</v>
      </c>
      <c r="E6015" s="8" t="str">
        <f>IFERROR(__xludf.DUMMYFUNCTION("googletranslate(D6015,""id"",""en"")"),"If you buy rice to be distributed the paint paint money to the people affected by PPKM, of course more benefits when it's hard to find this. If you don't replace the paint, the plane can't fly anymore?")</f>
        <v>If you buy rice to be distributed the paint paint money to the people affected by PPKM, of course more benefits when it's hard to find this. If you don't replace the paint, the plane can't fly anymore?</v>
      </c>
    </row>
    <row r="6016" ht="15.75" customHeight="1">
      <c r="A6016" s="2">
        <v>6019.0</v>
      </c>
      <c r="B6016" s="5" t="s">
        <v>11014</v>
      </c>
      <c r="C6016" s="6">
        <v>1.0</v>
      </c>
      <c r="D6016" s="7" t="s">
        <v>11015</v>
      </c>
      <c r="E6016" s="8" t="str">
        <f>IFERROR(__xludf.DUMMYFUNCTION("googletranslate(D6016,""id"",""en"")"),"PPKM to the level that the community lived will be useless if the demonstration is still being left behind. For the security forces do not give permission to these actions, we are the people of Cape!")</f>
        <v>PPKM to the level that the community lived will be useless if the demonstration is still being left behind. For the security forces do not give permission to these actions, we are the people of Cape!</v>
      </c>
    </row>
    <row r="6017" ht="15.75" customHeight="1">
      <c r="A6017" s="2">
        <v>6020.0</v>
      </c>
      <c r="B6017" s="5" t="s">
        <v>11016</v>
      </c>
      <c r="C6017" s="6">
        <v>2.0</v>
      </c>
      <c r="D6017" s="9" t="s">
        <v>11017</v>
      </c>
      <c r="E6017" s="8" t="str">
        <f>IFERROR(__xludf.DUMMYFUNCTION("googletranslate(D6017,""id"",""en"")"),"PPKM Hoon Lo invites children")</f>
        <v>PPKM Hoon Lo invites children</v>
      </c>
    </row>
    <row r="6018" ht="15.75" customHeight="1">
      <c r="A6018" s="2">
        <v>6021.0</v>
      </c>
      <c r="B6018" s="5" t="s">
        <v>11018</v>
      </c>
      <c r="C6018" s="6">
        <v>2.0</v>
      </c>
      <c r="D6018" s="9" t="s">
        <v>11019</v>
      </c>
      <c r="E6018" s="8" t="str">
        <f>IFERROR(__xludf.DUMMYFUNCTION("googletranslate(D6018,""id"",""en"")"),"Eh not lockdown, ppkm")</f>
        <v>Eh not lockdown, ppkm</v>
      </c>
    </row>
    <row r="6019" ht="15.75" customHeight="1">
      <c r="A6019" s="2">
        <v>6022.0</v>
      </c>
      <c r="B6019" s="5" t="s">
        <v>11020</v>
      </c>
      <c r="C6019" s="6">
        <v>3.0</v>
      </c>
      <c r="D6019" s="7" t="s">
        <v>11021</v>
      </c>
      <c r="E6019" s="8" t="str">
        <f>IFERROR(__xludf.DUMMYFUNCTION("googletranslate(D6019,""id"",""en"")"),"CC Demo Action Plan by HMI &amp; amp; Labor amid the government has bothered to handle Covid-19 pandemics. Do not waste PPKM against the public by the action of Unfaedah!")</f>
        <v>CC Demo Action Plan by HMI &amp; amp; Labor amid the government has bothered to handle Covid-19 pandemics. Do not waste PPKM against the public by the action of Unfaedah!</v>
      </c>
    </row>
    <row r="6020" ht="15.75" customHeight="1">
      <c r="A6020" s="2">
        <v>6023.0</v>
      </c>
      <c r="B6020" s="5" t="s">
        <v>11022</v>
      </c>
      <c r="C6020" s="6">
        <v>1.0</v>
      </c>
      <c r="D6020" s="7" t="s">
        <v>11023</v>
      </c>
      <c r="E6020" s="8" t="str">
        <f>IFERROR(__xludf.DUMMYFUNCTION("googletranslate(D6020,""id"",""en"")"),"Going to the Roads Disposable Bikini, Candy Dinar Ngaku Extended PPKM Stress")</f>
        <v>Going to the Roads Disposable Bikini, Candy Dinar Ngaku Extended PPKM Stress</v>
      </c>
    </row>
    <row r="6021" ht="15.75" customHeight="1">
      <c r="A6021" s="2">
        <v>6024.0</v>
      </c>
      <c r="B6021" s="5" t="s">
        <v>11024</v>
      </c>
      <c r="C6021" s="6">
        <v>2.0</v>
      </c>
      <c r="D6021" s="7" t="s">
        <v>11024</v>
      </c>
      <c r="E6021" s="8" t="str">
        <f>IFERROR(__xludf.DUMMYFUNCTION("googletranslate(D6021,""id"",""en"")"),"PPKM. Early in the morning")</f>
        <v>PPKM. Early in the morning</v>
      </c>
    </row>
    <row r="6022" ht="15.75" customHeight="1">
      <c r="A6022" s="2">
        <v>6025.0</v>
      </c>
      <c r="B6022" s="5" t="s">
        <v>11025</v>
      </c>
      <c r="C6022" s="6">
        <v>1.0</v>
      </c>
      <c r="D6022" s="7" t="s">
        <v>11026</v>
      </c>
      <c r="E6022" s="8" t="str">
        <f>IFERROR(__xludf.DUMMYFUNCTION("googletranslate(D6022,""id"",""en"")"),"Viral Use Bikini on the Road, Dinar Candy Convey Refuses to Extend PPKM, Netizens: Several is looking for money")</f>
        <v>Viral Use Bikini on the Road, Dinar Candy Convey Refuses to Extend PPKM, Netizens: Several is looking for money</v>
      </c>
    </row>
    <row r="6023" ht="15.75" customHeight="1">
      <c r="A6023" s="2">
        <v>6026.0</v>
      </c>
      <c r="B6023" s="5" t="s">
        <v>11027</v>
      </c>
      <c r="C6023" s="6">
        <v>1.0</v>
      </c>
      <c r="D6023" s="7" t="s">
        <v>11028</v>
      </c>
      <c r="E6023" s="8" t="str">
        <f>IFERROR(__xludf.DUMMYFUNCTION("googletranslate(D6023,""id"",""en"")"),"Yes, pak ppkm repiried a week after a long week it doesn't really want the new year ... boro2 blah blah blah ... I'm just a sardine")</f>
        <v>Yes, pak ppkm repiried a week after a long week it doesn't really want the new year ... boro2 blah blah blah ... I'm just a sardine</v>
      </c>
    </row>
    <row r="6024" ht="15.75" customHeight="1">
      <c r="A6024" s="2">
        <v>6027.0</v>
      </c>
      <c r="B6024" s="5" t="s">
        <v>11029</v>
      </c>
      <c r="C6024" s="6">
        <v>1.0</v>
      </c>
      <c r="D6024" s="9" t="s">
        <v>11030</v>
      </c>
      <c r="E6024" s="8" t="str">
        <f>IFERROR(__xludf.DUMMYFUNCTION("googletranslate(D6024,""id"",""en"")"),"Aamiinn crazy crazy org2 eg orgefect the past is not a long time ago")</f>
        <v>Aamiinn crazy crazy org2 eg orgefect the past is not a long time ago</v>
      </c>
    </row>
    <row r="6025" ht="15.75" customHeight="1">
      <c r="A6025" s="2">
        <v>6028.0</v>
      </c>
      <c r="B6025" s="5" t="s">
        <v>11031</v>
      </c>
      <c r="C6025" s="6">
        <v>1.0</v>
      </c>
      <c r="D6025" s="7" t="s">
        <v>11032</v>
      </c>
      <c r="E6025" s="8" t="str">
        <f>IFERROR(__xludf.DUMMYFUNCTION("googletranslate(D6025,""id"",""en"")"),"Hayu tea Dokteeeer. Ppkm ngehek it can't be divided. Meet at my house Hayuuuuu Teeeh")</f>
        <v>Hayu tea Dokteeeer. Ppkm ngehek it can't be divided. Meet at my house Hayuuuuu Teeeh</v>
      </c>
    </row>
    <row r="6026" ht="15.75" customHeight="1">
      <c r="A6026" s="2">
        <v>6029.0</v>
      </c>
      <c r="B6026" s="5" t="s">
        <v>11033</v>
      </c>
      <c r="C6026" s="6">
        <v>3.0</v>
      </c>
      <c r="D6026" s="7" t="s">
        <v>11034</v>
      </c>
      <c r="E6026" s="8" t="str">
        <f>IFERROR(__xludf.DUMMYFUNCTION("googletranslate(D6026,""id"",""en"")"),"The invitation to reject PPKM spreads in Yogya, the police: can be displaced by the situation! Basically the demonstration is not prohibited. Tapii mbok ya do not selfish, in Yogya case Covid-19 still high lhonanti instead exacerbated the situation: //")</f>
        <v>The invitation to reject PPKM spreads in Yogya, the police: can be displaced by the situation! Basically the demonstration is not prohibited. Tapii mbok ya do not selfish, in Yogya case Covid-19 still high lhonanti instead exacerbated the situation: //</v>
      </c>
    </row>
    <row r="6027" ht="15.75" customHeight="1">
      <c r="A6027" s="2">
        <v>6030.0</v>
      </c>
      <c r="B6027" s="5" t="s">
        <v>11035</v>
      </c>
      <c r="C6027" s="6">
        <v>3.0</v>
      </c>
      <c r="D6027" s="7" t="s">
        <v>11036</v>
      </c>
      <c r="E6027" s="8" t="str">
        <f>IFERROR(__xludf.DUMMYFUNCTION("googletranslate(D6027,""id"",""en"")"),"The Special Regional Police of Yogyakarta (DIY) appealed to the public not to hold a demonstration regarding the PPKM penjangkan. It is known, the call to hold demonstrations in DIY has spread across various social media platforms: //")</f>
        <v>The Special Regional Police of Yogyakarta (DIY) appealed to the public not to hold a demonstration regarding the PPKM penjangkan. It is known, the call to hold demonstrations in DIY has spread across various social media platforms: //</v>
      </c>
    </row>
    <row r="6028" ht="15.75" customHeight="1">
      <c r="A6028" s="2">
        <v>6031.0</v>
      </c>
      <c r="B6028" s="5" t="s">
        <v>11037</v>
      </c>
      <c r="C6028" s="6">
        <v>2.0</v>
      </c>
      <c r="D6028" s="7" t="s">
        <v>11038</v>
      </c>
      <c r="E6028" s="8" t="str">
        <f>IFERROR(__xludf.DUMMYFUNCTION("googletranslate(D6028,""id"",""en"")"),"Muhane PPKM extended continuously")</f>
        <v>Muhane PPKM extended continuously</v>
      </c>
    </row>
    <row r="6029" ht="15.75" customHeight="1">
      <c r="A6029" s="2">
        <v>6032.0</v>
      </c>
      <c r="B6029" s="5" t="s">
        <v>11039</v>
      </c>
      <c r="C6029" s="6">
        <v>2.0</v>
      </c>
      <c r="D6029" s="7" t="s">
        <v>11040</v>
      </c>
      <c r="E6029" s="8" t="str">
        <f>IFERROR(__xludf.DUMMYFUNCTION("googletranslate(D6029,""id"",""en"")"),"Ppkm slowly soft masooook")</f>
        <v>Ppkm slowly soft masooook</v>
      </c>
    </row>
    <row r="6030" ht="15.75" customHeight="1">
      <c r="A6030" s="2">
        <v>6033.0</v>
      </c>
      <c r="B6030" s="5" t="s">
        <v>11041</v>
      </c>
      <c r="C6030" s="6">
        <v>1.0</v>
      </c>
      <c r="D6030" s="7" t="s">
        <v>11042</v>
      </c>
      <c r="E6030" s="8" t="str">
        <f>IFERROR(__xludf.DUMMYFUNCTION("googletranslate(D6030,""id"",""en"")"),"Ppkm sir, not free Ksana Kmri euy")</f>
        <v>Ppkm sir, not free Ksana Kmri euy</v>
      </c>
    </row>
    <row r="6031" ht="15.75" customHeight="1">
      <c r="A6031" s="2">
        <v>6034.0</v>
      </c>
      <c r="B6031" s="5" t="s">
        <v>11043</v>
      </c>
      <c r="C6031" s="6">
        <v>2.0</v>
      </c>
      <c r="D6031" s="9" t="s">
        <v>11044</v>
      </c>
      <c r="E6031" s="8" t="str">
        <f>IFERROR(__xludf.DUMMYFUNCTION("googletranslate(D6031,""id"",""en"")"),"the user please marry later, bro, so that it can invite the schedule")</f>
        <v>the user please marry later, bro, so that it can invite the schedule</v>
      </c>
    </row>
    <row r="6032" ht="15.75" customHeight="1">
      <c r="A6032" s="2">
        <v>6035.0</v>
      </c>
      <c r="B6032" s="5" t="s">
        <v>11045</v>
      </c>
      <c r="C6032" s="6">
        <v>1.0</v>
      </c>
      <c r="D6032" s="9" t="s">
        <v>11046</v>
      </c>
      <c r="E6032" s="8" t="str">
        <f>IFERROR(__xludf.DUMMYFUNCTION("googletranslate(D6032,""id"",""en"")"),"Rd mah where there is a correction in a palem. Mutual funds are like shares, as long as the investment manager is good, he will choose a share of potential up, which the downtrend is definitely finished. Dozevis down yesterday because the effect of the PP"&amp;"KM is almost all shares down all and it's reasonable.")</f>
        <v>Rd mah where there is a correction in a palem. Mutual funds are like shares, as long as the investment manager is good, he will choose a share of potential up, which the downtrend is definitely finished. Dozevis down yesterday because the effect of the PPKM is almost all shares down all and it's reasonable.</v>
      </c>
    </row>
    <row r="6033" ht="15.75" customHeight="1">
      <c r="A6033" s="2">
        <v>6036.0</v>
      </c>
      <c r="B6033" s="5" t="s">
        <v>11047</v>
      </c>
      <c r="C6033" s="6">
        <v>2.0</v>
      </c>
      <c r="D6033" s="9" t="s">
        <v>11048</v>
      </c>
      <c r="E6033" s="8" t="str">
        <f>IFERROR(__xludf.DUMMYFUNCTION("googletranslate(D6033,""id"",""en"")"),"Who knows if the ppkm has been loose it can be aired at the UL cinema")</f>
        <v>Who knows if the ppkm has been loose it can be aired at the UL cinema</v>
      </c>
    </row>
    <row r="6034" ht="15.75" customHeight="1">
      <c r="A6034" s="2">
        <v>6037.0</v>
      </c>
      <c r="B6034" s="5" t="s">
        <v>11049</v>
      </c>
      <c r="C6034" s="6">
        <v>3.0</v>
      </c>
      <c r="D6034" s="7" t="s">
        <v>11050</v>
      </c>
      <c r="E6034" s="8" t="str">
        <f>IFERROR(__xludf.DUMMYFUNCTION("googletranslate(D6034,""id"",""en"")"),"PPKM slowly slowly it improves it can be !!!!!")</f>
        <v>PPKM slowly slowly it improves it can be !!!!!</v>
      </c>
    </row>
    <row r="6035" ht="15.75" customHeight="1">
      <c r="A6035" s="2">
        <v>6038.0</v>
      </c>
      <c r="B6035" s="5" t="s">
        <v>11051</v>
      </c>
      <c r="C6035" s="6">
        <v>2.0</v>
      </c>
      <c r="D6035" s="7" t="s">
        <v>11052</v>
      </c>
      <c r="E6035" s="8" t="str">
        <f>IFERROR(__xludf.DUMMYFUNCTION("googletranslate(D6035,""id"",""en"")"),"PPKM extended until Red Velvet Comeback")</f>
        <v>PPKM extended until Red Velvet Comeback</v>
      </c>
    </row>
    <row r="6036" ht="15.75" customHeight="1">
      <c r="A6036" s="2">
        <v>6039.0</v>
      </c>
      <c r="B6036" s="5" t="s">
        <v>11053</v>
      </c>
      <c r="C6036" s="6">
        <v>3.0</v>
      </c>
      <c r="D6036" s="9" t="s">
        <v>11054</v>
      </c>
      <c r="E6036" s="8" t="str">
        <f>IFERROR(__xludf.DUMMYFUNCTION("googletranslate(D6036,""id"",""en"")"),"If while it is associated with PPKM easing, a good idea. Activities can be rolling but keep the positivity rate and a low drill. If you don't want to be in a vaccine, it might still have to join the KPKM that is tight first.")</f>
        <v>If while it is associated with PPKM easing, a good idea. Activities can be rolling but keep the positivity rate and a low drill. If you don't want to be in a vaccine, it might still have to join the KPKM that is tight first.</v>
      </c>
    </row>
    <row r="6037" ht="15.75" customHeight="1">
      <c r="A6037" s="2">
        <v>6040.0</v>
      </c>
      <c r="B6037" s="5" t="s">
        <v>11055</v>
      </c>
      <c r="C6037" s="6">
        <v>2.0</v>
      </c>
      <c r="D6037" s="7" t="s">
        <v>11056</v>
      </c>
      <c r="E6037" s="8" t="str">
        <f>IFERROR(__xludf.DUMMYFUNCTION("googletranslate(D6037,""id"",""en"")"),"Extended PPKM signal")</f>
        <v>Extended PPKM signal</v>
      </c>
    </row>
    <row r="6038" ht="15.75" customHeight="1">
      <c r="A6038" s="2">
        <v>6041.0</v>
      </c>
      <c r="B6038" s="5" t="s">
        <v>11057</v>
      </c>
      <c r="C6038" s="6">
        <v>2.0</v>
      </c>
      <c r="D6038" s="7" t="s">
        <v>11058</v>
      </c>
      <c r="E6038" s="8" t="str">
        <f>IFERROR(__xludf.DUMMYFUNCTION("googletranslate(D6038,""id"",""en"")"),"Pas PPKM.")</f>
        <v>Pas PPKM.</v>
      </c>
    </row>
    <row r="6039" ht="15.75" customHeight="1">
      <c r="A6039" s="2">
        <v>6042.0</v>
      </c>
      <c r="B6039" s="5" t="s">
        <v>11059</v>
      </c>
      <c r="C6039" s="6">
        <v>1.0</v>
      </c>
      <c r="D6039" s="7" t="s">
        <v>11060</v>
      </c>
      <c r="E6039" s="8" t="str">
        <f>IFERROR(__xludf.DUMMYFUNCTION("googletranslate(D6039,""id"",""en"")"),"Ppkm = the words of the deed deviated not according to all realities")</f>
        <v>Ppkm = the words of the deed deviated not according to all realities</v>
      </c>
    </row>
    <row r="6040" ht="15.75" customHeight="1">
      <c r="A6040" s="2">
        <v>6043.0</v>
      </c>
      <c r="B6040" s="5" t="s">
        <v>11061</v>
      </c>
      <c r="C6040" s="6">
        <v>1.0</v>
      </c>
      <c r="D6040" s="7" t="s">
        <v>11062</v>
      </c>
      <c r="E6040" s="8" t="str">
        <f>IFERROR(__xludf.DUMMYFUNCTION("googletranslate(D6040,""id"",""en"")"),"Disappointed PPKM Extended, Chairman of the Cafe Association and Restaurant Desperate to Pitch His Neck in Front of Bandung City Hall")</f>
        <v>Disappointed PPKM Extended, Chairman of the Cafe Association and Restaurant Desperate to Pitch His Neck in Front of Bandung City Hall</v>
      </c>
    </row>
    <row r="6041" ht="15.75" customHeight="1">
      <c r="A6041" s="2">
        <v>6044.0</v>
      </c>
      <c r="B6041" s="5" t="s">
        <v>11063</v>
      </c>
      <c r="C6041" s="6">
        <v>1.0</v>
      </c>
      <c r="D6041" s="9" t="s">
        <v>11064</v>
      </c>
      <c r="E6041" s="8" t="str">
        <f>IFERROR(__xludf.DUMMYFUNCTION("googletranslate(D6041,""id"",""en"")"),"gatau deh pgn moved the location of the lanutan ppkm")</f>
        <v>gatau deh pgn moved the location of the lanutan ppkm</v>
      </c>
    </row>
    <row r="6042" ht="15.75" customHeight="1">
      <c r="A6042" s="2">
        <v>6045.0</v>
      </c>
      <c r="B6042" s="5" t="s">
        <v>11065</v>
      </c>
      <c r="C6042" s="6">
        <v>1.0</v>
      </c>
      <c r="D6042" s="9" t="s">
        <v>11066</v>
      </c>
      <c r="E6042" s="8" t="str">
        <f>IFERROR(__xludf.DUMMYFUNCTION("googletranslate(D6042,""id"",""en"")"),"Jalo is just a priode for the same period of ppkm ... aja already level ... wkwkkwk")</f>
        <v>Jalo is just a priode for the same period of ppkm ... aja already level ... wkwkkwk</v>
      </c>
    </row>
    <row r="6043" ht="15.75" customHeight="1">
      <c r="A6043" s="2">
        <v>6046.0</v>
      </c>
      <c r="B6043" s="5" t="s">
        <v>11067</v>
      </c>
      <c r="C6043" s="6">
        <v>1.0</v>
      </c>
      <c r="D6043" s="7" t="s">
        <v>11068</v>
      </c>
      <c r="E6043" s="8" t="str">
        <f>IFERROR(__xludf.DUMMYFUNCTION("googletranslate(D6043,""id"",""en"")"),"yes the problem wants to need a party, but don't use the ppkm too, it can be ntar")</f>
        <v>yes the problem wants to need a party, but don't use the ppkm too, it can be ntar</v>
      </c>
    </row>
    <row r="6044" ht="15.75" customHeight="1">
      <c r="A6044" s="2">
        <v>6047.0</v>
      </c>
      <c r="B6044" s="5" t="s">
        <v>11069</v>
      </c>
      <c r="C6044" s="6">
        <v>1.0</v>
      </c>
      <c r="D6044" s="7" t="s">
        <v>11070</v>
      </c>
      <c r="E6044" s="8" t="str">
        <f>IFERROR(__xludf.DUMMYFUNCTION("googletranslate(D6044,""id"",""en"")"),"In the PPKM we have to do M.1 Majlis2 Masjid3 Matiknp must use the government rules that are not JLS. !!! Sure Corona doesn't exist. all of them already have a regulator ... !! Why do you have to take part in the rules that don't work ... ?????")</f>
        <v>In the PPKM we have to do M.1 Majlis2 Masjid3 Matiknp must use the government rules that are not JLS. !!! Sure Corona doesn't exist. all of them already have a regulator ... !! Why do you have to take part in the rules that don't work ... ?????</v>
      </c>
    </row>
    <row r="6045" ht="15.75" customHeight="1">
      <c r="A6045" s="2">
        <v>6048.0</v>
      </c>
      <c r="B6045" s="5" t="s">
        <v>11071</v>
      </c>
      <c r="C6045" s="6">
        <v>1.0</v>
      </c>
      <c r="D6045" s="9" t="s">
        <v>11072</v>
      </c>
      <c r="E6045" s="8" t="str">
        <f>IFERROR(__xludf.DUMMYFUNCTION("googletranslate(D6045,""id"",""en"")"),"BYK still stubborn, it turns out. Even though the SSH PPKM is extended again, it doesn't want to live a normal life, what else will you")</f>
        <v>BYK still stubborn, it turns out. Even though the SSH PPKM is extended again, it doesn't want to live a normal life, what else will you</v>
      </c>
    </row>
    <row r="6046" ht="15.75" customHeight="1">
      <c r="A6046" s="2">
        <v>6049.0</v>
      </c>
      <c r="B6046" s="5" t="s">
        <v>11073</v>
      </c>
      <c r="C6046" s="6">
        <v>1.0</v>
      </c>
      <c r="D6046" s="7" t="s">
        <v>11074</v>
      </c>
      <c r="E6046" s="8" t="str">
        <f>IFERROR(__xludf.DUMMYFUNCTION("googletranslate(D6046,""id"",""en"")"),"I want to pulkam but delayed by PPKM")</f>
        <v>I want to pulkam but delayed by PPKM</v>
      </c>
    </row>
    <row r="6047" ht="15.75" customHeight="1">
      <c r="A6047" s="2">
        <v>6050.0</v>
      </c>
      <c r="B6047" s="5" t="s">
        <v>11075</v>
      </c>
      <c r="C6047" s="6">
        <v>2.0</v>
      </c>
      <c r="D6047" s="7" t="s">
        <v>11076</v>
      </c>
      <c r="E6047" s="8" t="str">
        <f>IFERROR(__xludf.DUMMYFUNCTION("googletranslate(D6047,""id"",""en"")"),"nnti when I don't have a ppkm we meet ramean yaaa")</f>
        <v>nnti when I don't have a ppkm we meet ramean yaaa</v>
      </c>
    </row>
    <row r="6048" ht="15.75" customHeight="1">
      <c r="A6048" s="2">
        <v>6051.0</v>
      </c>
      <c r="B6048" s="5" t="s">
        <v>11077</v>
      </c>
      <c r="C6048" s="6">
        <v>1.0</v>
      </c>
      <c r="D6048" s="7" t="s">
        <v>11078</v>
      </c>
      <c r="E6048" s="8" t="str">
        <f>IFERROR(__xludf.DUMMYFUNCTION("googletranslate(D6048,""id"",""en"")"),"The government made a plin-plan rules, the people of Dsruh Lockdown / PPKM but the Indonesian WNA Trutma Indonesia came to Indo.")</f>
        <v>The government made a plin-plan rules, the people of Dsruh Lockdown / PPKM but the Indonesian WNA Trutma Indonesia came to Indo.</v>
      </c>
    </row>
    <row r="6049" ht="15.75" customHeight="1">
      <c r="A6049" s="2">
        <v>6052.0</v>
      </c>
      <c r="B6049" s="5" t="s">
        <v>11079</v>
      </c>
      <c r="C6049" s="6">
        <v>1.0</v>
      </c>
      <c r="D6049" s="7" t="s">
        <v>11080</v>
      </c>
      <c r="E6049" s="8" t="str">
        <f>IFERROR(__xludf.DUMMYFUNCTION("googletranslate(D6049,""id"",""en"")"),"Dusk vines between PPKM levels. The world is getting older, and your brain only contains power and property. Hopefully you can buy hot heaven and poor people get cool hell .... !!!")</f>
        <v>Dusk vines between PPKM levels. The world is getting older, and your brain only contains power and property. Hopefully you can buy hot heaven and poor people get cool hell .... !!!</v>
      </c>
    </row>
    <row r="6050" ht="15.75" customHeight="1">
      <c r="A6050" s="2">
        <v>6053.0</v>
      </c>
      <c r="B6050" s="5" t="s">
        <v>11081</v>
      </c>
      <c r="C6050" s="6">
        <v>2.0</v>
      </c>
      <c r="D6050" s="7" t="s">
        <v>11082</v>
      </c>
      <c r="E6050" s="8" t="str">
        <f>IFERROR(__xludf.DUMMYFUNCTION("googletranslate(D6050,""id"",""en"")"),"MO0TS Ceritain Dong Life Healthy During Your Version PPKM")</f>
        <v>MO0TS Ceritain Dong Life Healthy During Your Version PPKM</v>
      </c>
    </row>
    <row r="6051" ht="15.75" customHeight="1">
      <c r="A6051" s="2">
        <v>6054.0</v>
      </c>
      <c r="B6051" s="5" t="s">
        <v>11083</v>
      </c>
      <c r="C6051" s="6">
        <v>1.0</v>
      </c>
      <c r="D6051" s="9" t="s">
        <v>11084</v>
      </c>
      <c r="E6051" s="8" t="str">
        <f>IFERROR(__xludf.DUMMYFUNCTION("googletranslate(D6051,""id"",""en"")"),"Well why is it, until someone makes a challenge if the PPKM is extended. Using a bikini in public, Innalillahi has disappeared shame and moral")</f>
        <v>Well why is it, until someone makes a challenge if the PPKM is extended. Using a bikini in public, Innalillahi has disappeared shame and moral</v>
      </c>
    </row>
    <row r="6052" ht="15.75" customHeight="1">
      <c r="A6052" s="2">
        <v>6055.0</v>
      </c>
      <c r="B6052" s="5" t="s">
        <v>11085</v>
      </c>
      <c r="C6052" s="6">
        <v>2.0</v>
      </c>
      <c r="D6052" s="7" t="s">
        <v>11086</v>
      </c>
      <c r="E6052" s="8" t="str">
        <f>IFERROR(__xludf.DUMMYFUNCTION("googletranslate(D6052,""id"",""en"")"),"So PPKM in Wkwk")</f>
        <v>So PPKM in Wkwk</v>
      </c>
    </row>
    <row r="6053" ht="15.75" customHeight="1">
      <c r="A6053" s="2">
        <v>6056.0</v>
      </c>
      <c r="B6053" s="5" t="s">
        <v>11087</v>
      </c>
      <c r="C6053" s="6">
        <v>3.0</v>
      </c>
      <c r="D6053" s="9" t="s">
        <v>11088</v>
      </c>
      <c r="E6053" s="8" t="str">
        <f>IFERROR(__xludf.DUMMYFUNCTION("googletranslate(D6053,""id"",""en"")"),"Yes, I've missed the move free to Kyk first. Hopefully this level PPKM can be effective in the country of Covid from our country")</f>
        <v>Yes, I've missed the move free to Kyk first. Hopefully this level PPKM can be effective in the country of Covid from our country</v>
      </c>
    </row>
    <row r="6054" ht="15.75" customHeight="1">
      <c r="A6054" s="2">
        <v>6057.0</v>
      </c>
      <c r="B6054" s="5" t="s">
        <v>11089</v>
      </c>
      <c r="C6054" s="6">
        <v>2.0</v>
      </c>
      <c r="D6054" s="7" t="s">
        <v>11090</v>
      </c>
      <c r="E6054" s="8" t="str">
        <f>IFERROR(__xludf.DUMMYFUNCTION("googletranslate(D6054,""id"",""en"")"),"Waaah already waking up mw invited to market only still ppkm it doesn't work")</f>
        <v>Waaah already waking up mw invited to market only still ppkm it doesn't work</v>
      </c>
    </row>
    <row r="6055" ht="15.75" customHeight="1">
      <c r="A6055" s="2">
        <v>6058.0</v>
      </c>
      <c r="B6055" s="5" t="s">
        <v>11091</v>
      </c>
      <c r="C6055" s="6">
        <v>2.0</v>
      </c>
      <c r="D6055" s="7" t="s">
        <v>11092</v>
      </c>
      <c r="E6055" s="8" t="str">
        <f>IFERROR(__xludf.DUMMYFUNCTION("googletranslate(D6055,""id"",""en"")"),"Tips for caring for the PPKM period to remain in condition")</f>
        <v>Tips for caring for the PPKM period to remain in condition</v>
      </c>
    </row>
    <row r="6056" ht="15.75" customHeight="1">
      <c r="A6056" s="2">
        <v>6059.0</v>
      </c>
      <c r="B6056" s="5" t="s">
        <v>11093</v>
      </c>
      <c r="C6056" s="6">
        <v>1.0</v>
      </c>
      <c r="D6056" s="9" t="s">
        <v>11094</v>
      </c>
      <c r="E6056" s="8" t="str">
        <f>IFERROR(__xludf.DUMMYFUNCTION("googletranslate(D6056,""id"",""en"")"),"I wanted to gather nder together to my bestie teume eh ppkm extended so it was canceled")</f>
        <v>I wanted to gather nder together to my bestie teume eh ppkm extended so it was canceled</v>
      </c>
    </row>
    <row r="6057" ht="15.75" customHeight="1">
      <c r="A6057" s="2">
        <v>6060.0</v>
      </c>
      <c r="B6057" s="5" t="s">
        <v>11095</v>
      </c>
      <c r="C6057" s="6">
        <v>1.0</v>
      </c>
      <c r="D6057" s="7" t="s">
        <v>11096</v>
      </c>
      <c r="E6057" s="8" t="str">
        <f>IFERROR(__xludf.DUMMYFUNCTION("googletranslate(D6057,""id"",""en"")"),"Yes until also kagak finished lu later told the ppkm again nyaho")</f>
        <v>Yes until also kagak finished lu later told the ppkm again nyaho</v>
      </c>
    </row>
    <row r="6058" ht="15.75" customHeight="1">
      <c r="A6058" s="2">
        <v>6061.0</v>
      </c>
      <c r="B6058" s="5" t="s">
        <v>11097</v>
      </c>
      <c r="C6058" s="6">
        <v>2.0</v>
      </c>
      <c r="D6058" s="7" t="s">
        <v>11098</v>
      </c>
      <c r="E6058" s="8" t="str">
        <f>IFERROR(__xludf.DUMMYFUNCTION("googletranslate(D6058,""id"",""en"")"),"Min is after this PPKM completion, the requirements for flying will change again ?? For example the test can be with only the antigen swab test results")</f>
        <v>Min is after this PPKM completion, the requirements for flying will change again ?? For example the test can be with only the antigen swab test results</v>
      </c>
    </row>
    <row r="6059" ht="15.75" customHeight="1">
      <c r="A6059" s="2">
        <v>6062.0</v>
      </c>
      <c r="B6059" s="5" t="s">
        <v>11099</v>
      </c>
      <c r="C6059" s="6">
        <v>1.0</v>
      </c>
      <c r="D6059" s="9" t="s">
        <v>11100</v>
      </c>
      <c r="E6059" s="8" t="str">
        <f>IFERROR(__xludf.DUMMYFUNCTION("googletranslate(D6059,""id"",""en"")"),"The guile package was sent from Semarang, he said until the date, when I was checked, it was straying to the base of Pinang.")</f>
        <v>The guile package was sent from Semarang, he said until the date, when I was checked, it was straying to the base of Pinang.</v>
      </c>
    </row>
    <row r="6060" ht="15.75" customHeight="1">
      <c r="A6060" s="2">
        <v>6063.0</v>
      </c>
      <c r="B6060" s="5" t="s">
        <v>11101</v>
      </c>
      <c r="C6060" s="6">
        <v>1.0</v>
      </c>
      <c r="D6060" s="9" t="s">
        <v>11102</v>
      </c>
      <c r="E6060" s="8" t="str">
        <f>IFERROR(__xludf.DUMMYFUNCTION("googletranslate(D6060,""id"",""en"")"),"Kataie if you have been extended, but I just used to use the PPKM PPKM: /")</f>
        <v>Kataie if you have been extended, but I just used to use the PPKM PPKM: /</v>
      </c>
    </row>
    <row r="6061" ht="15.75" customHeight="1">
      <c r="A6061" s="2">
        <v>6064.0</v>
      </c>
      <c r="B6061" s="5" t="s">
        <v>11103</v>
      </c>
      <c r="C6061" s="6">
        <v>2.0</v>
      </c>
      <c r="D6061" s="9" t="s">
        <v>11104</v>
      </c>
      <c r="E6061" s="8" t="str">
        <f>IFERROR(__xludf.DUMMYFUNCTION("googletranslate(D6061,""id"",""en"")"),"Guys want to ask, ppkm is already finished yet? If extended until when? How come you don't update ...")</f>
        <v>Guys want to ask, ppkm is already finished yet? If extended until when? How come you don't update ...</v>
      </c>
    </row>
    <row r="6062" ht="15.75" customHeight="1">
      <c r="A6062" s="2">
        <v>6065.0</v>
      </c>
      <c r="B6062" s="5" t="s">
        <v>11105</v>
      </c>
      <c r="C6062" s="6">
        <v>2.0</v>
      </c>
      <c r="D6062" s="9" t="s">
        <v>11106</v>
      </c>
      <c r="E6062" s="8" t="str">
        <f>IFERROR(__xludf.DUMMYFUNCTION("googletranslate(D6062,""id"",""en"")"),"Because again PPKM, his friends on sending food to Messi's house, continued later to be uploaded at IG Story. or some uploaded photos together with Messi, the caption ""Happy Resign, good luck at the new club"",")</f>
        <v>Because again PPKM, his friends on sending food to Messi's house, continued later to be uploaded at IG Story. or some uploaded photos together with Messi, the caption "Happy Resign, good luck at the new club",</v>
      </c>
    </row>
    <row r="6063" ht="15.75" customHeight="1">
      <c r="A6063" s="2">
        <v>6066.0</v>
      </c>
      <c r="B6063" s="5" t="s">
        <v>11107</v>
      </c>
      <c r="C6063" s="6">
        <v>1.0</v>
      </c>
      <c r="D6063" s="9" t="s">
        <v>11107</v>
      </c>
      <c r="E6063" s="8" t="str">
        <f>IFERROR(__xludf.DUMMYFUNCTION("googletranslate(D6063,""id"",""en"")"),"This is why the teacher teacher when the ppkm kl gives the task definitely have to make it out of the house to buy this buy it")</f>
        <v>This is why the teacher teacher when the ppkm kl gives the task definitely have to make it out of the house to buy this buy it</v>
      </c>
    </row>
    <row r="6064" ht="15.75" customHeight="1">
      <c r="A6064" s="2">
        <v>6067.0</v>
      </c>
      <c r="B6064" s="5" t="s">
        <v>11108</v>
      </c>
      <c r="C6064" s="6">
        <v>2.0</v>
      </c>
      <c r="D6064" s="7" t="s">
        <v>11109</v>
      </c>
      <c r="E6064" s="8" t="str">
        <f>IFERROR(__xludf.DUMMYFUNCTION("googletranslate(D6064,""id"",""en"")"),"Knp ohm .... same ppkm")</f>
        <v>Knp ohm .... same ppkm</v>
      </c>
    </row>
    <row r="6065" ht="15.75" customHeight="1">
      <c r="A6065" s="2">
        <v>6068.0</v>
      </c>
      <c r="B6065" s="5" t="s">
        <v>11110</v>
      </c>
      <c r="C6065" s="6">
        <v>2.0</v>
      </c>
      <c r="D6065" s="9" t="s">
        <v>11111</v>
      </c>
      <c r="E6065" s="8" t="str">
        <f>IFERROR(__xludf.DUMMYFUNCTION("googletranslate(D6065,""id"",""en"")"),"Knp hrs so. Because the number rose noise blaming there was no vaccination and no PPKM. As soon as the number down praised the vaccination and PPKM.PDHL both things were not in reality. Even vaccination is a spread cluster. How do we build arguments based"&amp;" on things that don't exist?")</f>
        <v>Knp hrs so. Because the number rose noise blaming there was no vaccination and no PPKM. As soon as the number down praised the vaccination and PPKM.PDHL both things were not in reality. Even vaccination is a spread cluster. How do we build arguments based on things that don't exist?</v>
      </c>
    </row>
    <row r="6066" ht="15.75" customHeight="1">
      <c r="A6066" s="2">
        <v>6069.0</v>
      </c>
      <c r="B6066" s="5" t="s">
        <v>11112</v>
      </c>
      <c r="C6066" s="6">
        <v>1.0</v>
      </c>
      <c r="D6066" s="7" t="s">
        <v>11113</v>
      </c>
      <c r="E6066" s="8" t="str">
        <f>IFERROR(__xludf.DUMMYFUNCTION("googletranslate(D6066,""id"",""en"")"),"Tmpat gym wkwkwww because still ppkm becomes limited")</f>
        <v>Tmpat gym wkwkwww because still ppkm becomes limited</v>
      </c>
    </row>
    <row r="6067" ht="15.75" customHeight="1">
      <c r="A6067" s="2">
        <v>6070.0</v>
      </c>
      <c r="B6067" s="5" t="s">
        <v>11114</v>
      </c>
      <c r="C6067" s="6">
        <v>1.0</v>
      </c>
      <c r="D6067" s="9" t="s">
        <v>11115</v>
      </c>
      <c r="E6067" s="8" t="str">
        <f>IFERROR(__xludf.DUMMYFUNCTION("googletranslate(D6067,""id"",""en"")"),"Garau Gara2 ppkm has started to get used to it. SLAMA if it hurts or just a public health chek, when it emergency is even arrears sorry if he confides early in the morning")</f>
        <v>Garau Gara2 ppkm has started to get used to it. SLAMA if it hurts or just a public health chek, when it emergency is even arrears sorry if he confides early in the morning</v>
      </c>
    </row>
    <row r="6068" ht="15.75" customHeight="1">
      <c r="A6068" s="2">
        <v>6071.0</v>
      </c>
      <c r="B6068" s="5" t="s">
        <v>11116</v>
      </c>
      <c r="C6068" s="6">
        <v>1.0</v>
      </c>
      <c r="D6068" s="7" t="s">
        <v>11117</v>
      </c>
      <c r="E6068" s="8" t="str">
        <f>IFERROR(__xludf.DUMMYFUNCTION("googletranslate(D6068,""id"",""en"")"),"Even though in IG and other Medsos many bets that use it, it can't be worn by a pornography law or because there is a relationship with PPKM, so it's made the reason?")</f>
        <v>Even though in IG and other Medsos many bets that use it, it can't be worn by a pornography law or because there is a relationship with PPKM, so it's made the reason?</v>
      </c>
    </row>
    <row r="6069" ht="15.75" customHeight="1">
      <c r="A6069" s="2">
        <v>6072.0</v>
      </c>
      <c r="B6069" s="5" t="s">
        <v>11118</v>
      </c>
      <c r="C6069" s="6">
        <v>1.0</v>
      </c>
      <c r="D6069" s="9" t="s">
        <v>11118</v>
      </c>
      <c r="E6069" s="8" t="str">
        <f>IFERROR(__xludf.DUMMYFUNCTION("googletranslate(D6069,""id"",""en"")"),"if it's not ppkm, I think I don't have this desperate")</f>
        <v>if it's not ppkm, I think I don't have this desperate</v>
      </c>
    </row>
    <row r="6070" ht="15.75" customHeight="1">
      <c r="A6070" s="2">
        <v>6073.0</v>
      </c>
      <c r="B6070" s="5" t="s">
        <v>11119</v>
      </c>
      <c r="C6070" s="6">
        <v>2.0</v>
      </c>
      <c r="D6070" s="7" t="s">
        <v>11120</v>
      </c>
      <c r="E6070" s="8" t="str">
        <f>IFERROR(__xludf.DUMMYFUNCTION("googletranslate(D6070,""id"",""en"")"),"During the PPKM so often chat with cats")</f>
        <v>During the PPKM so often chat with cats</v>
      </c>
    </row>
    <row r="6071" ht="15.75" customHeight="1">
      <c r="A6071" s="2">
        <v>6074.0</v>
      </c>
      <c r="B6071" s="5" t="s">
        <v>11121</v>
      </c>
      <c r="C6071" s="6">
        <v>1.0</v>
      </c>
      <c r="D6071" s="7" t="s">
        <v>11122</v>
      </c>
      <c r="E6071" s="8" t="str">
        <f>IFERROR(__xludf.DUMMYFUNCTION("googletranslate(D6071,""id"",""en"")"),"Laid off the gr2 ppkm not mari2")</f>
        <v>Laid off the gr2 ppkm not mari2</v>
      </c>
    </row>
    <row r="6072" ht="15.75" customHeight="1">
      <c r="A6072" s="2">
        <v>6075.0</v>
      </c>
      <c r="B6072" s="5" t="s">
        <v>11123</v>
      </c>
      <c r="C6072" s="6">
        <v>1.0</v>
      </c>
      <c r="D6072" s="7" t="s">
        <v>11124</v>
      </c>
      <c r="E6072" s="8" t="str">
        <f>IFERROR(__xludf.DUMMYFUNCTION("googletranslate(D6072,""id"",""en"")"),"yes if the facts here are the level of uk and vaccination already &amp; gt; 60% don't want to open the activity as well as it's up to .... this knows to ... vaccines in the area sometimes you can't supply, the faction is very minimal, still on Want to reject "&amp;"PPKM too? The longer this pandemic.")</f>
        <v>yes if the facts here are the level of uk and vaccination already &amp; gt; 60% don't want to open the activity as well as it's up to .... this knows to ... vaccines in the area sometimes you can't supply, the faction is very minimal, still on Want to reject PPKM too? The longer this pandemic.</v>
      </c>
    </row>
    <row r="6073" ht="15.75" customHeight="1">
      <c r="A6073" s="2">
        <v>6076.0</v>
      </c>
      <c r="B6073" s="5" t="s">
        <v>11125</v>
      </c>
      <c r="C6073" s="6">
        <v>1.0</v>
      </c>
      <c r="D6073" s="9" t="s">
        <v>11126</v>
      </c>
      <c r="E6073" s="8" t="str">
        <f>IFERROR(__xludf.DUMMYFUNCTION("googletranslate(D6073,""id"",""en"")"),"December holiday if it's still ppkm, it's home, I want to staycation aka just for a month so that every day it is busy all day without very bad bodo interference")</f>
        <v>December holiday if it's still ppkm, it's home, I want to staycation aka just for a month so that every day it is busy all day without very bad bodo interference</v>
      </c>
    </row>
    <row r="6074" ht="15.75" customHeight="1">
      <c r="A6074" s="2">
        <v>6077.0</v>
      </c>
      <c r="B6074" s="5" t="s">
        <v>11127</v>
      </c>
      <c r="C6074" s="6">
        <v>2.0</v>
      </c>
      <c r="D6074" s="7" t="s">
        <v>11128</v>
      </c>
      <c r="E6074" s="8" t="str">
        <f>IFERROR(__xludf.DUMMYFUNCTION("googletranslate(D6074,""id"",""en"")"),"Oh ppkm kak ehehe")</f>
        <v>Oh ppkm kak ehehe</v>
      </c>
    </row>
    <row r="6075" ht="15.75" customHeight="1">
      <c r="A6075" s="2">
        <v>6078.0</v>
      </c>
      <c r="B6075" s="5" t="s">
        <v>11129</v>
      </c>
      <c r="C6075" s="6">
        <v>1.0</v>
      </c>
      <c r="D6075" s="7" t="s">
        <v>11130</v>
      </c>
      <c r="E6075" s="8" t="str">
        <f>IFERROR(__xludf.DUMMYFUNCTION("googletranslate(D6075,""id"",""en"")"),"PPKM Level Jamet")</f>
        <v>PPKM Level Jamet</v>
      </c>
    </row>
    <row r="6076" ht="15.75" customHeight="1">
      <c r="A6076" s="2">
        <v>6079.0</v>
      </c>
      <c r="B6076" s="5" t="s">
        <v>11131</v>
      </c>
      <c r="C6076" s="6">
        <v>1.0</v>
      </c>
      <c r="D6076" s="9" t="s">
        <v>11131</v>
      </c>
      <c r="E6076" s="8" t="str">
        <f>IFERROR(__xludf.DUMMYFUNCTION("googletranslate(D6076,""id"",""en"")"),"The only negative impact of the PPKM for me is just gabisa ngegyma taikk")</f>
        <v>The only negative impact of the PPKM for me is just gabisa ngegyma taikk</v>
      </c>
    </row>
    <row r="6077" ht="15.75" customHeight="1">
      <c r="A6077" s="2">
        <v>6080.0</v>
      </c>
      <c r="B6077" s="5" t="s">
        <v>11132</v>
      </c>
      <c r="C6077" s="6">
        <v>1.0</v>
      </c>
      <c r="D6077" s="7" t="s">
        <v>11133</v>
      </c>
      <c r="E6077" s="8" t="str">
        <f>IFERROR(__xludf.DUMMYFUNCTION("googletranslate(D6077,""id"",""en"")"),"PPKM also affects until the level of Messi. After the contract is unemployed")</f>
        <v>PPKM also affects until the level of Messi. After the contract is unemployed</v>
      </c>
    </row>
    <row r="6078" ht="15.75" customHeight="1">
      <c r="A6078" s="2">
        <v>6081.0</v>
      </c>
      <c r="B6078" s="5" t="s">
        <v>11134</v>
      </c>
      <c r="C6078" s="6">
        <v>3.0</v>
      </c>
      <c r="D6078" s="9" t="s">
        <v>11135</v>
      </c>
      <c r="E6078" s="8" t="str">
        <f>IFERROR(__xludf.DUMMYFUNCTION("googletranslate(D6078,""id"",""en"")"),"Alhamdulilah PPKM is not too tight because the people are more concerned about prokes")</f>
        <v>Alhamdulilah PPKM is not too tight because the people are more concerned about prokes</v>
      </c>
    </row>
    <row r="6079" ht="15.75" customHeight="1">
      <c r="A6079" s="2">
        <v>6082.0</v>
      </c>
      <c r="B6079" s="5" t="s">
        <v>11136</v>
      </c>
      <c r="C6079" s="6">
        <v>2.0</v>
      </c>
      <c r="D6079" s="7" t="s">
        <v>11137</v>
      </c>
      <c r="E6079" s="8" t="str">
        <f>IFERROR(__xludf.DUMMYFUNCTION("googletranslate(D6079,""id"",""en"")"),"Wuidih superheroes smpai jagain ppkm")</f>
        <v>Wuidih superheroes smpai jagain ppkm</v>
      </c>
    </row>
    <row r="6080" ht="15.75" customHeight="1">
      <c r="A6080" s="2">
        <v>6083.0</v>
      </c>
      <c r="B6080" s="5" t="s">
        <v>11138</v>
      </c>
      <c r="C6080" s="6">
        <v>3.0</v>
      </c>
      <c r="D6080" s="7" t="s">
        <v>11139</v>
      </c>
      <c r="E6080" s="8" t="str">
        <f>IFERROR(__xludf.DUMMYFUNCTION("googletranslate(D6080,""id"",""en"")"),"Although PPKM continues to be extended but assistance is still given")</f>
        <v>Although PPKM continues to be extended but assistance is still given</v>
      </c>
    </row>
    <row r="6081" ht="15.75" customHeight="1">
      <c r="A6081" s="2">
        <v>6084.0</v>
      </c>
      <c r="B6081" s="5" t="s">
        <v>11140</v>
      </c>
      <c r="C6081" s="6">
        <v>2.0</v>
      </c>
      <c r="D6081" s="7" t="s">
        <v>11141</v>
      </c>
      <c r="E6081" s="8" t="str">
        <f>IFERROR(__xludf.DUMMYFUNCTION("googletranslate(D6081,""id"",""en"")"),"This bro. Media2 began showing skyrocketing economy. Is it any connection with why the government does not immediately anticipate the Covid explosion in May / June ... Wait for Q2 finished? If this Q3 is colored by PPKM, does it still grow this Q3?")</f>
        <v>This bro. Media2 began showing skyrocketing economy. Is it any connection with why the government does not immediately anticipate the Covid explosion in May / June ... Wait for Q2 finished? If this Q3 is colored by PPKM, does it still grow this Q3?</v>
      </c>
    </row>
    <row r="6082" ht="15.75" customHeight="1">
      <c r="A6082" s="2">
        <v>6085.0</v>
      </c>
      <c r="B6082" s="5" t="s">
        <v>11142</v>
      </c>
      <c r="C6082" s="6">
        <v>1.0</v>
      </c>
      <c r="D6082" s="7" t="s">
        <v>11143</v>
      </c>
      <c r="E6082" s="8" t="str">
        <f>IFERROR(__xludf.DUMMYFUNCTION("googletranslate(D6082,""id"",""en"")"),"Who feels this SPRT is very sdkt than the one who doesn't mba nana, even though as health workers I feel grateful because the case decreases, but as a person's personal to see relatives and friends it feels really sad to see them survive in the middle PPK"&amp;"M")</f>
        <v>Who feels this SPRT is very sdkt than the one who doesn't mba nana, even though as health workers I feel grateful because the case decreases, but as a person's personal to see relatives and friends it feels really sad to see them survive in the middle PPKM</v>
      </c>
    </row>
    <row r="6083" ht="15.75" customHeight="1">
      <c r="A6083" s="2">
        <v>6086.0</v>
      </c>
      <c r="B6083" s="5" t="s">
        <v>11144</v>
      </c>
      <c r="C6083" s="6">
        <v>3.0</v>
      </c>
      <c r="D6083" s="7" t="s">
        <v>11145</v>
      </c>
      <c r="E6083" s="8" t="str">
        <f>IFERROR(__xludf.DUMMYFUNCTION("googletranslate(D6083,""id"",""en"")"),"Wow, his knowledge is really useful, thank God, the PPKM has a positive impact")</f>
        <v>Wow, his knowledge is really useful, thank God, the PPKM has a positive impact</v>
      </c>
    </row>
    <row r="6084" ht="15.75" customHeight="1">
      <c r="A6084" s="2">
        <v>6087.0</v>
      </c>
      <c r="B6084" s="5" t="s">
        <v>11146</v>
      </c>
      <c r="C6084" s="6">
        <v>3.0</v>
      </c>
      <c r="D6084" s="7" t="s">
        <v>11147</v>
      </c>
      <c r="E6084" s="8" t="str">
        <f>IFERROR(__xludf.DUMMYFUNCTION("googletranslate(D6084,""id"",""en"")"),"We hrus creative lbh getting around this PPKM")</f>
        <v>We hrus creative lbh getting around this PPKM</v>
      </c>
    </row>
    <row r="6085" ht="15.75" customHeight="1">
      <c r="A6085" s="2">
        <v>6088.0</v>
      </c>
      <c r="B6085" s="5" t="s">
        <v>11148</v>
      </c>
      <c r="C6085" s="6">
        <v>2.0</v>
      </c>
      <c r="D6085" s="9" t="s">
        <v>11148</v>
      </c>
      <c r="E6085" s="8" t="str">
        <f>IFERROR(__xludf.DUMMYFUNCTION("googletranslate(D6085,""id"",""en"")"),"Early in the morning on Edgar Davids's comments if the PPKM was extended again.")</f>
        <v>Early in the morning on Edgar Davids's comments if the PPKM was extended again.</v>
      </c>
    </row>
    <row r="6086" ht="15.75" customHeight="1">
      <c r="A6086" s="2">
        <v>6089.0</v>
      </c>
      <c r="B6086" s="5" t="s">
        <v>11149</v>
      </c>
      <c r="C6086" s="6">
        <v>2.0</v>
      </c>
      <c r="D6086" s="9" t="s">
        <v>11150</v>
      </c>
      <c r="E6086" s="8" t="str">
        <f>IFERROR(__xludf.DUMMYFUNCTION("googletranslate(D6086,""id"",""en"")"),"Not bad in disloin, the result is affected by PPKM")</f>
        <v>Not bad in disloin, the result is affected by PPKM</v>
      </c>
    </row>
    <row r="6087" ht="15.75" customHeight="1">
      <c r="A6087" s="2">
        <v>6090.0</v>
      </c>
      <c r="B6087" s="5" t="s">
        <v>11151</v>
      </c>
      <c r="C6087" s="6">
        <v>2.0</v>
      </c>
      <c r="D6087" s="9" t="s">
        <v>11152</v>
      </c>
      <c r="E6087" s="8" t="str">
        <f>IFERROR(__xludf.DUMMYFUNCTION("googletranslate(D6087,""id"",""en"")"),"the problem is the quarter of us for the old PPKM, it is not sure it will be as good as the previous quarter but yes, hopefully there will be a few sectors that are ready")</f>
        <v>the problem is the quarter of us for the old PPKM, it is not sure it will be as good as the previous quarter but yes, hopefully there will be a few sectors that are ready</v>
      </c>
    </row>
    <row r="6088" ht="15.75" customHeight="1">
      <c r="A6088" s="2">
        <v>6091.0</v>
      </c>
      <c r="B6088" s="5" t="s">
        <v>11153</v>
      </c>
      <c r="C6088" s="6">
        <v>1.0</v>
      </c>
      <c r="D6088" s="7" t="s">
        <v>11153</v>
      </c>
      <c r="E6088" s="8" t="str">
        <f>IFERROR(__xludf.DUMMYFUNCTION("googletranslate(D6088,""id"",""en"")"),"ppkm when to finish I want to be rich")</f>
        <v>ppkm when to finish I want to be rich</v>
      </c>
    </row>
    <row r="6089" ht="15.75" customHeight="1">
      <c r="A6089" s="2">
        <v>6092.0</v>
      </c>
      <c r="B6089" s="5" t="s">
        <v>11154</v>
      </c>
      <c r="C6089" s="6">
        <v>1.0</v>
      </c>
      <c r="D6089" s="7" t="s">
        <v>11155</v>
      </c>
      <c r="E6089" s="8" t="str">
        <f>IFERROR(__xludf.DUMMYFUNCTION("googletranslate(D6089,""id"",""en"")"),"The PPKM period is finally defended ""in Nongki, where is the cm of ice tea again Hadehh")</f>
        <v>The PPKM period is finally defended "in Nongki, where is the cm of ice tea again Hadehh</v>
      </c>
    </row>
    <row r="6090" ht="15.75" customHeight="1">
      <c r="A6090" s="2">
        <v>6093.0</v>
      </c>
      <c r="B6090" s="5" t="s">
        <v>11156</v>
      </c>
      <c r="C6090" s="6">
        <v>3.0</v>
      </c>
      <c r="D6090" s="7" t="s">
        <v>11156</v>
      </c>
      <c r="E6090" s="8" t="str">
        <f>IFERROR(__xludf.DUMMYFUNCTION("googletranslate(D6090,""id"",""en"")"),"PPKM slowly the condition improved ... Friday blessing ... beroliga")</f>
        <v>PPKM slowly the condition improved ... Friday blessing ... beroliga</v>
      </c>
    </row>
    <row r="6091" ht="15.75" customHeight="1">
      <c r="A6091" s="2">
        <v>6094.0</v>
      </c>
      <c r="B6091" s="5" t="s">
        <v>11157</v>
      </c>
      <c r="C6091" s="6">
        <v>2.0</v>
      </c>
      <c r="D6091" s="7" t="s">
        <v>11158</v>
      </c>
      <c r="E6091" s="8" t="str">
        <f>IFERROR(__xludf.DUMMYFUNCTION("googletranslate(D6091,""id"",""en"")"),"Hopefully the PPKM is not extended again after August")</f>
        <v>Hopefully the PPKM is not extended again after August</v>
      </c>
    </row>
    <row r="6092" ht="15.75" customHeight="1">
      <c r="A6092" s="2">
        <v>6095.0</v>
      </c>
      <c r="B6092" s="5" t="s">
        <v>11159</v>
      </c>
      <c r="C6092" s="6">
        <v>2.0</v>
      </c>
      <c r="D6092" s="9" t="s">
        <v>11160</v>
      </c>
      <c r="E6092" s="8" t="str">
        <f>IFERROR(__xludf.DUMMYFUNCTION("googletranslate(D6092,""id"",""en"")"),"This is before the PPKM, the portrait is ... the top of the queen - West Tebul Pegantenan Pamekasan")</f>
        <v>This is before the PPKM, the portrait is ... the top of the queen - West Tebul Pegantenan Pamekasan</v>
      </c>
    </row>
    <row r="6093" ht="15.75" customHeight="1">
      <c r="A6093" s="2">
        <v>6096.0</v>
      </c>
      <c r="B6093" s="5" t="s">
        <v>11161</v>
      </c>
      <c r="C6093" s="6">
        <v>2.0</v>
      </c>
      <c r="D6093" s="9" t="s">
        <v>11162</v>
      </c>
      <c r="E6093" s="8" t="str">
        <f>IFERROR(__xludf.DUMMYFUNCTION("googletranslate(D6093,""id"",""en"")"),"Indeed GDP growth is too macro. Anyway all economic activities are calculated. The quarter of the PSBB can be said to be a lot of economic activity, vs. quarter before PPKM, it looks high. Plus there are other state factors that have recovered start openi"&amp;"ng import faucets.")</f>
        <v>Indeed GDP growth is too macro. Anyway all economic activities are calculated. The quarter of the PSBB can be said to be a lot of economic activity, vs. quarter before PPKM, it looks high. Plus there are other state factors that have recovered start opening import faucets.</v>
      </c>
    </row>
    <row r="6094" ht="15.75" customHeight="1">
      <c r="A6094" s="2">
        <v>6097.0</v>
      </c>
      <c r="B6094" s="5" t="s">
        <v>11163</v>
      </c>
      <c r="C6094" s="6">
        <v>2.0</v>
      </c>
      <c r="D6094" s="9" t="s">
        <v>11164</v>
      </c>
      <c r="E6094" s="8" t="str">
        <f>IFERROR(__xludf.DUMMYFUNCTION("googletranslate(D6094,""id"",""en"")"),"The PPKM entered the clock was somewhat more santuy, the morning can raise the camel first")</f>
        <v>The PPKM entered the clock was somewhat more santuy, the morning can raise the camel first</v>
      </c>
    </row>
    <row r="6095" ht="15.75" customHeight="1">
      <c r="A6095" s="2">
        <v>6098.0</v>
      </c>
      <c r="B6095" s="5" t="s">
        <v>11165</v>
      </c>
      <c r="C6095" s="6">
        <v>1.0</v>
      </c>
      <c r="D6095" s="7" t="s">
        <v>11166</v>
      </c>
      <c r="E6095" s="8" t="str">
        <f>IFERROR(__xludf.DUMMYFUNCTION("googletranslate(D6095,""id"",""en"")"),"These are LG PPKM, try normal days ... Kalimalang, alternative road to the morning area, the afternoon is already asoooooy ...")</f>
        <v>These are LG PPKM, try normal days ... Kalimalang, alternative road to the morning area, the afternoon is already asoooooy ...</v>
      </c>
    </row>
    <row r="6096" ht="15.75" customHeight="1">
      <c r="A6096" s="2">
        <v>6099.0</v>
      </c>
      <c r="B6096" s="5" t="s">
        <v>11167</v>
      </c>
      <c r="C6096" s="6">
        <v>3.0</v>
      </c>
      <c r="D6096" s="7" t="s">
        <v>11168</v>
      </c>
      <c r="E6096" s="8" t="str">
        <f>IFERROR(__xludf.DUMMYFUNCTION("googletranslate(D6096,""id"",""en"")"),"Let the pandemic leave immediately, no PPKM")</f>
        <v>Let the pandemic leave immediately, no PPKM</v>
      </c>
    </row>
    <row r="6097" ht="15.75" customHeight="1">
      <c r="A6097" s="2">
        <v>6100.0</v>
      </c>
      <c r="B6097" s="5" t="s">
        <v>11169</v>
      </c>
      <c r="C6097" s="6">
        <v>2.0</v>
      </c>
      <c r="D6097" s="9" t="s">
        <v>11170</v>
      </c>
      <c r="E6097" s="8" t="str">
        <f>IFERROR(__xludf.DUMMYFUNCTION("googletranslate(D6097,""id"",""en"")"),"Breaking News After successfully extending PPKM, the government intends to help Barcelona extend Lionel Messi's contract. Here we go")</f>
        <v>Breaking News After successfully extending PPKM, the government intends to help Barcelona extend Lionel Messi's contract. Here we go</v>
      </c>
    </row>
    <row r="6098" ht="15.75" customHeight="1">
      <c r="A6098" s="2">
        <v>6101.0</v>
      </c>
      <c r="B6098" s="5" t="s">
        <v>11171</v>
      </c>
      <c r="C6098" s="6">
        <v>1.0</v>
      </c>
      <c r="D6098" s="9" t="s">
        <v>11172</v>
      </c>
      <c r="E6098" s="8" t="str">
        <f>IFERROR(__xludf.DUMMYFUNCTION("googletranslate(D6098,""id"",""en"")"),"Hoping it is also not continued but the condition also assumes to improve PPKM still continued, my business to the bank becomes plagued, the bank in the city I became kek on the service schedule, thank you for urgent")</f>
        <v>Hoping it is also not continued but the condition also assumes to improve PPKM still continued, my business to the bank becomes plagued, the bank in the city I became kek on the service schedule, thank you for urgent</v>
      </c>
    </row>
    <row r="6099" ht="15.75" customHeight="1">
      <c r="A6099" s="2">
        <v>6102.0</v>
      </c>
      <c r="B6099" s="5" t="s">
        <v>11173</v>
      </c>
      <c r="C6099" s="6">
        <v>1.0</v>
      </c>
      <c r="D6099" s="7" t="s">
        <v>11174</v>
      </c>
      <c r="E6099" s="8" t="str">
        <f>IFERROR(__xludf.DUMMYFUNCTION("googletranslate(D6099,""id"",""en"")"),"Messi got the PPKM impact losing a job, hahaha")</f>
        <v>Messi got the PPKM impact losing a job, hahaha</v>
      </c>
    </row>
    <row r="6100" ht="15.75" customHeight="1">
      <c r="A6100" s="2">
        <v>6103.0</v>
      </c>
      <c r="B6100" s="5" t="s">
        <v>11175</v>
      </c>
      <c r="C6100" s="6">
        <v>3.0</v>
      </c>
      <c r="D6100" s="9" t="s">
        <v>11176</v>
      </c>
      <c r="E6100" s="8" t="str">
        <f>IFERROR(__xludf.DUMMYFUNCTION("googletranslate(D6100,""id"",""en"")"),"Hopefully all people understand the application of this PPKM for shared safety")</f>
        <v>Hopefully all people understand the application of this PPKM for shared safety</v>
      </c>
    </row>
    <row r="6101" ht="15.75" customHeight="1">
      <c r="A6101" s="2">
        <v>6104.0</v>
      </c>
      <c r="B6101" s="5" t="s">
        <v>11177</v>
      </c>
      <c r="C6101" s="6">
        <v>1.0</v>
      </c>
      <c r="D6101" s="7" t="s">
        <v>11178</v>
      </c>
      <c r="E6101" s="8" t="str">
        <f>IFERROR(__xludf.DUMMYFUNCTION("googletranslate(D6101,""id"",""en"")"),"Good morning ... Congratulations on enjoying the difficult PPKM ...")</f>
        <v>Good morning ... Congratulations on enjoying the difficult PPKM ...</v>
      </c>
    </row>
    <row r="6102" ht="15.75" customHeight="1">
      <c r="A6102" s="2">
        <v>6105.0</v>
      </c>
      <c r="B6102" s="5" t="s">
        <v>11179</v>
      </c>
      <c r="C6102" s="6">
        <v>1.0</v>
      </c>
      <c r="D6102" s="9" t="s">
        <v>11180</v>
      </c>
      <c r="E6102" s="8" t="str">
        <f>IFERROR(__xludf.DUMMYFUNCTION("googletranslate(D6102,""id"",""en"")"),"There is still a lot of PPKM, there are still many who deny that this covid is still there and makes the FASKES collapse system, especially if there is no PPKM on the more forgotten ...")</f>
        <v>There is still a lot of PPKM, there are still many who deny that this covid is still there and makes the FASKES collapse system, especially if there is no PPKM on the more forgotten ...</v>
      </c>
    </row>
    <row r="6103" ht="15.75" customHeight="1">
      <c r="A6103" s="2">
        <v>6106.0</v>
      </c>
      <c r="B6103" s="5" t="s">
        <v>11181</v>
      </c>
      <c r="C6103" s="6">
        <v>3.0</v>
      </c>
      <c r="D6103" s="7" t="s">
        <v>11182</v>
      </c>
      <c r="E6103" s="8" t="str">
        <f>IFERROR(__xludf.DUMMYFUNCTION("googletranslate(D6103,""id"",""en"")"),"Let's recover PPKM")</f>
        <v>Let's recover PPKM</v>
      </c>
    </row>
    <row r="6104" ht="15.75" customHeight="1">
      <c r="A6104" s="2">
        <v>6107.0</v>
      </c>
      <c r="B6104" s="5" t="s">
        <v>11183</v>
      </c>
      <c r="C6104" s="6">
        <v>2.0</v>
      </c>
      <c r="D6104" s="7" t="s">
        <v>11183</v>
      </c>
      <c r="E6104" s="8" t="str">
        <f>IFERROR(__xludf.DUMMYFUNCTION("googletranslate(D6104,""id"",""en"")"),"Beks from the direction of Krawang to Cibitung, there is a motorbike, there is a PPKM conveyance?")</f>
        <v>Beks from the direction of Krawang to Cibitung, there is a motorbike, there is a PPKM conveyance?</v>
      </c>
    </row>
    <row r="6105" ht="15.75" customHeight="1">
      <c r="A6105" s="2">
        <v>6108.0</v>
      </c>
      <c r="B6105" s="5" t="s">
        <v>11184</v>
      </c>
      <c r="C6105" s="6">
        <v>1.0</v>
      </c>
      <c r="D6105" s="9" t="s">
        <v>11185</v>
      </c>
      <c r="E6105" s="8" t="str">
        <f>IFERROR(__xludf.DUMMYFUNCTION("googletranslate(D6105,""id"",""en"")"),"PPKM does not make a case, and the number of deaths dropped dramatically, doc. Malaysia Lockdown Diylh2, also experiencing the same thing. If Airborne (aerosol), then HRS cleansed the air")</f>
        <v>PPKM does not make a case, and the number of deaths dropped dramatically, doc. Malaysia Lockdown Diylh2, also experiencing the same thing. If Airborne (aerosol), then HRS cleansed the air</v>
      </c>
    </row>
    <row r="6106" ht="15.75" customHeight="1">
      <c r="A6106" s="2">
        <v>6109.0</v>
      </c>
      <c r="B6106" s="5" t="s">
        <v>11186</v>
      </c>
      <c r="C6106" s="6">
        <v>1.0</v>
      </c>
      <c r="D6106" s="9" t="s">
        <v>11187</v>
      </c>
      <c r="E6106" s="8" t="str">
        <f>IFERROR(__xludf.DUMMYFUNCTION("googletranslate(D6106,""id"",""en"")"),"I'm really happy because I have a lot of people around me who care with me God entrusted a good friend for me. Honestly, I still feel like I haven't done it either enough for TMN. This year I am in suprise in, but it can't be suprise in returning because "&amp;"of the ppkm")</f>
        <v>I'm really happy because I have a lot of people around me who care with me God entrusted a good friend for me. Honestly, I still feel like I haven't done it either enough for TMN. This year I am in suprise in, but it can't be suprise in returning because of the ppkm</v>
      </c>
    </row>
    <row r="6107" ht="15.75" customHeight="1">
      <c r="A6107" s="2">
        <v>6110.0</v>
      </c>
      <c r="B6107" s="5" t="s">
        <v>11188</v>
      </c>
      <c r="C6107" s="6">
        <v>1.0</v>
      </c>
      <c r="D6107" s="7" t="s">
        <v>11189</v>
      </c>
      <c r="E6107" s="8" t="str">
        <f>IFERROR(__xludf.DUMMYFUNCTION("googletranslate(D6107,""id"",""en"")"),"when I was in the beginning, yeah, the house was pd, pda Kya Yang Ciee2 GT. It's just getting here, it's even more, even if you get home, asked. ""Si ... where?? Lg ppkm mentang2 jd g here""")</f>
        <v>when I was in the beginning, yeah, the house was pd, pda Kya Yang Ciee2 GT. It's just getting here, it's even more, even if you get home, asked. "Si ... where?? Lg ppkm mentang2 jd g here"</v>
      </c>
    </row>
    <row r="6108" ht="15.75" customHeight="1">
      <c r="A6108" s="2">
        <v>6111.0</v>
      </c>
      <c r="B6108" s="5" t="s">
        <v>11190</v>
      </c>
      <c r="C6108" s="6">
        <v>3.0</v>
      </c>
      <c r="D6108" s="7" t="s">
        <v>11191</v>
      </c>
      <c r="E6108" s="8" t="str">
        <f>IFERROR(__xludf.DUMMYFUNCTION("googletranslate(D6108,""id"",""en"")"),"Hopefully Indonesia will recover immediately with the enactment of PPKM")</f>
        <v>Hopefully Indonesia will recover immediately with the enactment of PPKM</v>
      </c>
    </row>
    <row r="6109" ht="15.75" customHeight="1">
      <c r="A6109" s="2">
        <v>6112.0</v>
      </c>
      <c r="B6109" s="5" t="s">
        <v>11192</v>
      </c>
      <c r="C6109" s="6">
        <v>1.0</v>
      </c>
      <c r="D6109" s="9" t="s">
        <v>11193</v>
      </c>
      <c r="E6109" s="8" t="str">
        <f>IFERROR(__xludf.DUMMYFUNCTION("googletranslate(D6109,""id"",""en"")"),"Really, the online internship is not optimal. Rich is lacking. Moreover, which works, it must be practiced directly, fortunately, when I intern the PPKM Sblom. So still ofline")</f>
        <v>Really, the online internship is not optimal. Rich is lacking. Moreover, which works, it must be practiced directly, fortunately, when I intern the PPKM Sblom. So still ofline</v>
      </c>
    </row>
    <row r="6110" ht="15.75" customHeight="1">
      <c r="A6110" s="2">
        <v>6113.0</v>
      </c>
      <c r="B6110" s="5" t="s">
        <v>11194</v>
      </c>
      <c r="C6110" s="6">
        <v>1.0</v>
      </c>
      <c r="D6110" s="7" t="s">
        <v>11195</v>
      </c>
      <c r="E6110" s="8" t="str">
        <f>IFERROR(__xludf.DUMMYFUNCTION("googletranslate(D6110,""id"",""en"")"),"Yes, mas, since the PPKM and the virus became difficult for his KTM, could only pass the cellphone screen. Send prayer for him.")</f>
        <v>Yes, mas, since the PPKM and the virus became difficult for his KTM, could only pass the cellphone screen. Send prayer for him.</v>
      </c>
    </row>
    <row r="6111" ht="15.75" customHeight="1">
      <c r="A6111" s="2">
        <v>6114.0</v>
      </c>
      <c r="B6111" s="5" t="s">
        <v>11196</v>
      </c>
      <c r="C6111" s="6">
        <v>3.0</v>
      </c>
      <c r="D6111" s="9" t="s">
        <v>11197</v>
      </c>
      <c r="E6111" s="8" t="str">
        <f>IFERROR(__xludf.DUMMYFUNCTION("googletranslate(D6111,""id"",""en"")"),"He forgot ... who saved the PESWT JG people ... Perusaan Mmpuper Mempekerir, M Also as Salary for Mreka, Bukn PPKM Only About Bansos, TPI Also Problem Move Ekokomi Actors")</f>
        <v>He forgot ... who saved the PESWT JG people ... Perusaan Mmpuper Mempekerir, M Also as Salary for Mreka, Bukn PPKM Only About Bansos, TPI Also Problem Move Ekokomi Actors</v>
      </c>
    </row>
    <row r="6112" ht="15.75" customHeight="1">
      <c r="A6112" s="2">
        <v>6115.0</v>
      </c>
      <c r="B6112" s="5" t="s">
        <v>11198</v>
      </c>
      <c r="C6112" s="6">
        <v>2.0</v>
      </c>
      <c r="D6112" s="7" t="s">
        <v>11199</v>
      </c>
      <c r="E6112" s="8" t="str">
        <f>IFERROR(__xludf.DUMMYFUNCTION("googletranslate(D6112,""id"",""en"")"),"Covid-19 spokesman Riau Call PPKM Level does make it difficult, but the aim for safety - capability - thinks to act")</f>
        <v>Covid-19 spokesman Riau Call PPKM Level does make it difficult, but the aim for safety - capability - thinks to act</v>
      </c>
    </row>
    <row r="6113" ht="15.75" customHeight="1">
      <c r="A6113" s="2">
        <v>6116.0</v>
      </c>
      <c r="B6113" s="5" t="s">
        <v>11200</v>
      </c>
      <c r="C6113" s="6">
        <v>2.0</v>
      </c>
      <c r="D6113" s="7" t="s">
        <v>11201</v>
      </c>
      <c r="E6113" s="8" t="str">
        <f>IFERROR(__xludf.DUMMYFUNCTION("googletranslate(D6113,""id"",""en"")"),"Volume PPKM (slowly you walk away and ambiguous)")</f>
        <v>Volume PPKM (slowly you walk away and ambiguous)</v>
      </c>
    </row>
    <row r="6114" ht="15.75" customHeight="1">
      <c r="A6114" s="2">
        <v>6117.0</v>
      </c>
      <c r="B6114" s="5" t="s">
        <v>11202</v>
      </c>
      <c r="C6114" s="6">
        <v>2.0</v>
      </c>
      <c r="D6114" s="7" t="s">
        <v>11203</v>
      </c>
      <c r="E6114" s="8" t="str">
        <f>IFERROR(__xludf.DUMMYFUNCTION("googletranslate(D6114,""id"",""en"")"),"Tenanggg ... just a minute to finish the Bund PPKM, it's calm")</f>
        <v>Tenanggg ... just a minute to finish the Bund PPKM, it's calm</v>
      </c>
    </row>
    <row r="6115" ht="15.75" customHeight="1">
      <c r="A6115" s="2">
        <v>6118.0</v>
      </c>
      <c r="B6115" s="5" t="s">
        <v>11204</v>
      </c>
      <c r="C6115" s="6">
        <v>1.0</v>
      </c>
      <c r="D6115" s="7" t="s">
        <v>11205</v>
      </c>
      <c r="E6115" s="8" t="str">
        <f>IFERROR(__xludf.DUMMYFUNCTION("googletranslate(D6115,""id"",""en"")"),"Well blocked PPKM.")</f>
        <v>Well blocked PPKM.</v>
      </c>
    </row>
    <row r="6116" ht="15.75" customHeight="1">
      <c r="A6116" s="2">
        <v>6119.0</v>
      </c>
      <c r="B6116" s="5" t="s">
        <v>11206</v>
      </c>
      <c r="C6116" s="6">
        <v>3.0</v>
      </c>
      <c r="D6116" s="9" t="s">
        <v>11207</v>
      </c>
      <c r="E6116" s="8" t="str">
        <f>IFERROR(__xludf.DUMMYFUNCTION("googletranslate(D6116,""id"",""en"")"),"UI Epidemiologist Supports Extended PPKM Level")</f>
        <v>UI Epidemiologist Supports Extended PPKM Level</v>
      </c>
    </row>
    <row r="6117" ht="15.75" customHeight="1">
      <c r="A6117" s="2">
        <v>6120.0</v>
      </c>
      <c r="B6117" s="5" t="s">
        <v>11208</v>
      </c>
      <c r="C6117" s="6">
        <v>1.0</v>
      </c>
      <c r="D6117" s="9" t="s">
        <v>11209</v>
      </c>
      <c r="E6117" s="8" t="str">
        <f>IFERROR(__xludf.DUMMYFUNCTION("googletranslate(D6117,""id"",""en"")"),"Ppkm tea trs giant kmrn much close")</f>
        <v>Ppkm tea trs giant kmrn much close</v>
      </c>
    </row>
    <row r="6118" ht="15.75" customHeight="1">
      <c r="A6118" s="2">
        <v>6121.0</v>
      </c>
      <c r="B6118" s="5" t="s">
        <v>11210</v>
      </c>
      <c r="C6118" s="6">
        <v>1.0</v>
      </c>
      <c r="D6118" s="7" t="s">
        <v>11210</v>
      </c>
      <c r="E6118" s="8" t="str">
        <f>IFERROR(__xludf.DUMMYFUNCTION("googletranslate(D6118,""id"",""en"")"),"take care of the ATM still ppkm this is how to try")</f>
        <v>take care of the ATM still ppkm this is how to try</v>
      </c>
    </row>
    <row r="6119" ht="15.75" customHeight="1">
      <c r="A6119" s="2">
        <v>6122.0</v>
      </c>
      <c r="B6119" s="5" t="s">
        <v>11211</v>
      </c>
      <c r="C6119" s="6">
        <v>2.0</v>
      </c>
      <c r="D6119" s="10" t="s">
        <v>11212</v>
      </c>
      <c r="E6119" s="8" t="str">
        <f>IFERROR(__xludf.DUMMYFUNCTION("googletranslate(D6119,""id"",""en"")"),"TEPP PPKM")</f>
        <v>TEPP PPKM</v>
      </c>
    </row>
    <row r="6120" ht="15.75" customHeight="1">
      <c r="A6120" s="2">
        <v>6123.0</v>
      </c>
      <c r="B6120" s="5" t="s">
        <v>11213</v>
      </c>
      <c r="C6120" s="6">
        <v>1.0</v>
      </c>
      <c r="D6120" s="9" t="s">
        <v>11214</v>
      </c>
      <c r="E6120" s="8" t="str">
        <f>IFERROR(__xludf.DUMMYFUNCTION("googletranslate(D6120,""id"",""en"")"),"Morning hours for whose names have been recorded will take the queue number. After that queue to be served by CS. Remove the application of PPKM in the city of Pasuruan. Starting from queuing before dawn to be called it")</f>
        <v>Morning hours for whose names have been recorded will take the queue number. After that queue to be served by CS. Remove the application of PPKM in the city of Pasuruan. Starting from queuing before dawn to be called it</v>
      </c>
    </row>
    <row r="6121" ht="15.75" customHeight="1">
      <c r="A6121" s="2">
        <v>6124.0</v>
      </c>
      <c r="B6121" s="5" t="s">
        <v>11215</v>
      </c>
      <c r="C6121" s="6">
        <v>1.0</v>
      </c>
      <c r="D6121" s="9" t="s">
        <v>11216</v>
      </c>
      <c r="E6121" s="8" t="str">
        <f>IFERROR(__xludf.DUMMYFUNCTION("googletranslate(D6121,""id"",""en"")"),"Examples of good PPKM applications in the city of Pasuruan, customers are forced to come before the morning there are even those who come before dawn to fight the CS queues that are restricted by customers per day. Even after coming along a lot of custome"&amp;"rs who didn't get a queue")</f>
        <v>Examples of good PPKM applications in the city of Pasuruan, customers are forced to come before the morning there are even those who come before dawn to fight the CS queues that are restricted by customers per day. Even after coming along a lot of customers who didn't get a queue</v>
      </c>
    </row>
    <row r="6122" ht="15.75" customHeight="1">
      <c r="A6122" s="2">
        <v>6125.0</v>
      </c>
      <c r="B6122" s="5" t="s">
        <v>11217</v>
      </c>
      <c r="C6122" s="6">
        <v>1.0</v>
      </c>
      <c r="D6122" s="7" t="s">
        <v>11218</v>
      </c>
      <c r="E6122" s="8" t="str">
        <f>IFERROR(__xludf.DUMMYFUNCTION("googletranslate(D6122,""id"",""en"")"),"Sadly, from reading comments here, many of which experience me. Kasian, still young, mentally threatened, but living in a toxic environment, hopefully the PPKM is quick to finish, you want to work, let it have your own home")</f>
        <v>Sadly, from reading comments here, many of which experience me. Kasian, still young, mentally threatened, but living in a toxic environment, hopefully the PPKM is quick to finish, you want to work, let it have your own home</v>
      </c>
    </row>
    <row r="6123" ht="15.75" customHeight="1">
      <c r="A6123" s="2">
        <v>6126.0</v>
      </c>
      <c r="B6123" s="5" t="s">
        <v>11219</v>
      </c>
      <c r="C6123" s="6">
        <v>2.0</v>
      </c>
      <c r="D6123" s="7" t="s">
        <v>11220</v>
      </c>
      <c r="E6123" s="8" t="str">
        <f>IFERROR(__xludf.DUMMYFUNCTION("googletranslate(D6123,""id"",""en"")"),"Just want to say Indonesia hurry up, let's go to Corona finished the oath of UDH at the can't be empowered. As difficult as it's not not grateful that there are many other things that don't understand or be concerned")</f>
        <v>Just want to say Indonesia hurry up, let's go to Corona finished the oath of UDH at the can't be empowered. As difficult as it's not not grateful that there are many other things that don't understand or be concerned</v>
      </c>
    </row>
    <row r="6124" ht="15.75" customHeight="1">
      <c r="A6124" s="2">
        <v>6127.0</v>
      </c>
      <c r="B6124" s="5" t="s">
        <v>11221</v>
      </c>
      <c r="C6124" s="6">
        <v>1.0</v>
      </c>
      <c r="D6124" s="7" t="s">
        <v>11222</v>
      </c>
      <c r="E6124" s="8" t="str">
        <f>IFERROR(__xludf.DUMMYFUNCTION("googletranslate(D6124,""id"",""en"")"),"Wkwkwkwk is tumben to be in the law of the prison knp g jd ppkm")</f>
        <v>Wkwkwkwk is tumben to be in the law of the prison knp g jd ppkm</v>
      </c>
    </row>
    <row r="6125" ht="15.75" customHeight="1">
      <c r="A6125" s="2">
        <v>6128.0</v>
      </c>
      <c r="B6125" s="5" t="s">
        <v>11223</v>
      </c>
      <c r="C6125" s="6">
        <v>1.0</v>
      </c>
      <c r="D6125" s="9" t="s">
        <v>11224</v>
      </c>
      <c r="E6125" s="8" t="str">
        <f>IFERROR(__xludf.DUMMYFUNCTION("googletranslate(D6125,""id"",""en"")"),"What's the PPKM Apakabar Doc? Covid passes the economy skyrocketing down?")</f>
        <v>What's the PPKM Apakabar Doc? Covid passes the economy skyrocketing down?</v>
      </c>
    </row>
    <row r="6126" ht="15.75" customHeight="1">
      <c r="A6126" s="2">
        <v>6129.0</v>
      </c>
      <c r="B6126" s="5" t="s">
        <v>11225</v>
      </c>
      <c r="C6126" s="6">
        <v>2.0</v>
      </c>
      <c r="D6126" s="7" t="s">
        <v>11225</v>
      </c>
      <c r="E6126" s="8" t="str">
        <f>IFERROR(__xludf.DUMMYFUNCTION("googletranslate(D6126,""id"",""en"")"),"Ppkm extended but our relationship cannot be extended")</f>
        <v>Ppkm extended but our relationship cannot be extended</v>
      </c>
    </row>
    <row r="6127" ht="15.75" customHeight="1">
      <c r="A6127" s="2">
        <v>6130.0</v>
      </c>
      <c r="B6127" s="5" t="s">
        <v>11226</v>
      </c>
      <c r="C6127" s="6">
        <v>1.0</v>
      </c>
      <c r="D6127" s="7" t="s">
        <v>11227</v>
      </c>
      <c r="E6127" s="8" t="str">
        <f>IFERROR(__xludf.DUMMYFUNCTION("googletranslate(D6127,""id"",""en"")"),"Lg quiet gegara order ppkm bun")</f>
        <v>Lg quiet gegara order ppkm bun</v>
      </c>
    </row>
    <row r="6128" ht="15.75" customHeight="1">
      <c r="A6128" s="2">
        <v>6131.0</v>
      </c>
      <c r="B6128" s="5" t="s">
        <v>11228</v>
      </c>
      <c r="C6128" s="6">
        <v>3.0</v>
      </c>
      <c r="D6128" s="9" t="s">
        <v>11229</v>
      </c>
      <c r="E6128" s="8" t="str">
        <f>IFERROR(__xludf.DUMMYFUNCTION("googletranslate(D6128,""id"",""en"")"),"Alhamdulillah, the idea of ​​the mother and child who wanted to share finally realized too. God willing, every Friday started today to go around to several points in Malang City. Today at the Kotalama flyover. Continue because I still eat it first")</f>
        <v>Alhamdulillah, the idea of ​​the mother and child who wanted to share finally realized too. God willing, every Friday started today to go around to several points in Malang City. Today at the Kotalama flyover. Continue because I still eat it first</v>
      </c>
    </row>
    <row r="6129" ht="15.75" customHeight="1">
      <c r="A6129" s="2">
        <v>6132.0</v>
      </c>
      <c r="B6129" s="5" t="s">
        <v>11230</v>
      </c>
      <c r="C6129" s="6">
        <v>1.0</v>
      </c>
      <c r="D6129" s="7" t="s">
        <v>11231</v>
      </c>
      <c r="E6129" s="8" t="str">
        <f>IFERROR(__xludf.DUMMYFUNCTION("googletranslate(D6129,""id"",""en"")"),"Mau PPKM Not Extended Also Corona Will Still Exist")</f>
        <v>Mau PPKM Not Extended Also Corona Will Still Exist</v>
      </c>
    </row>
    <row r="6130" ht="15.75" customHeight="1">
      <c r="A6130" s="2">
        <v>6133.0</v>
      </c>
      <c r="B6130" s="5" t="s">
        <v>11232</v>
      </c>
      <c r="C6130" s="6">
        <v>1.0</v>
      </c>
      <c r="D6130" s="7" t="s">
        <v>11233</v>
      </c>
      <c r="E6130" s="8" t="str">
        <f>IFERROR(__xludf.DUMMYFUNCTION("googletranslate(D6130,""id"",""en"")"),"For those who have a boss at the month of the PPKM, but the reality is much more and not accept and they are starving.")</f>
        <v>For those who have a boss at the month of the PPKM, but the reality is much more and not accept and they are starving.</v>
      </c>
    </row>
    <row r="6131" ht="15.75" customHeight="1">
      <c r="A6131" s="2">
        <v>6134.0</v>
      </c>
      <c r="B6131" s="5" t="s">
        <v>11234</v>
      </c>
      <c r="C6131" s="6">
        <v>1.0</v>
      </c>
      <c r="D6131" s="7" t="s">
        <v>11234</v>
      </c>
      <c r="E6131" s="8" t="str">
        <f>IFERROR(__xludf.DUMMYFUNCTION("googletranslate(D6131,""id"",""en"")"),"Ppkm teros yess .. baby has two months or not massage / spa, no one is open: '")</f>
        <v>Ppkm teros yess .. baby has two months or not massage / spa, no one is open: '</v>
      </c>
    </row>
    <row r="6132" ht="15.75" customHeight="1">
      <c r="A6132" s="2">
        <v>6135.0</v>
      </c>
      <c r="B6132" s="5" t="s">
        <v>11235</v>
      </c>
      <c r="C6132" s="6">
        <v>2.0</v>
      </c>
      <c r="D6132" s="7" t="s">
        <v>11236</v>
      </c>
      <c r="E6132" s="8" t="str">
        <f>IFERROR(__xludf.DUMMYFUNCTION("googletranslate(D6132,""id"",""en"")"),"He mmbela who is anti-ppkm with the way he can")</f>
        <v>He mmbela who is anti-ppkm with the way he can</v>
      </c>
    </row>
    <row r="6133" ht="15.75" customHeight="1">
      <c r="A6133" s="2">
        <v>6136.0</v>
      </c>
      <c r="B6133" s="5" t="s">
        <v>11237</v>
      </c>
      <c r="C6133" s="6">
        <v>3.0</v>
      </c>
      <c r="D6133" s="7" t="s">
        <v>11238</v>
      </c>
      <c r="E6133" s="8" t="str">
        <f>IFERROR(__xludf.DUMMYFUNCTION("googletranslate(D6133,""id"",""en"")"),"This PPKM really lowers the numbers exposed to the climber, sis. It feels like it's a breath when the wag starts to emerge sorrow")</f>
        <v>This PPKM really lowers the numbers exposed to the climber, sis. It feels like it's a breath when the wag starts to emerge sorrow</v>
      </c>
    </row>
    <row r="6134" ht="15.75" customHeight="1">
      <c r="A6134" s="2">
        <v>6137.0</v>
      </c>
      <c r="B6134" s="5" t="s">
        <v>11239</v>
      </c>
      <c r="C6134" s="6">
        <v>1.0</v>
      </c>
      <c r="D6134" s="9" t="s">
        <v>11240</v>
      </c>
      <c r="E6134" s="8" t="str">
        <f>IFERROR(__xludf.DUMMYFUNCTION("googletranslate(D6134,""id"",""en"")"),"Right. I used to sell books (as resellers) also feel the same. The publisher warehouse, which is usually open exhibition, is now closed. The seller near the location of the warehouse can't get there because PPKM.")</f>
        <v>Right. I used to sell books (as resellers) also feel the same. The publisher warehouse, which is usually open exhibition, is now closed. The seller near the location of the warehouse can't get there because PPKM.</v>
      </c>
    </row>
    <row r="6135" ht="15.75" customHeight="1">
      <c r="A6135" s="2">
        <v>6138.0</v>
      </c>
      <c r="B6135" s="5" t="s">
        <v>11241</v>
      </c>
      <c r="C6135" s="6">
        <v>1.0</v>
      </c>
      <c r="D6135" s="7" t="s">
        <v>11241</v>
      </c>
      <c r="E6135" s="8" t="str">
        <f>IFERROR(__xludf.DUMMYFUNCTION("googletranslate(D6135,""id"",""en"")"),"[cm] PLISSSSS PPKM Don't Continue Dong, I want to intern offline huhu")</f>
        <v>[cm] PLISSSSS PPKM Don't Continue Dong, I want to intern offline huhu</v>
      </c>
    </row>
    <row r="6136" ht="15.75" customHeight="1">
      <c r="A6136" s="2">
        <v>6139.0</v>
      </c>
      <c r="B6136" s="5" t="s">
        <v>11242</v>
      </c>
      <c r="C6136" s="6">
        <v>1.0</v>
      </c>
      <c r="D6136" s="9" t="s">
        <v>11243</v>
      </c>
      <c r="E6136" s="8" t="str">
        <f>IFERROR(__xludf.DUMMYFUNCTION("googletranslate(D6136,""id"",""en"")"),"Naturally Dinar Demo With Own ways that are certainly followed by others, TPI Demo Dinar has represented all the MSMEs who scream due to extending PPKM")</f>
        <v>Naturally Dinar Demo With Own ways that are certainly followed by others, TPI Demo Dinar has represented all the MSMEs who scream due to extending PPKM</v>
      </c>
    </row>
    <row r="6137" ht="15.75" customHeight="1">
      <c r="A6137" s="2">
        <v>6140.0</v>
      </c>
      <c r="B6137" s="5" t="s">
        <v>11244</v>
      </c>
      <c r="C6137" s="6">
        <v>1.0</v>
      </c>
      <c r="D6137" s="7" t="s">
        <v>11245</v>
      </c>
      <c r="E6137" s="8" t="str">
        <f>IFERROR(__xludf.DUMMYFUNCTION("googletranslate(D6137,""id"",""en"")"),"be more sight of us bro, eat ga eat ppkm or until when wkwkwk")</f>
        <v>be more sight of us bro, eat ga eat ppkm or until when wkwkwk</v>
      </c>
    </row>
    <row r="6138" ht="15.75" customHeight="1">
      <c r="A6138" s="2">
        <v>6141.0</v>
      </c>
      <c r="B6138" s="5" t="s">
        <v>11246</v>
      </c>
      <c r="C6138" s="6">
        <v>2.0</v>
      </c>
      <c r="D6138" s="10" t="s">
        <v>11247</v>
      </c>
      <c r="E6138" s="8" t="str">
        <f>IFERROR(__xludf.DUMMYFUNCTION("googletranslate(D6138,""id"",""en"")"),"Ppkm kak.")</f>
        <v>Ppkm kak.</v>
      </c>
    </row>
    <row r="6139" ht="15.75" customHeight="1">
      <c r="A6139" s="2">
        <v>6142.0</v>
      </c>
      <c r="B6139" s="5" t="s">
        <v>11248</v>
      </c>
      <c r="C6139" s="6">
        <v>3.0</v>
      </c>
      <c r="D6139" s="7" t="s">
        <v>11249</v>
      </c>
      <c r="E6139" s="8" t="str">
        <f>IFERROR(__xludf.DUMMYFUNCTION("googletranslate(D6139,""id"",""en"")"),"PPKMPLELLEL PURNED BACKES ... Stay Safe Everything")</f>
        <v>PPKMPLELLEL PURNED BACKES ... Stay Safe Everything</v>
      </c>
    </row>
    <row r="6140" ht="15.75" customHeight="1">
      <c r="A6140" s="2">
        <v>6143.0</v>
      </c>
      <c r="B6140" s="5" t="s">
        <v>11250</v>
      </c>
      <c r="C6140" s="6">
        <v>3.0</v>
      </c>
      <c r="D6140" s="9" t="s">
        <v>11251</v>
      </c>
      <c r="E6140" s="8" t="str">
        <f>IFERROR(__xludf.DUMMYFUNCTION("googletranslate(D6140,""id"",""en"")"),"Then the ICU drill, now regionally is percent. Even though the emergency PPKM heel there was a region that had time percent. This means that it has slipped, said the East Java Governor")</f>
        <v>Then the ICU drill, now regionally is percent. Even though the emergency PPKM heel there was a region that had time percent. This means that it has slipped, said the East Java Governor</v>
      </c>
    </row>
    <row r="6141" ht="15.75" customHeight="1">
      <c r="A6141" s="2">
        <v>6144.0</v>
      </c>
      <c r="B6141" s="5" t="s">
        <v>11252</v>
      </c>
      <c r="C6141" s="6">
        <v>1.0</v>
      </c>
      <c r="D6141" s="7" t="s">
        <v>11253</v>
      </c>
      <c r="E6141" s="8" t="str">
        <f>IFERROR(__xludf.DUMMYFUNCTION("googletranslate(D6141,""id"",""en"")"),"Hopefully the ppkm is not on ppj again yaallah .. kasian bgt clay parents can't get money because of ppkm at ppj")</f>
        <v>Hopefully the ppkm is not on ppj again yaallah .. kasian bgt clay parents can't get money because of ppkm at ppj</v>
      </c>
    </row>
    <row r="6142" ht="15.75" customHeight="1">
      <c r="A6142" s="2">
        <v>6145.0</v>
      </c>
      <c r="B6142" s="5" t="s">
        <v>11254</v>
      </c>
      <c r="C6142" s="6">
        <v>1.0</v>
      </c>
      <c r="D6142" s="9" t="s">
        <v>11255</v>
      </c>
      <c r="E6142" s="8" t="str">
        <f>IFERROR(__xludf.DUMMYFUNCTION("googletranslate(D6142,""id"",""en"")"),"Hello .... Today was busy wanting to be a presidential candidate. Even though currently the PPKM is again excited which has an impact of many people threatened to die of hunger or hungry and current stomach disease increases sharply, because the portion o"&amp;"f the community is reduced. Hello ... Muke Loe Mane.")</f>
        <v>Hello .... Today was busy wanting to be a presidential candidate. Even though currently the PPKM is again excited which has an impact of many people threatened to die of hunger or hungry and current stomach disease increases sharply, because the portion of the community is reduced. Hello ... Muke Loe Mane.</v>
      </c>
    </row>
    <row r="6143" ht="15.75" customHeight="1">
      <c r="A6143" s="2">
        <v>6146.0</v>
      </c>
      <c r="B6143" s="5" t="s">
        <v>11256</v>
      </c>
      <c r="C6143" s="6">
        <v>3.0</v>
      </c>
      <c r="D6143" s="7" t="s">
        <v>11257</v>
      </c>
      <c r="E6143" s="8" t="str">
        <f>IFERROR(__xludf.DUMMYFUNCTION("googletranslate(D6143,""id"",""en"")"),"This is one of the benefits of PPKM, there are new things that we want to learn, bro")</f>
        <v>This is one of the benefits of PPKM, there are new things that we want to learn, bro</v>
      </c>
    </row>
    <row r="6144" ht="15.75" customHeight="1">
      <c r="A6144" s="2">
        <v>6147.0</v>
      </c>
      <c r="B6144" s="5" t="s">
        <v>11258</v>
      </c>
      <c r="C6144" s="6">
        <v>1.0</v>
      </c>
      <c r="D6144" s="9" t="s">
        <v>11259</v>
      </c>
      <c r="E6144" s="8" t="str">
        <f>IFERROR(__xludf.DUMMYFUNCTION("googletranslate(D6144,""id"",""en"")"),"Make what more content is yes. Pangen makes soloride content, Bandung. But still PPKM. Semalem sleep instead found a concept")</f>
        <v>Make what more content is yes. Pangen makes soloride content, Bandung. But still PPKM. Semalem sleep instead found a concept</v>
      </c>
    </row>
    <row r="6145" ht="15.75" customHeight="1">
      <c r="A6145" s="2">
        <v>6148.0</v>
      </c>
      <c r="B6145" s="5" t="s">
        <v>11260</v>
      </c>
      <c r="C6145" s="6">
        <v>1.0</v>
      </c>
      <c r="D6145" s="7" t="s">
        <v>11261</v>
      </c>
      <c r="E6145" s="8" t="str">
        <f>IFERROR(__xludf.DUMMYFUNCTION("googletranslate(D6145,""id"",""en"")"),"Fadli Gabut Because PPKM Extended Presumably")</f>
        <v>Fadli Gabut Because PPKM Extended Presumably</v>
      </c>
    </row>
    <row r="6146" ht="15.75" customHeight="1">
      <c r="A6146" s="2">
        <v>6149.0</v>
      </c>
      <c r="B6146" s="5" t="s">
        <v>11262</v>
      </c>
      <c r="C6146" s="6">
        <v>2.0</v>
      </c>
      <c r="D6146" s="7" t="s">
        <v>11263</v>
      </c>
      <c r="E6146" s="8" t="str">
        <f>IFERROR(__xludf.DUMMYFUNCTION("googletranslate(D6146,""id"",""en"")"),"Rather than disappointment, it's better to be postponed by PPKM")</f>
        <v>Rather than disappointment, it's better to be postponed by PPKM</v>
      </c>
    </row>
    <row r="6147" ht="15.75" customHeight="1">
      <c r="A6147" s="2">
        <v>6150.0</v>
      </c>
      <c r="B6147" s="5" t="s">
        <v>11264</v>
      </c>
      <c r="C6147" s="6">
        <v>2.0</v>
      </c>
      <c r="D6147" s="9" t="s">
        <v>11265</v>
      </c>
      <c r="E6147" s="8" t="str">
        <f>IFERROR(__xludf.DUMMYFUNCTION("googletranslate(D6147,""id"",""en"")"),"outside PPKM Mbak")</f>
        <v>outside PPKM Mbak</v>
      </c>
    </row>
    <row r="6148" ht="15.75" customHeight="1">
      <c r="A6148" s="2">
        <v>6151.0</v>
      </c>
      <c r="B6148" s="5" t="s">
        <v>11266</v>
      </c>
      <c r="C6148" s="6">
        <v>1.0</v>
      </c>
      <c r="D6148" s="7" t="s">
        <v>11267</v>
      </c>
      <c r="E6148" s="8" t="str">
        <f>IFERROR(__xludf.DUMMYFUNCTION("googletranslate(D6148,""id"",""en"")"),"Already closed Sis. Boden now during PPKM")</f>
        <v>Already closed Sis. Boden now during PPKM</v>
      </c>
    </row>
    <row r="6149" ht="15.75" customHeight="1">
      <c r="A6149" s="2">
        <v>6152.0</v>
      </c>
      <c r="B6149" s="5" t="s">
        <v>11268</v>
      </c>
      <c r="C6149" s="6">
        <v>2.0</v>
      </c>
      <c r="D6149" s="9" t="s">
        <v>11269</v>
      </c>
      <c r="E6149" s="8" t="str">
        <f>IFERROR(__xludf.DUMMYFUNCTION("googletranslate(D6149,""id"",""en"")"),"It can be read, it applies PD PPKM Level 4, Dr. Tanggl $ Number $ / 8/21. Later it will be seen after the date. It might not be too reactive first.")</f>
        <v>It can be read, it applies PD PPKM Level 4, Dr. Tanggl $ Number $ / 8/21. Later it will be seen after the date. It might not be too reactive first.</v>
      </c>
    </row>
    <row r="6150" ht="15.75" customHeight="1">
      <c r="A6150" s="2">
        <v>6153.0</v>
      </c>
      <c r="B6150" s="5" t="s">
        <v>11270</v>
      </c>
      <c r="C6150" s="6">
        <v>1.0</v>
      </c>
      <c r="D6150" s="10" t="s">
        <v>11271</v>
      </c>
      <c r="E6150" s="8" t="str">
        <f>IFERROR(__xludf.DUMMYFUNCTION("googletranslate(D6150,""id"",""en"")"),"Fak PPKM.")</f>
        <v>Fak PPKM.</v>
      </c>
    </row>
    <row r="6151" ht="15.75" customHeight="1">
      <c r="A6151" s="2">
        <v>6154.0</v>
      </c>
      <c r="B6151" s="5" t="s">
        <v>11272</v>
      </c>
      <c r="C6151" s="6">
        <v>1.0</v>
      </c>
      <c r="D6151" s="7" t="s">
        <v>11272</v>
      </c>
      <c r="E6151" s="8" t="str">
        <f>IFERROR(__xludf.DUMMYFUNCTION("googletranslate(D6151,""id"",""en"")"),"It's really nice to see people hang out gapake mask even though eating also can't anymore ppkm, what is the brain wherever it's really selfish")</f>
        <v>It's really nice to see people hang out gapake mask even though eating also can't anymore ppkm, what is the brain wherever it's really selfish</v>
      </c>
    </row>
    <row r="6152" ht="15.75" customHeight="1">
      <c r="A6152" s="2">
        <v>6155.0</v>
      </c>
      <c r="B6152" s="5" t="s">
        <v>11273</v>
      </c>
      <c r="C6152" s="6">
        <v>1.0</v>
      </c>
      <c r="D6152" s="7" t="s">
        <v>11274</v>
      </c>
      <c r="E6152" s="8" t="str">
        <f>IFERROR(__xludf.DUMMYFUNCTION("googletranslate(D6152,""id"",""en"")"),"News examples that are not good for mental health; PPL Are Struggling To Make A Living In The Pandemic, PPKM, Gadada2 What Help From the Government, Meanwhile This Queen: ???")</f>
        <v>News examples that are not good for mental health; PPL Are Struggling To Make A Living In The Pandemic, PPKM, Gadada2 What Help From the Government, Meanwhile This Queen: ???</v>
      </c>
    </row>
    <row r="6153" ht="15.75" customHeight="1">
      <c r="A6153" s="2">
        <v>6156.0</v>
      </c>
      <c r="B6153" s="5" t="s">
        <v>11275</v>
      </c>
      <c r="C6153" s="6">
        <v>1.0</v>
      </c>
      <c r="D6153" s="9" t="s">
        <v>11276</v>
      </c>
      <c r="E6153" s="8" t="str">
        <f>IFERROR(__xludf.DUMMYFUNCTION("googletranslate(D6153,""id"",""en"")"),"Because of lockdown ... should be ppkm")</f>
        <v>Because of lockdown ... should be ppkm</v>
      </c>
    </row>
    <row r="6154" ht="15.75" customHeight="1">
      <c r="A6154" s="2">
        <v>6157.0</v>
      </c>
      <c r="B6154" s="5" t="s">
        <v>11277</v>
      </c>
      <c r="C6154" s="6">
        <v>3.0</v>
      </c>
      <c r="D6154" s="7" t="s">
        <v>11277</v>
      </c>
      <c r="E6154" s="8" t="str">
        <f>IFERROR(__xludf.DUMMYFUNCTION("googletranslate(D6154,""id"",""en"")"),"ppkm .... wfh .... morning this seade ... it's delicious to merem together")</f>
        <v>ppkm .... wfh .... morning this seade ... it's delicious to merem together</v>
      </c>
    </row>
    <row r="6155" ht="15.75" customHeight="1">
      <c r="A6155" s="2">
        <v>6158.0</v>
      </c>
      <c r="B6155" s="5" t="s">
        <v>11278</v>
      </c>
      <c r="C6155" s="6">
        <v>2.0</v>
      </c>
      <c r="D6155" s="9" t="s">
        <v>11279</v>
      </c>
      <c r="E6155" s="8" t="str">
        <f>IFERROR(__xludf.DUMMYFUNCTION("googletranslate(D6155,""id"",""en"")"),"Later, if the PPKM is finished, you just hang out at Tunjungan Plaza, then also meet Chanu")</f>
        <v>Later, if the PPKM is finished, you just hang out at Tunjungan Plaza, then also meet Chanu</v>
      </c>
    </row>
    <row r="6156" ht="15.75" customHeight="1">
      <c r="A6156" s="2">
        <v>6159.0</v>
      </c>
      <c r="B6156" s="5" t="s">
        <v>11280</v>
      </c>
      <c r="C6156" s="6">
        <v>2.0</v>
      </c>
      <c r="D6156" s="9" t="s">
        <v>11281</v>
      </c>
      <c r="E6156" s="8" t="str">
        <f>IFERROR(__xludf.DUMMYFUNCTION("googletranslate(D6156,""id"",""en"")"),"Jalan Jalan Mulu even though again ppkm ~ thoughts")</f>
        <v>Jalan Jalan Mulu even though again ppkm ~ thoughts</v>
      </c>
    </row>
    <row r="6157" ht="15.75" customHeight="1">
      <c r="A6157" s="2">
        <v>6160.0</v>
      </c>
      <c r="B6157" s="5" t="s">
        <v>11282</v>
      </c>
      <c r="C6157" s="6">
        <v>3.0</v>
      </c>
      <c r="D6157" s="7" t="s">
        <v>11283</v>
      </c>
      <c r="E6157" s="8" t="str">
        <f>IFERROR(__xludf.DUMMYFUNCTION("googletranslate(D6157,""id"",""en"")"),"The rice is really tempting, the PPKM is extended for good goodness, Ma'am")</f>
        <v>The rice is really tempting, the PPKM is extended for good goodness, Ma'am</v>
      </c>
    </row>
    <row r="6158" ht="15.75" customHeight="1">
      <c r="A6158" s="2">
        <v>6161.0</v>
      </c>
      <c r="B6158" s="5" t="s">
        <v>11284</v>
      </c>
      <c r="C6158" s="6">
        <v>1.0</v>
      </c>
      <c r="D6158" s="7" t="s">
        <v>11285</v>
      </c>
      <c r="E6158" s="8" t="str">
        <f>IFERROR(__xludf.DUMMYFUNCTION("googletranslate(D6158,""id"",""en"")"),"Moal Ngiring PPKM? Society of men's less lucky?")</f>
        <v>Moal Ngiring PPKM? Society of men's less lucky?</v>
      </c>
    </row>
    <row r="6159" ht="15.75" customHeight="1">
      <c r="A6159" s="2">
        <v>6162.0</v>
      </c>
      <c r="B6159" s="5" t="s">
        <v>11286</v>
      </c>
      <c r="C6159" s="6">
        <v>3.0</v>
      </c>
      <c r="D6159" s="7" t="s">
        <v>11287</v>
      </c>
      <c r="E6159" s="8" t="str">
        <f>IFERROR(__xludf.DUMMYFUNCTION("googletranslate(D6159,""id"",""en"")"),"Yes, Mbak is very proven by PPKM to decline by the number of pandemics, in Semarang, it is also rarely the sound of sirens")</f>
        <v>Yes, Mbak is very proven by PPKM to decline by the number of pandemics, in Semarang, it is also rarely the sound of sirens</v>
      </c>
    </row>
    <row r="6160" ht="15.75" customHeight="1">
      <c r="A6160" s="2">
        <v>6163.0</v>
      </c>
      <c r="B6160" s="5" t="s">
        <v>11288</v>
      </c>
      <c r="C6160" s="6">
        <v>1.0</v>
      </c>
      <c r="D6160" s="9" t="s">
        <v>11289</v>
      </c>
      <c r="E6160" s="8" t="str">
        <f>IFERROR(__xludf.DUMMYFUNCTION("googletranslate(D6160,""id"",""en"")"),"To the clock station. Kirain PPKM has been loose.")</f>
        <v>To the clock station. Kirain PPKM has been loose.</v>
      </c>
    </row>
    <row r="6161" ht="15.75" customHeight="1">
      <c r="A6161" s="2">
        <v>6164.0</v>
      </c>
      <c r="B6161" s="5" t="s">
        <v>11290</v>
      </c>
      <c r="C6161" s="6">
        <v>2.0</v>
      </c>
      <c r="D6161" s="7" t="s">
        <v>11291</v>
      </c>
      <c r="E6161" s="8" t="str">
        <f>IFERROR(__xludf.DUMMYFUNCTION("googletranslate(D6161,""id"",""en"")"),"Next Tuesday PPKM has done right? It's already playing to this place again")</f>
        <v>Next Tuesday PPKM has done right? It's already playing to this place again</v>
      </c>
    </row>
    <row r="6162" ht="15.75" customHeight="1">
      <c r="A6162" s="2">
        <v>6165.0</v>
      </c>
      <c r="B6162" s="5" t="s">
        <v>11292</v>
      </c>
      <c r="C6162" s="6">
        <v>1.0</v>
      </c>
      <c r="D6162" s="10" t="s">
        <v>11293</v>
      </c>
      <c r="E6162" s="8" t="str">
        <f>IFERROR(__xludf.DUMMYFUNCTION("googletranslate(D6162,""id"",""en"")"),"KPKM iHHH.")</f>
        <v>KPKM iHHH.</v>
      </c>
    </row>
    <row r="6163" ht="15.75" customHeight="1">
      <c r="A6163" s="2">
        <v>6166.0</v>
      </c>
      <c r="B6163" s="5" t="s">
        <v>11294</v>
      </c>
      <c r="C6163" s="6">
        <v>2.0</v>
      </c>
      <c r="D6163" s="9" t="s">
        <v>11295</v>
      </c>
      <c r="E6163" s="8" t="str">
        <f>IFERROR(__xludf.DUMMYFUNCTION("googletranslate(D6163,""id"",""en"")"),"My balloon is limarupa, where are you still there, why are you still having one? Sni just don't just sing wkwkwk")</f>
        <v>My balloon is limarupa, where are you still there, why are you still having one? Sni just don't just sing wkwkwk</v>
      </c>
    </row>
    <row r="6164" ht="15.75" customHeight="1">
      <c r="A6164" s="2">
        <v>6167.0</v>
      </c>
      <c r="B6164" s="5" t="s">
        <v>11296</v>
      </c>
      <c r="C6164" s="6">
        <v>1.0</v>
      </c>
      <c r="D6164" s="7" t="s">
        <v>11297</v>
      </c>
      <c r="E6164" s="8" t="str">
        <f>IFERROR(__xludf.DUMMYFUNCTION("googletranslate(D6164,""id"",""en"")"),"Really want to try toast soul. Already from when to know the cravings but the PPKM gini who is in the citraland opened gasih? What time is it usually open?")</f>
        <v>Really want to try toast soul. Already from when to know the cravings but the PPKM gini who is in the citraland opened gasih? What time is it usually open?</v>
      </c>
    </row>
    <row r="6165" ht="15.75" customHeight="1">
      <c r="A6165" s="2">
        <v>6168.0</v>
      </c>
      <c r="B6165" s="5" t="s">
        <v>11298</v>
      </c>
      <c r="C6165" s="6">
        <v>1.0</v>
      </c>
      <c r="D6165" s="9" t="s">
        <v>11298</v>
      </c>
      <c r="E6165" s="8" t="str">
        <f>IFERROR(__xludf.DUMMYFUNCTION("googletranslate(D6165,""id"",""en"")"),"As a result of the PPKM, Messi refused the contract extension with Barcelona.")</f>
        <v>As a result of the PPKM, Messi refused the contract extension with Barcelona.</v>
      </c>
    </row>
    <row r="6166" ht="15.75" customHeight="1">
      <c r="A6166" s="2">
        <v>6169.0</v>
      </c>
      <c r="B6166" s="5" t="s">
        <v>11299</v>
      </c>
      <c r="C6166" s="6">
        <v>1.0</v>
      </c>
      <c r="D6166" s="7" t="s">
        <v>11300</v>
      </c>
      <c r="E6166" s="8" t="str">
        <f>IFERROR(__xludf.DUMMYFUNCTION("googletranslate(D6166,""id"",""en"")"),"In the morning in Kagetin Messi who did not extend the contract, and Rossi who wanted to retire. Maybe Messi would want to download. And Rossi retired because of being confused, many street PPKM effects were closed.")</f>
        <v>In the morning in Kagetin Messi who did not extend the contract, and Rossi who wanted to retire. Maybe Messi would want to download. And Rossi retired because of being confused, many street PPKM effects were closed.</v>
      </c>
    </row>
    <row r="6167" ht="15.75" customHeight="1">
      <c r="A6167" s="2">
        <v>6170.0</v>
      </c>
      <c r="B6167" s="5" t="s">
        <v>11301</v>
      </c>
      <c r="C6167" s="6">
        <v>1.0</v>
      </c>
      <c r="D6167" s="7" t="s">
        <v>11302</v>
      </c>
      <c r="E6167" s="8" t="str">
        <f>IFERROR(__xludf.DUMMYFUNCTION("googletranslate(D6167,""id"",""en"")"),"Not cm vaccine that has a buzzer, ppkm is also a buzzer")</f>
        <v>Not cm vaccine that has a buzzer, ppkm is also a buzzer</v>
      </c>
    </row>
    <row r="6168" ht="15.75" customHeight="1">
      <c r="A6168" s="2">
        <v>6171.0</v>
      </c>
      <c r="B6168" s="5" t="s">
        <v>11303</v>
      </c>
      <c r="C6168" s="6">
        <v>1.0</v>
      </c>
      <c r="D6168" s="9" t="s">
        <v>11304</v>
      </c>
      <c r="E6168" s="8" t="str">
        <f>IFERROR(__xludf.DUMMYFUNCTION("googletranslate(D6168,""id"",""en"")"),"Through the ppkm's rat pathway")</f>
        <v>Through the ppkm's rat pathway</v>
      </c>
    </row>
    <row r="6169" ht="15.75" customHeight="1">
      <c r="A6169" s="2">
        <v>6172.0</v>
      </c>
      <c r="B6169" s="5" t="s">
        <v>11305</v>
      </c>
      <c r="C6169" s="6">
        <v>1.0</v>
      </c>
      <c r="D6169" s="7" t="s">
        <v>11306</v>
      </c>
      <c r="E6169" s="8" t="str">
        <f>IFERROR(__xludf.DUMMYFUNCTION("googletranslate(D6169,""id"",""en"")"),"And around it ... PPKM must stop on this day ... Saturday can camp, muttered the bontot last night ... there was a rebellion, refused to be uprooted from the nature ... losing a friend running, and the warmth of the campfire ...")</f>
        <v>And around it ... PPKM must stop on this day ... Saturday can camp, muttered the bontot last night ... there was a rebellion, refused to be uprooted from the nature ... losing a friend running, and the warmth of the campfire ...</v>
      </c>
    </row>
    <row r="6170" ht="15.75" customHeight="1">
      <c r="A6170" s="2">
        <v>6173.0</v>
      </c>
      <c r="B6170" s="5" t="s">
        <v>11307</v>
      </c>
      <c r="C6170" s="6">
        <v>2.0</v>
      </c>
      <c r="D6170" s="9" t="s">
        <v>11308</v>
      </c>
      <c r="E6170" s="8" t="str">
        <f>IFERROR(__xludf.DUMMYFUNCTION("googletranslate(D6170,""id"",""en"")"),"If he promises if the PPKM is extended, then will you plug your house? Will you keep Respect when he ""keeps his promise?""")</f>
        <v>If he promises if the PPKM is extended, then will you plug your house? Will you keep Respect when he "keeps his promise?"</v>
      </c>
    </row>
    <row r="6171" ht="15.75" customHeight="1">
      <c r="A6171" s="2">
        <v>6174.0</v>
      </c>
      <c r="B6171" s="5" t="s">
        <v>11309</v>
      </c>
      <c r="C6171" s="6">
        <v>2.0</v>
      </c>
      <c r="D6171" s="7" t="s">
        <v>11310</v>
      </c>
      <c r="E6171" s="8" t="str">
        <f>IFERROR(__xludf.DUMMYFUNCTION("googletranslate(D6171,""id"",""en"")"),"Day ppkm continues not why do you think you can think of you continue the fig at home")</f>
        <v>Day ppkm continues not why do you think you can think of you continue the fig at home</v>
      </c>
    </row>
    <row r="6172" ht="15.75" customHeight="1">
      <c r="A6172" s="2">
        <v>6175.0</v>
      </c>
      <c r="B6172" s="5" t="s">
        <v>11311</v>
      </c>
      <c r="C6172" s="6">
        <v>1.0</v>
      </c>
      <c r="D6172" s="7" t="s">
        <v>11312</v>
      </c>
      <c r="E6172" s="8" t="str">
        <f>IFERROR(__xludf.DUMMYFUNCTION("googletranslate(D6172,""id"",""en"")"),"BANGKE ... Kasian Dinar Her CMN voiced the protest just about the PPKM LGSG processed by the law ... to make ATW, what is the right of him ... the people have not been free to voice the opinion ... autoters once!")</f>
        <v>BANGKE ... Kasian Dinar Her CMN voiced the protest just about the PPKM LGSG processed by the law ... to make ATW, what is the right of him ... the people have not been free to voice the opinion ... autoters once!</v>
      </c>
    </row>
    <row r="6173" ht="15.75" customHeight="1">
      <c r="A6173" s="2">
        <v>6176.0</v>
      </c>
      <c r="B6173" s="5" t="s">
        <v>11313</v>
      </c>
      <c r="C6173" s="6">
        <v>2.0</v>
      </c>
      <c r="D6173" s="7" t="s">
        <v>11314</v>
      </c>
      <c r="E6173" s="8" t="str">
        <f>IFERROR(__xludf.DUMMYFUNCTION("googletranslate(D6173,""id"",""en"")"),"Today the PPKM is still continuing our figure can still continue? Canda Jot")</f>
        <v>Today the PPKM is still continuing our figure can still continue? Canda Jot</v>
      </c>
    </row>
    <row r="6174" ht="15.75" customHeight="1">
      <c r="A6174" s="2">
        <v>6177.0</v>
      </c>
      <c r="B6174" s="5" t="s">
        <v>11315</v>
      </c>
      <c r="C6174" s="6">
        <v>1.0</v>
      </c>
      <c r="D6174" s="7" t="s">
        <v>11316</v>
      </c>
      <c r="E6174" s="8" t="str">
        <f>IFERROR(__xludf.DUMMYFUNCTION("googletranslate(D6174,""id"",""en"")"),"O So this ppkm has a potential sense to restore the economy of the country ?? Master")</f>
        <v>O So this ppkm has a potential sense to restore the economy of the country ?? Master</v>
      </c>
    </row>
    <row r="6175" ht="15.75" customHeight="1">
      <c r="A6175" s="2">
        <v>6178.0</v>
      </c>
      <c r="B6175" s="5" t="s">
        <v>11317</v>
      </c>
      <c r="C6175" s="6">
        <v>2.0</v>
      </c>
      <c r="D6175" s="7" t="s">
        <v>11318</v>
      </c>
      <c r="E6175" s="8" t="str">
        <f>IFERROR(__xludf.DUMMYFUNCTION("googletranslate(D6175,""id"",""en"")"),"Just extended the PPKM Messi?")</f>
        <v>Just extended the PPKM Messi?</v>
      </c>
    </row>
    <row r="6176" ht="15.75" customHeight="1">
      <c r="A6176" s="2">
        <v>6179.0</v>
      </c>
      <c r="B6176" s="5" t="s">
        <v>11319</v>
      </c>
      <c r="C6176" s="6">
        <v>1.0</v>
      </c>
      <c r="D6176" s="7" t="s">
        <v>11320</v>
      </c>
      <c r="E6176" s="8" t="str">
        <f>IFERROR(__xludf.DUMMYFUNCTION("googletranslate(D6176,""id"",""en"")"),"Naturally NDER Close again PPKM")</f>
        <v>Naturally NDER Close again PPKM</v>
      </c>
    </row>
    <row r="6177" ht="15.75" customHeight="1">
      <c r="A6177" s="2">
        <v>6180.0</v>
      </c>
      <c r="B6177" s="5" t="s">
        <v>11321</v>
      </c>
      <c r="C6177" s="6">
        <v>1.0</v>
      </c>
      <c r="D6177" s="7" t="s">
        <v>11322</v>
      </c>
      <c r="E6177" s="8" t="str">
        <f>IFERROR(__xludf.DUMMYFUNCTION("googletranslate(D6177,""id"",""en"")"),"PPKM. Can't everywhere")</f>
        <v>PPKM. Can't everywhere</v>
      </c>
    </row>
    <row r="6178" ht="15.75" customHeight="1">
      <c r="A6178" s="2">
        <v>6181.0</v>
      </c>
      <c r="B6178" s="5" t="s">
        <v>11323</v>
      </c>
      <c r="C6178" s="6">
        <v>3.0</v>
      </c>
      <c r="D6178" s="9" t="s">
        <v>11324</v>
      </c>
      <c r="E6178" s="8" t="str">
        <f>IFERROR(__xludf.DUMMYFUNCTION("googletranslate(D6178,""id"",""en"")"),"Yuuk enliven &amp; amp; Register here the Millennial account likes to be vaccinated to restore PPKM Follow Restore PPKM")</f>
        <v>Yuuk enliven &amp; amp; Register here the Millennial account likes to be vaccinated to restore PPKM Follow Restore PPKM</v>
      </c>
    </row>
    <row r="6179" ht="15.75" customHeight="1">
      <c r="A6179" s="2">
        <v>6182.0</v>
      </c>
      <c r="B6179" s="5" t="s">
        <v>11325</v>
      </c>
      <c r="C6179" s="6">
        <v>2.0</v>
      </c>
      <c r="D6179" s="7" t="s">
        <v>11326</v>
      </c>
      <c r="E6179" s="8" t="str">
        <f>IFERROR(__xludf.DUMMYFUNCTION("googletranslate(D6179,""id"",""en"")"),"On having money not, let's go ppkm to meet really anjay")</f>
        <v>On having money not, let's go ppkm to meet really anjay</v>
      </c>
    </row>
    <row r="6180" ht="15.75" customHeight="1">
      <c r="A6180" s="2">
        <v>6183.0</v>
      </c>
      <c r="B6180" s="5" t="s">
        <v>11327</v>
      </c>
      <c r="C6180" s="6">
        <v>2.0</v>
      </c>
      <c r="D6180" s="7" t="s">
        <v>11328</v>
      </c>
      <c r="E6180" s="8" t="str">
        <f>IFERROR(__xludf.DUMMYFUNCTION("googletranslate(D6180,""id"",""en"")"),"Yes, hopefully it can be dine in after August PPKM level ends L")</f>
        <v>Yes, hopefully it can be dine in after August PPKM level ends L</v>
      </c>
    </row>
    <row r="6181" ht="15.75" customHeight="1">
      <c r="A6181" s="2">
        <v>6184.0</v>
      </c>
      <c r="B6181" s="5" t="s">
        <v>11329</v>
      </c>
      <c r="C6181" s="6">
        <v>2.0</v>
      </c>
      <c r="D6181" s="9" t="s">
        <v>11330</v>
      </c>
      <c r="E6181" s="8" t="str">
        <f>IFERROR(__xludf.DUMMYFUNCTION("googletranslate(D6181,""id"",""en"")"),"The rules regarding PPKM in the area are contained in the instructions of the Minister of Home Affairs (Inmendagri) in the year number!")</f>
        <v>The rules regarding PPKM in the area are contained in the instructions of the Minister of Home Affairs (Inmendagri) in the year number!</v>
      </c>
    </row>
    <row r="6182" ht="15.75" customHeight="1">
      <c r="A6182" s="2">
        <v>6185.0</v>
      </c>
      <c r="B6182" s="5" t="s">
        <v>11331</v>
      </c>
      <c r="C6182" s="6">
        <v>1.0</v>
      </c>
      <c r="D6182" s="9" t="s">
        <v>11332</v>
      </c>
      <c r="E6182" s="8" t="str">
        <f>IFERROR(__xludf.DUMMYFUNCTION("googletranslate(D6182,""id"",""en"")"),"It's really tired up yesterday, if you suddenly be invited to go muter2 all day at the day of the road because the narrow nephew at the baby's house also understands if he is also bored of stay at home, the effect of the PPKM '-'")</f>
        <v>It's really tired up yesterday, if you suddenly be invited to go muter2 all day at the day of the road because the narrow nephew at the baby's house also understands if he is also bored of stay at home, the effect of the PPKM '-'</v>
      </c>
    </row>
    <row r="6183" ht="15.75" customHeight="1">
      <c r="A6183" s="2">
        <v>6186.0</v>
      </c>
      <c r="B6183" s="5" t="s">
        <v>11333</v>
      </c>
      <c r="C6183" s="6">
        <v>1.0</v>
      </c>
      <c r="D6183" s="7" t="s">
        <v>11334</v>
      </c>
      <c r="E6183" s="8" t="str">
        <f>IFERROR(__xludf.DUMMYFUNCTION("googletranslate(D6183,""id"",""en"")"),"After the right to Bandung, it was closed, it was closed to be hit by PPKM")</f>
        <v>After the right to Bandung, it was closed, it was closed to be hit by PPKM</v>
      </c>
    </row>
    <row r="6184" ht="15.75" customHeight="1">
      <c r="A6184" s="2">
        <v>6187.0</v>
      </c>
      <c r="B6184" s="5" t="s">
        <v>11335</v>
      </c>
      <c r="C6184" s="6">
        <v>2.0</v>
      </c>
      <c r="D6184" s="9" t="s">
        <v>11336</v>
      </c>
      <c r="E6184" s="8" t="str">
        <f>IFERROR(__xludf.DUMMYFUNCTION("googletranslate(D6184,""id"",""en"")"),"fortunately the ppkm extended lg if it brewok lu dah cave bakar nu")</f>
        <v>fortunately the ppkm extended lg if it brewok lu dah cave bakar nu</v>
      </c>
    </row>
    <row r="6185" ht="15.75" customHeight="1">
      <c r="A6185" s="2">
        <v>6188.0</v>
      </c>
      <c r="B6185" s="5" t="s">
        <v>11337</v>
      </c>
      <c r="C6185" s="6">
        <v>2.0</v>
      </c>
      <c r="D6185" s="7" t="s">
        <v>11338</v>
      </c>
      <c r="E6185" s="8" t="str">
        <f>IFERROR(__xludf.DUMMYFUNCTION("googletranslate(D6185,""id"",""en"")"),"I really lived in Bogor, Dimasakin Mother a lot of views even though it was hit by PPKM")</f>
        <v>I really lived in Bogor, Dimasakin Mother a lot of views even though it was hit by PPKM</v>
      </c>
    </row>
    <row r="6186" ht="15.75" customHeight="1">
      <c r="A6186" s="2">
        <v>6189.0</v>
      </c>
      <c r="B6186" s="5" t="s">
        <v>11339</v>
      </c>
      <c r="C6186" s="6">
        <v>3.0</v>
      </c>
      <c r="D6186" s="7" t="s">
        <v>11340</v>
      </c>
      <c r="E6186" s="8" t="str">
        <f>IFERROR(__xludf.DUMMYFUNCTION("googletranslate(D6186,""id"",""en"")"),"PPKM (multiply productively reduce mager)")</f>
        <v>PPKM (multiply productively reduce mager)</v>
      </c>
    </row>
    <row r="6187" ht="15.75" customHeight="1">
      <c r="A6187" s="2">
        <v>6190.0</v>
      </c>
      <c r="B6187" s="5" t="s">
        <v>11341</v>
      </c>
      <c r="C6187" s="6">
        <v>2.0</v>
      </c>
      <c r="D6187" s="7" t="s">
        <v>11342</v>
      </c>
      <c r="E6187" s="8" t="str">
        <f>IFERROR(__xludf.DUMMYFUNCTION("googletranslate(D6187,""id"",""en"")"),"And later study in the PPKM level area and still have to be done online.")</f>
        <v>And later study in the PPKM level area and still have to be done online.</v>
      </c>
    </row>
    <row r="6188" ht="15.75" customHeight="1">
      <c r="A6188" s="2">
        <v>6191.0</v>
      </c>
      <c r="B6188" s="5" t="s">
        <v>11343</v>
      </c>
      <c r="C6188" s="6">
        <v>1.0</v>
      </c>
      <c r="D6188" s="7" t="s">
        <v>11344</v>
      </c>
      <c r="E6188" s="8" t="str">
        <f>IFERROR(__xludf.DUMMYFUNCTION("googletranslate(D6188,""id"",""en"")"),"The impact of PPKM, Messi's class was hit by a contract")</f>
        <v>The impact of PPKM, Messi's class was hit by a contract</v>
      </c>
    </row>
    <row r="6189" ht="15.75" customHeight="1">
      <c r="A6189" s="2">
        <v>6192.0</v>
      </c>
      <c r="B6189" s="5" t="s">
        <v>11345</v>
      </c>
      <c r="C6189" s="6">
        <v>1.0</v>
      </c>
      <c r="D6189" s="7" t="s">
        <v>11346</v>
      </c>
      <c r="E6189" s="8" t="str">
        <f>IFERROR(__xludf.DUMMYFUNCTION("googletranslate(D6189,""id"",""en"")"),"Daily Chairman of the West Java Cafe and Restaurant Association (Root), GB, tried to commit suicide as a form of PPKM protest. GB in front of the gate of the Bandung City Hall")</f>
        <v>Daily Chairman of the West Java Cafe and Restaurant Association (Root), GB, tried to commit suicide as a form of PPKM protest. GB in front of the gate of the Bandung City Hall</v>
      </c>
    </row>
    <row r="6190" ht="15.75" customHeight="1">
      <c r="A6190" s="2">
        <v>6193.0</v>
      </c>
      <c r="B6190" s="5" t="s">
        <v>11347</v>
      </c>
      <c r="C6190" s="6">
        <v>3.0</v>
      </c>
      <c r="D6190" s="9" t="s">
        <v>11348</v>
      </c>
      <c r="E6190" s="8" t="str">
        <f>IFERROR(__xludf.DUMMYFUNCTION("googletranslate(D6190,""id"",""en"")"),"The millennials likes to be vaccinated to restore PPKM follow let's recover PPKM")</f>
        <v>The millennials likes to be vaccinated to restore PPKM follow let's recover PPKM</v>
      </c>
    </row>
    <row r="6191" ht="15.75" customHeight="1">
      <c r="A6191" s="2">
        <v>6194.0</v>
      </c>
      <c r="B6191" s="5" t="s">
        <v>11349</v>
      </c>
      <c r="C6191" s="6">
        <v>2.0</v>
      </c>
      <c r="D6191" s="9" t="s">
        <v>11350</v>
      </c>
      <c r="E6191" s="8" t="str">
        <f>IFERROR(__xludf.DUMMYFUNCTION("googletranslate(D6191,""id"",""en"")"),"""Garuda Shield, whose shield?"" In the midst of a surge in the Covid-19 case and the extension of PPKM Level, AD Personnel of the United States arrived in the western region of the country. They are dija.")</f>
        <v>"Garuda Shield, whose shield?" In the midst of a surge in the Covid-19 case and the extension of PPKM Level, AD Personnel of the United States arrived in the western region of the country. They are dija.</v>
      </c>
    </row>
    <row r="6192" ht="15.75" customHeight="1">
      <c r="A6192" s="2">
        <v>6195.0</v>
      </c>
      <c r="B6192" s="5" t="s">
        <v>11351</v>
      </c>
      <c r="C6192" s="6">
        <v>1.0</v>
      </c>
      <c r="D6192" s="7" t="s">
        <v>11352</v>
      </c>
      <c r="E6192" s="8" t="str">
        <f>IFERROR(__xludf.DUMMYFUNCTION("googletranslate(D6192,""id"",""en"")"),"Get aken. Dark passengers seek self-critianity, for the sake of personal gain. Ask for people's attention. Let it be said to be caring and great. Ppkm = the prince of the prince of the royal kingdom.")</f>
        <v>Get aken. Dark passengers seek self-critianity, for the sake of personal gain. Ask for people's attention. Let it be said to be caring and great. Ppkm = the prince of the prince of the royal kingdom.</v>
      </c>
    </row>
    <row r="6193" ht="15.75" customHeight="1">
      <c r="A6193" s="2">
        <v>6196.0</v>
      </c>
      <c r="B6193" s="5" t="s">
        <v>11353</v>
      </c>
      <c r="C6193" s="6">
        <v>1.0</v>
      </c>
      <c r="D6193" s="7" t="s">
        <v>11354</v>
      </c>
      <c r="E6193" s="8" t="str">
        <f>IFERROR(__xludf.DUMMYFUNCTION("googletranslate(D6193,""id"",""en"")"),"For areas that are being implemented PPKM Level and for now it should not hold face-to-face learning.")</f>
        <v>For areas that are being implemented PPKM Level and for now it should not hold face-to-face learning.</v>
      </c>
    </row>
    <row r="6194" ht="15.75" customHeight="1">
      <c r="A6194" s="2">
        <v>6197.0</v>
      </c>
      <c r="B6194" s="5" t="s">
        <v>11355</v>
      </c>
      <c r="C6194" s="6">
        <v>1.0</v>
      </c>
      <c r="D6194" s="7" t="s">
        <v>11356</v>
      </c>
      <c r="E6194" s="8" t="str">
        <f>IFERROR(__xludf.DUMMYFUNCTION("googletranslate(D6194,""id"",""en"")"),"What is still insisting on the demonstration is suspended because the pandemic period and the implementation of PPKM is clearly banned from gathering or forming a crowd.")</f>
        <v>What is still insisting on the demonstration is suspended because the pandemic period and the implementation of PPKM is clearly banned from gathering or forming a crowd.</v>
      </c>
    </row>
    <row r="6195" ht="15.75" customHeight="1">
      <c r="A6195" s="2">
        <v>6198.0</v>
      </c>
      <c r="B6195" s="5" t="s">
        <v>11357</v>
      </c>
      <c r="C6195" s="6">
        <v>2.0</v>
      </c>
      <c r="D6195" s="9" t="s">
        <v>11358</v>
      </c>
      <c r="E6195" s="8" t="str">
        <f>IFERROR(__xludf.DUMMYFUNCTION("googletranslate(D6195,""id"",""en"")"),"Outside love day is only a day until the PPKM is extended again")</f>
        <v>Outside love day is only a day until the PPKM is extended again</v>
      </c>
    </row>
    <row r="6196" ht="15.75" customHeight="1">
      <c r="A6196" s="2">
        <v>6199.0</v>
      </c>
      <c r="B6196" s="5" t="s">
        <v>11359</v>
      </c>
      <c r="C6196" s="6">
        <v>2.0</v>
      </c>
      <c r="D6196" s="9" t="s">
        <v>11360</v>
      </c>
      <c r="E6196" s="8" t="str">
        <f>IFERROR(__xludf.DUMMYFUNCTION("googletranslate(D6196,""id"",""en"")"),"If it's not your ppkm nge gym together or challenge bowling yeah invite baby team too")</f>
        <v>If it's not your ppkm nge gym together or challenge bowling yeah invite baby team too</v>
      </c>
    </row>
    <row r="6197" ht="15.75" customHeight="1">
      <c r="A6197" s="2">
        <v>6200.0</v>
      </c>
      <c r="B6197" s="5" t="s">
        <v>11361</v>
      </c>
      <c r="C6197" s="6">
        <v>2.0</v>
      </c>
      <c r="D6197" s="7" t="s">
        <v>11362</v>
      </c>
      <c r="E6197" s="8" t="str">
        <f>IFERROR(__xludf.DUMMYFUNCTION("googletranslate(D6197,""id"",""en"")"),"Ohanyo ~ just finished editing hueee ~ which was definitely weekend at home because it was still PPKM TWT")</f>
        <v>Ohanyo ~ just finished editing hueee ~ which was definitely weekend at home because it was still PPKM TWT</v>
      </c>
    </row>
    <row r="6198" ht="15.75" customHeight="1">
      <c r="A6198" s="2">
        <v>6201.0</v>
      </c>
      <c r="B6198" s="5" t="s">
        <v>11363</v>
      </c>
      <c r="C6198" s="6">
        <v>2.0</v>
      </c>
      <c r="D6198" s="9" t="s">
        <v>11364</v>
      </c>
      <c r="E6198" s="8" t="str">
        <f>IFERROR(__xludf.DUMMYFUNCTION("googletranslate(D6198,""id"",""en"")"),"Okay ... finally passed the PPKM level line")</f>
        <v>Okay ... finally passed the PPKM level line</v>
      </c>
    </row>
    <row r="6199" ht="15.75" customHeight="1">
      <c r="A6199" s="2">
        <v>6202.0</v>
      </c>
      <c r="B6199" s="5" t="s">
        <v>11365</v>
      </c>
      <c r="C6199" s="6">
        <v>1.0</v>
      </c>
      <c r="D6199" s="9" t="s">
        <v>11366</v>
      </c>
      <c r="E6199" s="8" t="str">
        <f>IFERROR(__xludf.DUMMYFUNCTION("googletranslate(D6199,""id"",""en"")"),"Avoid the word hoax Use the drift disinformation ..., avoid lockdown using PSPB, PPKM, etc.UURRR")</f>
        <v>Avoid the word hoax Use the drift disinformation ..., avoid lockdown using PSPB, PPKM, etc.UURRR</v>
      </c>
    </row>
    <row r="6200" ht="15.75" customHeight="1">
      <c r="A6200" s="2">
        <v>6203.0</v>
      </c>
      <c r="B6200" s="5" t="s">
        <v>11367</v>
      </c>
      <c r="C6200" s="6">
        <v>2.0</v>
      </c>
      <c r="D6200" s="7" t="s">
        <v>11368</v>
      </c>
      <c r="E6200" s="8" t="str">
        <f>IFERROR(__xludf.DUMMYFUNCTION("googletranslate(D6200,""id"",""en"")"),"The eight districts that implement PPKM Level are Sampang, Pasuruan Regency, Pamekasan, Pacitan, Probolinggo Regency, Tuban, Jember and Bojonegoro")</f>
        <v>The eight districts that implement PPKM Level are Sampang, Pasuruan Regency, Pamekasan, Pacitan, Probolinggo Regency, Tuban, Jember and Bojonegoro</v>
      </c>
    </row>
    <row r="6201" ht="15.75" customHeight="1">
      <c r="A6201" s="2">
        <v>6204.0</v>
      </c>
      <c r="B6201" s="5" t="s">
        <v>11369</v>
      </c>
      <c r="C6201" s="6">
        <v>1.0</v>
      </c>
      <c r="D6201" s="7" t="s">
        <v>11370</v>
      </c>
      <c r="E6201" s="8" t="str">
        <f>IFERROR(__xludf.DUMMYFUNCTION("googletranslate(D6201,""id"",""en"")"),"Well right up. Ironically for the skali, krena in Klangan under PPKM BGTU tightly until their economy goes down. But they can class up for achievements for kbijakn which is a date. Because of their pandangn at the statistics.")</f>
        <v>Well right up. Ironically for the skali, krena in Klangan under PPKM BGTU tightly until their economy goes down. But they can class up for achievements for kbijakn which is a date. Because of their pandangn at the statistics.</v>
      </c>
    </row>
    <row r="6202" ht="15.75" customHeight="1">
      <c r="A6202" s="2">
        <v>6205.0</v>
      </c>
      <c r="B6202" s="5" t="s">
        <v>11371</v>
      </c>
      <c r="C6202" s="6">
        <v>2.0</v>
      </c>
      <c r="D6202" s="7" t="s">
        <v>11372</v>
      </c>
      <c r="E6202" s="8" t="str">
        <f>IFERROR(__xludf.DUMMYFUNCTION("googletranslate(D6202,""id"",""en"")"),"There are districts / cities in East Java which are currently implemented by PPKM Level, while the PPKM Level is there district")</f>
        <v>There are districts / cities in East Java which are currently implemented by PPKM Level, while the PPKM Level is there district</v>
      </c>
    </row>
    <row r="6203" ht="15.75" customHeight="1">
      <c r="A6203" s="2">
        <v>6206.0</v>
      </c>
      <c r="B6203" s="5" t="s">
        <v>11373</v>
      </c>
      <c r="C6203" s="6">
        <v>2.0</v>
      </c>
      <c r="D6203" s="9" t="s">
        <v>11374</v>
      </c>
      <c r="E6203" s="8" t="str">
        <f>IFERROR(__xludf.DUMMYFUNCTION("googletranslate(D6203,""id"",""en"")"),"Whereas at this time East Java is still implemented by PPKM Level and Level!")</f>
        <v>Whereas at this time East Java is still implemented by PPKM Level and Level!</v>
      </c>
    </row>
    <row r="6204" ht="15.75" customHeight="1">
      <c r="A6204" s="2">
        <v>6207.0</v>
      </c>
      <c r="B6204" s="5" t="s">
        <v>11375</v>
      </c>
      <c r="C6204" s="6">
        <v>1.0</v>
      </c>
      <c r="D6204" s="7" t="s">
        <v>11376</v>
      </c>
      <c r="E6204" s="8" t="str">
        <f>IFERROR(__xludf.DUMMYFUNCTION("googletranslate(D6204,""id"",""en"")"),"Yes this is the impact of the PPKM")</f>
        <v>Yes this is the impact of the PPKM</v>
      </c>
    </row>
    <row r="6205" ht="15.75" customHeight="1">
      <c r="A6205" s="2">
        <v>6208.0</v>
      </c>
      <c r="B6205" s="5" t="s">
        <v>11377</v>
      </c>
      <c r="C6205" s="6">
        <v>3.0</v>
      </c>
      <c r="D6205" s="7" t="s">
        <v>11378</v>
      </c>
      <c r="E6205" s="8" t="str">
        <f>IFERROR(__xludf.DUMMYFUNCTION("googletranslate(D6205,""id"",""en"")"),"Good morning still spirit even though still PPKM level.")</f>
        <v>Good morning still spirit even though still PPKM level.</v>
      </c>
    </row>
    <row r="6206" ht="15.75" customHeight="1">
      <c r="A6206" s="2">
        <v>6209.0</v>
      </c>
      <c r="B6206" s="5" t="s">
        <v>11379</v>
      </c>
      <c r="C6206" s="6">
        <v>2.0</v>
      </c>
      <c r="D6206" s="7" t="s">
        <v>11380</v>
      </c>
      <c r="E6206" s="8" t="str">
        <f>IFERROR(__xludf.DUMMYFUNCTION("googletranslate(D6206,""id"",""en"")"),"Currently there are already areas that experience PPKM Level Bu?")</f>
        <v>Currently there are already areas that experience PPKM Level Bu?</v>
      </c>
    </row>
    <row r="6207" ht="15.75" customHeight="1">
      <c r="A6207" s="2">
        <v>6210.0</v>
      </c>
      <c r="B6207" s="5" t="s">
        <v>11381</v>
      </c>
      <c r="C6207" s="6">
        <v>1.0</v>
      </c>
      <c r="D6207" s="7" t="s">
        <v>11382</v>
      </c>
      <c r="E6207" s="8" t="str">
        <f>IFERROR(__xludf.DUMMYFUNCTION("googletranslate(D6207,""id"",""en"")"),"You know yourself again PPKM ... I want to find the pink hard ... a lot of insulation")</f>
        <v>You know yourself again PPKM ... I want to find the pink hard ... a lot of insulation</v>
      </c>
    </row>
    <row r="6208" ht="15.75" customHeight="1">
      <c r="A6208" s="2">
        <v>6211.0</v>
      </c>
      <c r="B6208" s="5" t="s">
        <v>11383</v>
      </c>
      <c r="C6208" s="6">
        <v>2.0</v>
      </c>
      <c r="D6208" s="7" t="s">
        <v>11384</v>
      </c>
      <c r="E6208" s="8" t="str">
        <f>IFERROR(__xludf.DUMMYFUNCTION("googletranslate(D6208,""id"",""en"")"),"Ga ketangkep ppkm officer he weve mbang ... kan bates time open a clock merchandise")</f>
        <v>Ga ketangkep ppkm officer he weve mbang ... kan bates time open a clock merchandise</v>
      </c>
    </row>
    <row r="6209" ht="15.75" customHeight="1">
      <c r="A6209" s="2">
        <v>6212.0</v>
      </c>
      <c r="B6209" s="5" t="s">
        <v>11385</v>
      </c>
      <c r="C6209" s="6">
        <v>2.0</v>
      </c>
      <c r="D6209" s="7" t="s">
        <v>11386</v>
      </c>
      <c r="E6209" s="8" t="str">
        <f>IFERROR(__xludf.DUMMYFUNCTION("googletranslate(D6209,""id"",""en"")"),"Hey ppkm still wkwk")</f>
        <v>Hey ppkm still wkwk</v>
      </c>
    </row>
    <row r="6210" ht="15.75" customHeight="1">
      <c r="A6210" s="2">
        <v>6213.0</v>
      </c>
      <c r="B6210" s="5" t="s">
        <v>11387</v>
      </c>
      <c r="C6210" s="6">
        <v>1.0</v>
      </c>
      <c r="D6210" s="9" t="s">
        <v>11388</v>
      </c>
      <c r="E6210" s="8" t="str">
        <f>IFERROR(__xludf.DUMMYFUNCTION("googletranslate(D6210,""id"",""en"")"),"The action of the Candy Dinar protested PPKM Level IV wearing a bikini is not necessarily large, especially processed law. Said Medan people maybe so palace (upset, resentful) with circumstances. If you want to be processed law it's all a hoax spread abou"&amp;"t a pandemic")</f>
        <v>The action of the Candy Dinar protested PPKM Level IV wearing a bikini is not necessarily large, especially processed law. Said Medan people maybe so palace (upset, resentful) with circumstances. If you want to be processed law it's all a hoax spread about a pandemic</v>
      </c>
    </row>
    <row r="6211" ht="15.75" customHeight="1">
      <c r="A6211" s="2">
        <v>6214.0</v>
      </c>
      <c r="B6211" s="5" t="s">
        <v>11389</v>
      </c>
      <c r="C6211" s="6">
        <v>1.0</v>
      </c>
      <c r="D6211" s="9" t="s">
        <v>11390</v>
      </c>
      <c r="E6211" s="8" t="str">
        <f>IFERROR(__xludf.DUMMYFUNCTION("googletranslate(D6211,""id"",""en"")"),"Can you do this, this is postponed first ??? still ppkm loh this, don't take a trip first astagaaa")</f>
        <v>Can you do this, this is postponed first ??? still ppkm loh this, don't take a trip first astagaaa</v>
      </c>
    </row>
    <row r="6212" ht="15.75" customHeight="1">
      <c r="A6212" s="2">
        <v>6215.0</v>
      </c>
      <c r="B6212" s="5" t="s">
        <v>11391</v>
      </c>
      <c r="C6212" s="6">
        <v>1.0</v>
      </c>
      <c r="D6212" s="7" t="s">
        <v>11392</v>
      </c>
      <c r="E6212" s="8" t="str">
        <f>IFERROR(__xludf.DUMMYFUNCTION("googletranslate(D6212,""id"",""en"")"),"Uba Steak Close Dah Want a month, Grgr PPKM is really old miss the milkshake and the steaks ahdhaudjsjs")</f>
        <v>Uba Steak Close Dah Want a month, Grgr PPKM is really old miss the milkshake and the steaks ahdhaudjsjs</v>
      </c>
    </row>
    <row r="6213" ht="15.75" customHeight="1">
      <c r="A6213" s="2">
        <v>6216.0</v>
      </c>
      <c r="B6213" s="5" t="s">
        <v>11393</v>
      </c>
      <c r="C6213" s="6">
        <v>1.0</v>
      </c>
      <c r="D6213" s="7" t="s">
        <v>11394</v>
      </c>
      <c r="E6213" s="8" t="str">
        <f>IFERROR(__xludf.DUMMYFUNCTION("googletranslate(D6213,""id"",""en"")"),"Ppkm can't get a deposit must be until morning")</f>
        <v>Ppkm can't get a deposit must be until morning</v>
      </c>
    </row>
    <row r="6214" ht="15.75" customHeight="1">
      <c r="A6214" s="2">
        <v>6217.0</v>
      </c>
      <c r="B6214" s="5" t="s">
        <v>11395</v>
      </c>
      <c r="C6214" s="6">
        <v>2.0</v>
      </c>
      <c r="D6214" s="9" t="s">
        <v>11396</v>
      </c>
      <c r="E6214" s="8" t="str">
        <f>IFERROR(__xludf.DUMMYFUNCTION("googletranslate(D6214,""id"",""en"")"),"Told to leave the house, he was clearly still PPKM. Do you have a PCR vaccine letter?")</f>
        <v>Told to leave the house, he was clearly still PPKM. Do you have a PCR vaccine letter?</v>
      </c>
    </row>
    <row r="6215" ht="15.75" customHeight="1">
      <c r="A6215" s="2">
        <v>6218.0</v>
      </c>
      <c r="B6215" s="5" t="s">
        <v>11397</v>
      </c>
      <c r="C6215" s="6">
        <v>1.0</v>
      </c>
      <c r="D6215" s="7" t="s">
        <v>11397</v>
      </c>
      <c r="E6215" s="8" t="str">
        <f>IFERROR(__xludf.DUMMYFUNCTION("googletranslate(D6215,""id"",""en"")"),"The people now just talking, they are arrested, you want to find it can't be can't because the PSBB rules to the PPKM are not humanist, the people demo because they don't agree to the government's policy on radical accusations etc. TRS our representatives"&amp;" ?????? He quietly enjoyed the cool air conditioner and the air conditioner of his luxury car")</f>
        <v>The people now just talking, they are arrested, you want to find it can't be can't because the PSBB rules to the PPKM are not humanist, the people demo because they don't agree to the government's policy on radical accusations etc. TRS our representatives ?????? He quietly enjoyed the cool air conditioner and the air conditioner of his luxury car</v>
      </c>
    </row>
    <row r="6216" ht="15.75" customHeight="1">
      <c r="A6216" s="2">
        <v>6219.0</v>
      </c>
      <c r="B6216" s="5" t="s">
        <v>11398</v>
      </c>
      <c r="C6216" s="6">
        <v>2.0</v>
      </c>
      <c r="D6216" s="7" t="s">
        <v>11399</v>
      </c>
      <c r="E6216" s="8" t="str">
        <f>IFERROR(__xludf.DUMMYFUNCTION("googletranslate(D6216,""id"",""en"")"),"Today I'm HOLIDAYING, BLM There Are Plans Where, PPKM Also")</f>
        <v>Today I'm HOLIDAYING, BLM There Are Plans Where, PPKM Also</v>
      </c>
    </row>
    <row r="6217" ht="15.75" customHeight="1">
      <c r="A6217" s="2">
        <v>6220.0</v>
      </c>
      <c r="B6217" s="5" t="s">
        <v>11400</v>
      </c>
      <c r="C6217" s="6">
        <v>2.0</v>
      </c>
      <c r="D6217" s="7" t="s">
        <v>11401</v>
      </c>
      <c r="E6217" s="8" t="str">
        <f>IFERROR(__xludf.DUMMYFUNCTION("googletranslate(D6217,""id"",""en"")"),"Criticizing is a very reasonable thing as long as the criticism is still within reasonable and proportional limits, not spread the provocation of the application of PPKM.:")</f>
        <v>Criticizing is a very reasonable thing as long as the criticism is still within reasonable and proportional limits, not spread the provocation of the application of PPKM.:</v>
      </c>
    </row>
    <row r="6218" ht="15.75" customHeight="1">
      <c r="A6218" s="2">
        <v>6221.0</v>
      </c>
      <c r="B6218" s="5" t="s">
        <v>11402</v>
      </c>
      <c r="C6218" s="6">
        <v>1.0</v>
      </c>
      <c r="D6218" s="7" t="s">
        <v>11403</v>
      </c>
      <c r="E6218" s="8" t="str">
        <f>IFERROR(__xludf.DUMMYFUNCTION("googletranslate(D6218,""id"",""en"")"),"Shop msh closed krena ppkm? Waras")</f>
        <v>Shop msh closed krena ppkm? Waras</v>
      </c>
    </row>
    <row r="6219" ht="15.75" customHeight="1">
      <c r="A6219" s="2">
        <v>6222.0</v>
      </c>
      <c r="B6219" s="5" t="s">
        <v>11404</v>
      </c>
      <c r="C6219" s="6">
        <v>1.0</v>
      </c>
      <c r="D6219" s="9" t="s">
        <v>11405</v>
      </c>
      <c r="E6219" s="8" t="str">
        <f>IFERROR(__xludf.DUMMYFUNCTION("googletranslate(D6219,""id"",""en"")"),"Tourism business actors in South Tangerang City (Tangsel) surrendered to the implementation of limiting levels of community activities (PPKM). Almost all of the business stretches that we pioneered so far were the circle of bankrupt!")</f>
        <v>Tourism business actors in South Tangerang City (Tangsel) surrendered to the implementation of limiting levels of community activities (PPKM). Almost all of the business stretches that we pioneered so far were the circle of bankrupt!</v>
      </c>
    </row>
    <row r="6220" ht="15.75" customHeight="1">
      <c r="A6220" s="2">
        <v>6223.0</v>
      </c>
      <c r="B6220" s="5" t="s">
        <v>11406</v>
      </c>
      <c r="D6220" s="9" t="s">
        <v>11407</v>
      </c>
      <c r="E6220" s="8" t="str">
        <f>IFERROR(__xludf.DUMMYFUNCTION("googletranslate(D6220,""id"",""en"")"),"Masy awareness of the vaccine already exists, just a lack of facilities from the government, so just want to sell the chimberfarma vaccine why it doesn't hurt first while for masy, if the purpose of the PPKM is the acceleration of vaccines, then extend ag"&amp;"ain.")</f>
        <v>Masy awareness of the vaccine already exists, just a lack of facilities from the government, so just want to sell the chimberfarma vaccine why it doesn't hurt first while for masy, if the purpose of the PPKM is the acceleration of vaccines, then extend again.</v>
      </c>
    </row>
    <row r="6221" ht="15.75" customHeight="1">
      <c r="A6221" s="2">
        <v>6224.0</v>
      </c>
      <c r="B6221" s="5" t="s">
        <v>11408</v>
      </c>
      <c r="C6221" s="6">
        <v>1.0</v>
      </c>
      <c r="D6221" s="9" t="s">
        <v>11409</v>
      </c>
      <c r="E6221" s="8" t="str">
        <f>IFERROR(__xludf.DUMMYFUNCTION("googletranslate(D6221,""id"",""en"")"),"It is not liquid, the DPR has worked carefully and precisely highlights the government. The life of the people's life must be until first before there is PPKM, not like this. This is already a few times the PPKM bansos just like that. More plans. Even tho"&amp;"ugh the help is not much.")</f>
        <v>It is not liquid, the DPR has worked carefully and precisely highlights the government. The life of the people's life must be until first before there is PPKM, not like this. This is already a few times the PPKM bansos just like that. More plans. Even though the help is not much.</v>
      </c>
    </row>
    <row r="6222" ht="15.75" customHeight="1">
      <c r="A6222" s="2">
        <v>6225.0</v>
      </c>
      <c r="B6222" s="5" t="s">
        <v>11410</v>
      </c>
      <c r="C6222" s="6">
        <v>2.0</v>
      </c>
      <c r="D6222" s="7" t="s">
        <v>11411</v>
      </c>
      <c r="E6222" s="8" t="str">
        <f>IFERROR(__xludf.DUMMYFUNCTION("googletranslate(D6222,""id"",""en"")"),"Just know the father of Ojak is full of Pantes can penetrate PPKM to meet Hatres.")</f>
        <v>Just know the father of Ojak is full of Pantes can penetrate PPKM to meet Hatres.</v>
      </c>
    </row>
    <row r="6223" ht="15.75" customHeight="1">
      <c r="A6223" s="2">
        <v>6226.0</v>
      </c>
      <c r="B6223" s="5" t="s">
        <v>11412</v>
      </c>
      <c r="C6223" s="6">
        <v>1.0</v>
      </c>
      <c r="D6223" s="9" t="s">
        <v>11413</v>
      </c>
      <c r="E6223" s="8" t="str">
        <f>IFERROR(__xludf.DUMMYFUNCTION("googletranslate(D6223,""id"",""en"")"),"how come there are those who participate in the PPKM regulation but their children can diselent abroad")</f>
        <v>how come there are those who participate in the PPKM regulation but their children can diselent abroad</v>
      </c>
    </row>
    <row r="6224" ht="15.75" customHeight="1">
      <c r="A6224" s="2">
        <v>6227.0</v>
      </c>
      <c r="B6224" s="5" t="s">
        <v>11414</v>
      </c>
      <c r="C6224" s="6">
        <v>1.0</v>
      </c>
      <c r="D6224" s="9" t="s">
        <v>11415</v>
      </c>
      <c r="E6224" s="8" t="str">
        <f>IFERROR(__xludf.DUMMYFUNCTION("googletranslate(D6224,""id"",""en"")"),"Quarter growth (May-June) if it looks like it's the month, it's starting to grow, many more% offices. Q3 Later it will also be likely, the effect of PPKM this July.")</f>
        <v>Quarter growth (May-June) if it looks like it's the month, it's starting to grow, many more% offices. Q3 Later it will also be likely, the effect of PPKM this July.</v>
      </c>
    </row>
    <row r="6225" ht="15.75" customHeight="1">
      <c r="A6225" s="2">
        <v>6228.0</v>
      </c>
      <c r="B6225" s="5" t="s">
        <v>11416</v>
      </c>
      <c r="C6225" s="6">
        <v>1.0</v>
      </c>
      <c r="D6225" s="7" t="s">
        <v>11417</v>
      </c>
      <c r="E6225" s="8" t="str">
        <f>IFERROR(__xludf.DUMMYFUNCTION("googletranslate(D6225,""id"",""en"")"),"Yes, it is definitely a bolt there is a Thr and the salary in June and July expenditure from employees to boost the pte, we just look after the PPKM most nyungsep again")</f>
        <v>Yes, it is definitely a bolt there is a Thr and the salary in June and July expenditure from employees to boost the pte, we just look after the PPKM most nyungsep again</v>
      </c>
    </row>
    <row r="6226" ht="15.75" customHeight="1">
      <c r="A6226" s="2">
        <v>6229.0</v>
      </c>
      <c r="B6226" s="5" t="s">
        <v>11418</v>
      </c>
      <c r="C6226" s="6">
        <v>1.0</v>
      </c>
      <c r="D6226" s="7" t="s">
        <v>11419</v>
      </c>
      <c r="E6226" s="8" t="str">
        <f>IFERROR(__xludf.DUMMYFUNCTION("googletranslate(D6226,""id"",""en"")"),"PPKM_Pranksion Pekok when is modyar")</f>
        <v>PPKM_Pranksion Pekok when is modyar</v>
      </c>
    </row>
    <row r="6227" ht="15.75" customHeight="1">
      <c r="A6227" s="2">
        <v>6230.0</v>
      </c>
      <c r="B6227" s="5" t="s">
        <v>11420</v>
      </c>
      <c r="C6227" s="6">
        <v>1.0</v>
      </c>
      <c r="D6227" s="7" t="s">
        <v>11421</v>
      </c>
      <c r="E6227" s="8" t="str">
        <f>IFERROR(__xludf.DUMMYFUNCTION("googletranslate(D6227,""id"",""en"")"),"Bikini Bottom PPKM, Crusty Crab Lonely Visitors")</f>
        <v>Bikini Bottom PPKM, Crusty Crab Lonely Visitors</v>
      </c>
    </row>
    <row r="6228" ht="15.75" customHeight="1">
      <c r="A6228" s="2">
        <v>6231.0</v>
      </c>
      <c r="B6228" s="5" t="s">
        <v>11422</v>
      </c>
      <c r="C6228" s="6">
        <v>1.0</v>
      </c>
      <c r="D6228" s="9" t="s">
        <v>11423</v>
      </c>
      <c r="E6228" s="8" t="str">
        <f>IFERROR(__xludf.DUMMYFUNCTION("googletranslate(D6228,""id"",""en"")"),"NAMTI DKI leaders if the flood will blame PPKM ...")</f>
        <v>NAMTI DKI leaders if the flood will blame PPKM ...</v>
      </c>
    </row>
    <row r="6229" ht="15.75" customHeight="1">
      <c r="A6229" s="2">
        <v>6232.0</v>
      </c>
      <c r="B6229" s="5" t="s">
        <v>11424</v>
      </c>
      <c r="C6229" s="6">
        <v>1.0</v>
      </c>
      <c r="D6229" s="7" t="s">
        <v>11424</v>
      </c>
      <c r="E6229" s="8" t="str">
        <f>IFERROR(__xludf.DUMMYFUNCTION("googletranslate(D6229,""id"",""en"")"),"Ppkm: morning morning getting mentally")</f>
        <v>Ppkm: morning morning getting mentally</v>
      </c>
    </row>
    <row r="6230" ht="15.75" customHeight="1">
      <c r="A6230" s="2">
        <v>6233.0</v>
      </c>
      <c r="B6230" s="5" t="s">
        <v>11425</v>
      </c>
      <c r="C6230" s="6">
        <v>1.0</v>
      </c>
      <c r="D6230" s="7" t="s">
        <v>11426</v>
      </c>
      <c r="E6230" s="8" t="str">
        <f>IFERROR(__xludf.DUMMYFUNCTION("googletranslate(D6230,""id"",""en"")"),"Against PPKM, horror")</f>
        <v>Against PPKM, horror</v>
      </c>
    </row>
    <row r="6231" ht="15.75" customHeight="1">
      <c r="A6231" s="2">
        <v>6234.0</v>
      </c>
      <c r="B6231" s="5" t="s">
        <v>11427</v>
      </c>
      <c r="C6231" s="6">
        <v>3.0</v>
      </c>
      <c r="D6231" s="7" t="s">
        <v>11428</v>
      </c>
      <c r="E6231" s="8" t="str">
        <f>IFERROR(__xludf.DUMMYFUNCTION("googletranslate(D6231,""id"",""en"")"),"Assalamualaikum WR WBEmatejatjatjukatkatatkatkatkatkatan The first anniversary on the month of agustustetappatuhpatuh prokespkm level still ongoing.")</f>
        <v>Assalamualaikum WR WBEmatejatjatjukatkatatkatkatkatkatan The first anniversary on the month of agustustetappatuhpatuh prokespkm level still ongoing.</v>
      </c>
    </row>
    <row r="6232" ht="15.75" customHeight="1">
      <c r="A6232" s="2">
        <v>6235.0</v>
      </c>
      <c r="B6232" s="5" t="s">
        <v>11429</v>
      </c>
      <c r="C6232" s="6">
        <v>3.0</v>
      </c>
      <c r="D6232" s="9" t="s">
        <v>11430</v>
      </c>
      <c r="E6232" s="8" t="str">
        <f>IFERROR(__xludf.DUMMYFUNCTION("googletranslate(D6232,""id"",""en"")"),"Yes, indeed the daily number decreases. Not bad makes us believe that PPKM is indeed a solution. Touch with T and M")</f>
        <v>Yes, indeed the daily number decreases. Not bad makes us believe that PPKM is indeed a solution. Touch with T and M</v>
      </c>
    </row>
    <row r="6233" ht="15.75" customHeight="1">
      <c r="A6233" s="2">
        <v>6236.0</v>
      </c>
      <c r="B6233" s="5" t="s">
        <v>11431</v>
      </c>
      <c r="C6233" s="6">
        <v>2.0</v>
      </c>
      <c r="D6233" s="7" t="s">
        <v>11431</v>
      </c>
      <c r="E6233" s="8" t="str">
        <f>IFERROR(__xludf.DUMMYFUNCTION("googletranslate(D6233,""id"",""en"")"),"Just extended PPKM, our relationship arrived here")</f>
        <v>Just extended PPKM, our relationship arrived here</v>
      </c>
    </row>
    <row r="6234" ht="15.75" customHeight="1">
      <c r="A6234" s="2">
        <v>6237.0</v>
      </c>
      <c r="B6234" s="5" t="s">
        <v>11432</v>
      </c>
      <c r="C6234" s="6">
        <v>2.0</v>
      </c>
      <c r="D6234" s="7" t="s">
        <v>11433</v>
      </c>
      <c r="E6234" s="8" t="str">
        <f>IFERROR(__xludf.DUMMYFUNCTION("googletranslate(D6234,""id"",""en"")"),"I don't have to draw because the ppkm d extends LG")</f>
        <v>I don't have to draw because the ppkm d extends LG</v>
      </c>
    </row>
    <row r="6235" ht="15.75" customHeight="1">
      <c r="A6235" s="2">
        <v>6238.0</v>
      </c>
      <c r="B6235" s="5" t="s">
        <v>11434</v>
      </c>
      <c r="C6235" s="6">
        <v>1.0</v>
      </c>
      <c r="D6235" s="7" t="s">
        <v>11435</v>
      </c>
      <c r="E6235" s="8" t="str">
        <f>IFERROR(__xludf.DUMMYFUNCTION("googletranslate(D6235,""id"",""en"")"),"Ampe PPKM is extended again, this dick is all")</f>
        <v>Ampe PPKM is extended again, this dick is all</v>
      </c>
    </row>
    <row r="6236" ht="15.75" customHeight="1">
      <c r="A6236" s="2">
        <v>6239.0</v>
      </c>
      <c r="B6236" s="5" t="s">
        <v>11436</v>
      </c>
      <c r="C6236" s="6">
        <v>1.0</v>
      </c>
      <c r="D6236" s="7" t="s">
        <v>11437</v>
      </c>
      <c r="E6236" s="8" t="str">
        <f>IFERROR(__xludf.DUMMYFUNCTION("googletranslate(D6236,""id"",""en"")"),"Effect of PPKM Rack Pay Messi Salary")</f>
        <v>Effect of PPKM Rack Pay Messi Salary</v>
      </c>
    </row>
    <row r="6237" ht="15.75" customHeight="1">
      <c r="A6237" s="2">
        <v>6240.0</v>
      </c>
      <c r="B6237" s="5" t="s">
        <v>11438</v>
      </c>
      <c r="C6237" s="6">
        <v>3.0</v>
      </c>
      <c r="D6237" s="9" t="s">
        <v>11439</v>
      </c>
      <c r="E6237" s="8" t="str">
        <f>IFERROR(__xludf.DUMMYFUNCTION("googletranslate(D6237,""id"",""en"")"),"Still resistant. It's okay. PPKM is not an obstacle but the current solution")</f>
        <v>Still resistant. It's okay. PPKM is not an obstacle but the current solution</v>
      </c>
    </row>
    <row r="6238" ht="15.75" customHeight="1">
      <c r="A6238" s="2">
        <v>6241.0</v>
      </c>
      <c r="B6238" s="5" t="s">
        <v>11440</v>
      </c>
      <c r="C6238" s="6">
        <v>3.0</v>
      </c>
      <c r="D6238" s="9" t="s">
        <v>11441</v>
      </c>
      <c r="E6238" s="8" t="str">
        <f>IFERROR(__xludf.DUMMYFUNCTION("googletranslate(D6238,""id"",""en"")"),"CALM, After PPKM Hura Until Loss Doll")</f>
        <v>CALM, After PPKM Hura Until Loss Doll</v>
      </c>
    </row>
    <row r="6239" ht="15.75" customHeight="1">
      <c r="A6239" s="2">
        <v>6242.0</v>
      </c>
      <c r="B6239" s="5" t="s">
        <v>11442</v>
      </c>
      <c r="C6239" s="6">
        <v>3.0</v>
      </c>
      <c r="D6239" s="9" t="s">
        <v>11443</v>
      </c>
      <c r="E6239" s="8" t="str">
        <f>IFERROR(__xludf.DUMMYFUNCTION("googletranslate(D6239,""id"",""en"")"),"from the beginning of the PPKM must be productive, it is not too lonely than this year")</f>
        <v>from the beginning of the PPKM must be productive, it is not too lonely than this year</v>
      </c>
    </row>
    <row r="6240" ht="15.75" customHeight="1">
      <c r="A6240" s="2">
        <v>6243.0</v>
      </c>
      <c r="B6240" s="5" t="s">
        <v>11444</v>
      </c>
      <c r="C6240" s="6">
        <v>3.0</v>
      </c>
      <c r="D6240" s="7" t="s">
        <v>11444</v>
      </c>
      <c r="E6240" s="8" t="str">
        <f>IFERROR(__xludf.DUMMYFUNCTION("googletranslate(D6240,""id"",""en"")"),"There is a lesson of this PPKM to the mall, but the traditional market TTEP has ... little by little all learns to reduce hedon and consumptive lifestyles that are not incompatible with the income .. It is better to prosper the traditional market and the "&amp;"business of fellow fellow people ...")</f>
        <v>There is a lesson of this PPKM to the mall, but the traditional market TTEP has ... little by little all learns to reduce hedon and consumptive lifestyles that are not incompatible with the income .. It is better to prosper the traditional market and the business of fellow fellow people ...</v>
      </c>
    </row>
    <row r="6241" ht="15.75" customHeight="1">
      <c r="A6241" s="2">
        <v>6244.0</v>
      </c>
      <c r="B6241" s="5" t="s">
        <v>11445</v>
      </c>
      <c r="C6241" s="6">
        <v>2.0</v>
      </c>
      <c r="D6241" s="9" t="s">
        <v>11446</v>
      </c>
      <c r="E6241" s="8" t="str">
        <f>IFERROR(__xludf.DUMMYFUNCTION("googletranslate(D6241,""id"",""en"")"),"PLIS if the ppkm tar is extended by the wee we are plis")</f>
        <v>PLIS if the ppkm tar is extended by the wee we are plis</v>
      </c>
    </row>
    <row r="6242" ht="15.75" customHeight="1">
      <c r="A6242" s="2">
        <v>6245.0</v>
      </c>
      <c r="B6242" s="5" t="s">
        <v>11447</v>
      </c>
      <c r="C6242" s="6">
        <v>2.0</v>
      </c>
      <c r="D6242" s="7" t="s">
        <v>11448</v>
      </c>
      <c r="E6242" s="8" t="str">
        <f>IFERROR(__xludf.DUMMYFUNCTION("googletranslate(D6242,""id"",""en"")"),"Ppkm or ppkn hayo wkwkw")</f>
        <v>Ppkm or ppkn hayo wkwkw</v>
      </c>
    </row>
    <row r="6243" ht="15.75" customHeight="1">
      <c r="A6243" s="2">
        <v>6246.0</v>
      </c>
      <c r="B6243" s="5" t="s">
        <v>11449</v>
      </c>
      <c r="C6243" s="6">
        <v>1.0</v>
      </c>
      <c r="D6243" s="9" t="s">
        <v>11450</v>
      </c>
      <c r="E6243" s="8" t="str">
        <f>IFERROR(__xludf.DUMMYFUNCTION("googletranslate(D6243,""id"",""en"")"),"There are friends who are still working during PPKM. He never made a mask. He always walks during the PPKM. And he said tired with PPKM. Where's the tiredness?")</f>
        <v>There are friends who are still working during PPKM. He never made a mask. He always walks during the PPKM. And he said tired with PPKM. Where's the tiredness?</v>
      </c>
    </row>
    <row r="6244" ht="15.75" customHeight="1">
      <c r="A6244" s="2">
        <v>6247.0</v>
      </c>
      <c r="B6244" s="5" t="s">
        <v>11451</v>
      </c>
      <c r="C6244" s="6">
        <v>2.0</v>
      </c>
      <c r="D6244" s="9" t="s">
        <v>11452</v>
      </c>
      <c r="E6244" s="8" t="str">
        <f>IFERROR(__xludf.DUMMYFUNCTION("googletranslate(D6244,""id"",""en"")"),"What about the start of a decreased drill reporting whether this information can reduce vigilance to Covid? or the impact of PPKM easing")</f>
        <v>What about the start of a decreased drill reporting whether this information can reduce vigilance to Covid? or the impact of PPKM easing</v>
      </c>
    </row>
    <row r="6245" ht="15.75" customHeight="1">
      <c r="A6245" s="2">
        <v>6248.0</v>
      </c>
      <c r="B6245" s="5" t="s">
        <v>11453</v>
      </c>
      <c r="C6245" s="6">
        <v>1.0</v>
      </c>
      <c r="D6245" s="7" t="s">
        <v>11454</v>
      </c>
      <c r="E6245" s="8" t="str">
        <f>IFERROR(__xludf.DUMMYFUNCTION("googletranslate(D6245,""id"",""en"")"),"This country is really chaotic. The people suffer from PPKM, still plus a force of vaccines, eh appears the artist who stressed a bikini on the new road this time in the country the majority of Muslims there are artists using bikinis on the road")</f>
        <v>This country is really chaotic. The people suffer from PPKM, still plus a force of vaccines, eh appears the artist who stressed a bikini on the new road this time in the country the majority of Muslims there are artists using bikinis on the road</v>
      </c>
    </row>
    <row r="6246" ht="15.75" customHeight="1">
      <c r="A6246" s="2">
        <v>6249.0</v>
      </c>
      <c r="B6246" s="5" t="s">
        <v>11455</v>
      </c>
      <c r="C6246" s="6">
        <v>1.0</v>
      </c>
      <c r="D6246" s="7" t="s">
        <v>11456</v>
      </c>
      <c r="E6246" s="8" t="str">
        <f>IFERROR(__xludf.DUMMYFUNCTION("googletranslate(D6246,""id"",""en"")"),"Tired of society: Thousands of people die per day, PPKM continues,")</f>
        <v>Tired of society: Thousands of people die per day, PPKM continues,</v>
      </c>
    </row>
    <row r="6247" ht="15.75" customHeight="1">
      <c r="A6247" s="2">
        <v>6250.0</v>
      </c>
      <c r="B6247" s="5" t="s">
        <v>11457</v>
      </c>
      <c r="C6247" s="6">
        <v>1.0</v>
      </c>
      <c r="D6247" s="9" t="s">
        <v>11458</v>
      </c>
      <c r="E6247" s="8" t="str">
        <f>IFERROR(__xludf.DUMMYFUNCTION("googletranslate(D6247,""id"",""en"")"),"So if it's the same as the PPKM, it's better to corruption, the sentence is lightest, get more money")</f>
        <v>So if it's the same as the PPKM, it's better to corruption, the sentence is lightest, get more money</v>
      </c>
    </row>
    <row r="6248" ht="15.75" customHeight="1">
      <c r="A6248" s="2">
        <v>6251.0</v>
      </c>
      <c r="B6248" s="5" t="s">
        <v>11459</v>
      </c>
      <c r="C6248" s="6">
        <v>2.0</v>
      </c>
      <c r="D6248" s="7" t="s">
        <v>11460</v>
      </c>
      <c r="E6248" s="8" t="str">
        <f>IFERROR(__xludf.DUMMYFUNCTION("googletranslate(D6248,""id"",""en"")"),"Yes, wah, if it's time for PPKM")</f>
        <v>Yes, wah, if it's time for PPKM</v>
      </c>
    </row>
    <row r="6249" ht="15.75" customHeight="1">
      <c r="A6249" s="2">
        <v>6252.0</v>
      </c>
      <c r="B6249" s="5" t="s">
        <v>11461</v>
      </c>
      <c r="C6249" s="6">
        <v>2.0</v>
      </c>
      <c r="D6249" s="7" t="s">
        <v>11462</v>
      </c>
      <c r="E6249" s="8" t="str">
        <f>IFERROR(__xludf.DUMMYFUNCTION("googletranslate(D6249,""id"",""en"")"),"Lately the handsome aldebaran is consistent and on point yaa..selama ppkm, i smpe tired of muji he's cute continued: echi")</f>
        <v>Lately the handsome aldebaran is consistent and on point yaa..selama ppkm, i smpe tired of muji he's cute continued: echi</v>
      </c>
    </row>
    <row r="6250" ht="15.75" customHeight="1">
      <c r="A6250" s="2">
        <v>6253.0</v>
      </c>
      <c r="B6250" s="5" t="s">
        <v>11463</v>
      </c>
      <c r="C6250" s="6">
        <v>3.0</v>
      </c>
      <c r="D6250" s="7" t="s">
        <v>11464</v>
      </c>
      <c r="E6250" s="8" t="str">
        <f>IFERROR(__xludf.DUMMYFUNCTION("googletranslate(D6250,""id"",""en"")"),"PPKM successfully descends Covit's positive case, all the efforts and hard work don't arrive in vain, we keep it with our environment by obeying the Projuran DN Government")</f>
        <v>PPKM successfully descends Covit's positive case, all the efforts and hard work don't arrive in vain, we keep it with our environment by obeying the Projuran DN Government</v>
      </c>
    </row>
    <row r="6251" ht="15.75" customHeight="1">
      <c r="A6251" s="2">
        <v>6254.0</v>
      </c>
      <c r="B6251" s="5" t="s">
        <v>11465</v>
      </c>
      <c r="C6251" s="6">
        <v>1.0</v>
      </c>
      <c r="D6251" s="7" t="s">
        <v>11465</v>
      </c>
      <c r="E6251" s="8" t="str">
        <f>IFERROR(__xludf.DUMMYFUNCTION("googletranslate(D6251,""id"",""en"")"),"the ppkm effect is really right, kofisyop friend w sampek lid even though the customer counted a lot")</f>
        <v>the ppkm effect is really right, kofisyop friend w sampek lid even though the customer counted a lot</v>
      </c>
    </row>
    <row r="6252" ht="15.75" customHeight="1">
      <c r="A6252" s="2">
        <v>6255.0</v>
      </c>
      <c r="B6252" s="5" t="s">
        <v>11466</v>
      </c>
      <c r="C6252" s="6">
        <v>2.0</v>
      </c>
      <c r="D6252" s="7" t="s">
        <v>11467</v>
      </c>
      <c r="E6252" s="8" t="str">
        <f>IFERROR(__xludf.DUMMYFUNCTION("googletranslate(D6252,""id"",""en"")"),"Working in the PPKM level and the level set by the government will receive salary subsidy assistance")</f>
        <v>Working in the PPKM level and the level set by the government will receive salary subsidy assistance</v>
      </c>
    </row>
    <row r="6253" ht="15.75" customHeight="1">
      <c r="A6253" s="2">
        <v>6256.0</v>
      </c>
      <c r="B6253" s="5" t="s">
        <v>11468</v>
      </c>
      <c r="C6253" s="6">
        <v>1.0</v>
      </c>
      <c r="D6253" s="9" t="s">
        <v>11469</v>
      </c>
      <c r="E6253" s="8" t="str">
        <f>IFERROR(__xludf.DUMMYFUNCTION("googletranslate(D6253,""id"",""en"")"),"Can anyone give an estimate, how much money came out of the billboards? If it is donated to make a PPKM affected food package, how many packages can?")</f>
        <v>Can anyone give an estimate, how much money came out of the billboards? If it is donated to make a PPKM affected food package, how many packages can?</v>
      </c>
    </row>
    <row r="6254" ht="15.75" customHeight="1">
      <c r="A6254" s="2">
        <v>6257.0</v>
      </c>
      <c r="B6254" s="5" t="s">
        <v>11470</v>
      </c>
      <c r="C6254" s="6">
        <v>1.0</v>
      </c>
      <c r="D6254" s="7" t="s">
        <v>11470</v>
      </c>
      <c r="E6254" s="8" t="str">
        <f>IFERROR(__xludf.DUMMYFUNCTION("googletranslate(D6254,""id"",""en"")"),"Scroll Tiktok contains Jogya Melle, Jogya can be briefly gakacih. Ppkm niiiiii, just moved plg2 copits. Wkwkwkkw.")</f>
        <v>Scroll Tiktok contains Jogya Melle, Jogya can be briefly gakacih. Ppkm niiiiii, just moved plg2 copits. Wkwkwkkw.</v>
      </c>
    </row>
    <row r="6255" ht="15.75" customHeight="1">
      <c r="A6255" s="2">
        <v>6258.0</v>
      </c>
      <c r="B6255" s="5" t="s">
        <v>11471</v>
      </c>
      <c r="C6255" s="6">
        <v>2.0</v>
      </c>
      <c r="D6255" s="7" t="s">
        <v>11472</v>
      </c>
      <c r="E6255" s="8" t="str">
        <f>IFERROR(__xludf.DUMMYFUNCTION("googletranslate(D6255,""id"",""en"")"),"What's good, it's up, arriving ""Announce marriage right again PPKM")</f>
        <v>What's good, it's up, arriving "Announce marriage right again PPKM</v>
      </c>
    </row>
    <row r="6256" ht="15.75" customHeight="1">
      <c r="A6256" s="2">
        <v>6259.0</v>
      </c>
      <c r="B6256" s="5" t="s">
        <v>11473</v>
      </c>
      <c r="C6256" s="6">
        <v>1.0</v>
      </c>
      <c r="D6256" s="9" t="s">
        <v>11474</v>
      </c>
      <c r="E6256" s="8" t="str">
        <f>IFERROR(__xludf.DUMMYFUNCTION("googletranslate(D6256,""id"",""en"")"),"His salary is Gada Umr. Aja PP fare is already. Blom, if it's nominated, you don't work again, it's gonteless, bro, I can pay it, you can get money.")</f>
        <v>His salary is Gada Umr. Aja PP fare is already. Blom, if it's nominated, you don't work again, it's gonteless, bro, I can pay it, you can get money.</v>
      </c>
    </row>
    <row r="6257" ht="15.75" customHeight="1">
      <c r="A6257" s="2">
        <v>6260.0</v>
      </c>
      <c r="B6257" s="5" t="s">
        <v>11475</v>
      </c>
      <c r="C6257" s="6">
        <v>2.0</v>
      </c>
      <c r="D6257" s="7" t="s">
        <v>11476</v>
      </c>
      <c r="E6257" s="8" t="str">
        <f>IFERROR(__xludf.DUMMYFUNCTION("googletranslate(D6257,""id"",""en"")"),"Is it serious about asking? PPKM Neng.")</f>
        <v>Is it serious about asking? PPKM Neng.</v>
      </c>
    </row>
    <row r="6258" ht="15.75" customHeight="1">
      <c r="A6258" s="2">
        <v>6261.0</v>
      </c>
      <c r="B6258" s="5" t="s">
        <v>11477</v>
      </c>
      <c r="C6258" s="6">
        <v>1.0</v>
      </c>
      <c r="D6258" s="9" t="s">
        <v>11478</v>
      </c>
      <c r="E6258" s="8" t="str">
        <f>IFERROR(__xludf.DUMMYFUNCTION("googletranslate(D6258,""id"",""en"")"),"The community complained of PPKM, while the politician with a feeling of not knowing ashamed, instead of installing billboards where """)</f>
        <v>The community complained of PPKM, while the politician with a feeling of not knowing ashamed, instead of installing billboards where "</v>
      </c>
    </row>
    <row r="6259" ht="15.75" customHeight="1">
      <c r="A6259" s="2">
        <v>6262.0</v>
      </c>
      <c r="B6259" s="5" t="s">
        <v>11479</v>
      </c>
      <c r="C6259" s="6">
        <v>2.0</v>
      </c>
      <c r="D6259" s="7" t="s">
        <v>11480</v>
      </c>
      <c r="E6259" s="8" t="str">
        <f>IFERROR(__xludf.DUMMYFUNCTION("googletranslate(D6259,""id"",""en"")"),"PPKM: Slowly you slowly disappear")</f>
        <v>PPKM: Slowly you slowly disappear</v>
      </c>
    </row>
    <row r="6260" ht="15.75" customHeight="1">
      <c r="A6260" s="2">
        <v>6263.0</v>
      </c>
      <c r="B6260" s="5" t="s">
        <v>11481</v>
      </c>
      <c r="C6260" s="6">
        <v>2.0</v>
      </c>
      <c r="D6260" s="7" t="s">
        <v>11482</v>
      </c>
      <c r="E6260" s="8" t="str">
        <f>IFERROR(__xludf.DUMMYFUNCTION("googletranslate(D6260,""id"",""en"")"),"PPKM / stomach chicken porridge wants to eat, just k")</f>
        <v>PPKM / stomach chicken porridge wants to eat, just k</v>
      </c>
    </row>
    <row r="6261" ht="15.75" customHeight="1">
      <c r="A6261" s="2">
        <v>6264.0</v>
      </c>
      <c r="B6261" s="5" t="s">
        <v>11483</v>
      </c>
      <c r="C6261" s="6">
        <v>1.0</v>
      </c>
      <c r="D6261" s="7" t="s">
        <v>11484</v>
      </c>
      <c r="E6261" s="8" t="str">
        <f>IFERROR(__xludf.DUMMYFUNCTION("googletranslate(D6261,""id"",""en"")"),"Again ppkm gini dragged a lot of house which is a poor yellow yellow tent diem aee hahahaa")</f>
        <v>Again ppkm gini dragged a lot of house which is a poor yellow yellow tent diem aee hahahaa</v>
      </c>
    </row>
    <row r="6262" ht="15.75" customHeight="1">
      <c r="A6262" s="2">
        <v>6265.0</v>
      </c>
      <c r="B6262" s="5" t="s">
        <v>11485</v>
      </c>
      <c r="C6262" s="6">
        <v>2.0</v>
      </c>
      <c r="D6262" s="7" t="s">
        <v>11485</v>
      </c>
      <c r="E6262" s="8" t="str">
        <f>IFERROR(__xludf.DUMMYFUNCTION("googletranslate(D6262,""id"",""en"")"),"Ppkm = morning morning mo operthinking.")</f>
        <v>Ppkm = morning morning mo operthinking.</v>
      </c>
    </row>
    <row r="6263" ht="15.75" customHeight="1">
      <c r="A6263" s="2">
        <v>6266.0</v>
      </c>
      <c r="B6263" s="5" t="s">
        <v>11486</v>
      </c>
      <c r="C6263" s="6">
        <v>2.0</v>
      </c>
      <c r="D6263" s="10" t="s">
        <v>11487</v>
      </c>
      <c r="E6263" s="8" t="str">
        <f>IFERROR(__xludf.DUMMYFUNCTION("googletranslate(D6263,""id"",""en"")"),"Lebaran PPKM")</f>
        <v>Lebaran PPKM</v>
      </c>
    </row>
    <row r="6264" ht="15.75" customHeight="1">
      <c r="A6264" s="2">
        <v>6267.0</v>
      </c>
      <c r="B6264" s="5" t="s">
        <v>11488</v>
      </c>
      <c r="C6264" s="6">
        <v>1.0</v>
      </c>
      <c r="D6264" s="10" t="s">
        <v>11489</v>
      </c>
      <c r="E6264" s="8" t="str">
        <f>IFERROR(__xludf.DUMMYFUNCTION("googletranslate(D6264,""id"",""en"")"),"PPKM ASW.")</f>
        <v>PPKM ASW.</v>
      </c>
    </row>
    <row r="6265" ht="15.75" customHeight="1">
      <c r="A6265" s="2">
        <v>6268.0</v>
      </c>
      <c r="B6265" s="5" t="s">
        <v>11490</v>
      </c>
      <c r="C6265" s="6">
        <v>3.0</v>
      </c>
      <c r="D6265" s="9" t="s">
        <v>11491</v>
      </c>
      <c r="E6265" s="8" t="str">
        <f>IFERROR(__xludf.DUMMYFUNCTION("googletranslate(D6265,""id"",""en"")"),"If again, ppkm / psbb this is a sky so it's good, maybe because the pollution is reduced")</f>
        <v>If again, ppkm / psbb this is a sky so it's good, maybe because the pollution is reduced</v>
      </c>
    </row>
    <row r="6266" ht="15.75" customHeight="1">
      <c r="A6266" s="2">
        <v>6269.0</v>
      </c>
      <c r="B6266" s="5" t="s">
        <v>11492</v>
      </c>
      <c r="C6266" s="6">
        <v>2.0</v>
      </c>
      <c r="D6266" s="7" t="s">
        <v>11493</v>
      </c>
      <c r="E6266" s="8" t="str">
        <f>IFERROR(__xludf.DUMMYFUNCTION("googletranslate(D6266,""id"",""en"")"),"PPKM police monitor student activities.")</f>
        <v>PPKM police monitor student activities.</v>
      </c>
    </row>
    <row r="6267" ht="15.75" customHeight="1">
      <c r="A6267" s="2">
        <v>6270.0</v>
      </c>
      <c r="B6267" s="5" t="s">
        <v>11494</v>
      </c>
      <c r="C6267" s="6">
        <v>1.0</v>
      </c>
      <c r="D6267" s="7" t="s">
        <v>11495</v>
      </c>
      <c r="E6267" s="8" t="str">
        <f>IFERROR(__xludf.DUMMYFUNCTION("googletranslate(D6267,""id"",""en"")"),"PPKM: Poverty Poverty Acceleration Program Small Community Pandemic")</f>
        <v>PPKM: Poverty Poverty Acceleration Program Small Community Pandemic</v>
      </c>
    </row>
    <row r="6268" ht="15.75" customHeight="1">
      <c r="A6268" s="2">
        <v>6271.0</v>
      </c>
      <c r="B6268" s="5" t="s">
        <v>11496</v>
      </c>
      <c r="C6268" s="6">
        <v>1.0</v>
      </c>
      <c r="D6268" s="9" t="s">
        <v>11496</v>
      </c>
      <c r="E6268" s="8" t="str">
        <f>IFERROR(__xludf.DUMMYFUNCTION("googletranslate(D6268,""id"",""en"")"),"Saturday morning, the weekend still ppkm comes out of saturated, saturated motion, the streets are quiet, the weather is rather brightly wanting to not enjoy it to Halang, shit!")</f>
        <v>Saturday morning, the weekend still ppkm comes out of saturated, saturated motion, the streets are quiet, the weather is rather brightly wanting to not enjoy it to Halang, shit!</v>
      </c>
    </row>
    <row r="6269" ht="15.75" customHeight="1">
      <c r="A6269" s="2">
        <v>6272.0</v>
      </c>
      <c r="B6269" s="5" t="s">
        <v>11497</v>
      </c>
      <c r="C6269" s="6">
        <v>1.0</v>
      </c>
      <c r="D6269" s="7" t="s">
        <v>11498</v>
      </c>
      <c r="E6269" s="8" t="str">
        <f>IFERROR(__xludf.DUMMYFUNCTION("googletranslate(D6269,""id"",""en"")"),"LG PPKM, DMN2 insulation. LG situation is difficult like this, but it's not made simple")</f>
        <v>LG PPKM, DMN2 insulation. LG situation is difficult like this, but it's not made simple</v>
      </c>
    </row>
    <row r="6270" ht="15.75" customHeight="1">
      <c r="A6270" s="2">
        <v>6273.0</v>
      </c>
      <c r="B6270" s="5" t="s">
        <v>11499</v>
      </c>
      <c r="C6270" s="6">
        <v>1.0</v>
      </c>
      <c r="D6270" s="7" t="s">
        <v>11499</v>
      </c>
      <c r="E6270" s="8" t="str">
        <f>IFERROR(__xludf.DUMMYFUNCTION("googletranslate(D6270,""id"",""en"")"),"Dear PPKM Already it's hard to be extended again, your length is enough for everyone tired.")</f>
        <v>Dear PPKM Already it's hard to be extended again, your length is enough for everyone tired.</v>
      </c>
    </row>
    <row r="6271" ht="15.75" customHeight="1">
      <c r="A6271" s="2">
        <v>6274.0</v>
      </c>
      <c r="B6271" s="5" t="s">
        <v>11500</v>
      </c>
      <c r="C6271" s="6">
        <v>1.0</v>
      </c>
      <c r="D6271" s="9" t="s">
        <v>11500</v>
      </c>
      <c r="E6271" s="8" t="str">
        <f>IFERROR(__xludf.DUMMYFUNCTION("googletranslate(D6271,""id"",""en"")"),"I swear if I don't have my PPKM unplug every day to the National Library. Work on a revision from there. at home make it explode")</f>
        <v>I swear if I don't have my PPKM unplug every day to the National Library. Work on a revision from there. at home make it explode</v>
      </c>
    </row>
    <row r="6272" ht="15.75" customHeight="1">
      <c r="A6272" s="2">
        <v>6275.0</v>
      </c>
      <c r="B6272" s="5" t="s">
        <v>11501</v>
      </c>
      <c r="C6272" s="6">
        <v>3.0</v>
      </c>
      <c r="D6272" s="9" t="s">
        <v>11502</v>
      </c>
      <c r="E6272" s="8" t="str">
        <f>IFERROR(__xludf.DUMMYFUNCTION("googletranslate(D6272,""id"",""en"")"),"Vidio testimonial supports PPKM activities by Taloarane Kampung Kec. Manganitu.")</f>
        <v>Vidio testimonial supports PPKM activities by Taloarane Kampung Kec. Manganitu.</v>
      </c>
    </row>
    <row r="6273" ht="15.75" customHeight="1">
      <c r="A6273" s="2">
        <v>6276.0</v>
      </c>
      <c r="B6273" s="5" t="s">
        <v>11503</v>
      </c>
      <c r="C6273" s="6">
        <v>1.0</v>
      </c>
      <c r="D6273" s="9" t="s">
        <v>11504</v>
      </c>
      <c r="E6273" s="8" t="str">
        <f>IFERROR(__xludf.DUMMYFUNCTION("googletranslate(D6273,""id"",""en"")"),"Same - samakita still not yet bs malming because there is a ppkm among us. We have coffee at each house huh")</f>
        <v>Same - samakita still not yet bs malming because there is a ppkm among us. We have coffee at each house huh</v>
      </c>
    </row>
    <row r="6274" ht="15.75" customHeight="1">
      <c r="A6274" s="2">
        <v>6277.0</v>
      </c>
      <c r="B6274" s="5" t="s">
        <v>11505</v>
      </c>
      <c r="C6274" s="6">
        <v>2.0</v>
      </c>
      <c r="D6274" s="10" t="s">
        <v>11506</v>
      </c>
      <c r="E6274" s="8" t="str">
        <f>IFERROR(__xludf.DUMMYFUNCTION("googletranslate(D6274,""id"",""en"")"),"Masi PPKM Ni.")</f>
        <v>Masi PPKM Ni.</v>
      </c>
    </row>
    <row r="6275" ht="15.75" customHeight="1">
      <c r="A6275" s="2">
        <v>6278.0</v>
      </c>
      <c r="B6275" s="5" t="s">
        <v>11507</v>
      </c>
      <c r="C6275" s="6">
        <v>1.0</v>
      </c>
      <c r="D6275" s="9" t="s">
        <v>11508</v>
      </c>
      <c r="E6275" s="8" t="str">
        <f>IFERROR(__xludf.DUMMYFUNCTION("googletranslate(D6275,""id"",""en"")"),"Prett is. Kopyor's support support. If he wants to use a bikini flying to Bali and sunbathing D Beach D Jamin is safe. The PPKM impact is millions but it doesn't stress him.")</f>
        <v>Prett is. Kopyor's support support. If he wants to use a bikini flying to Bali and sunbathing D Beach D Jamin is safe. The PPKM impact is millions but it doesn't stress him.</v>
      </c>
    </row>
    <row r="6276" ht="15.75" customHeight="1">
      <c r="A6276" s="2">
        <v>6279.0</v>
      </c>
      <c r="B6276" s="5" t="s">
        <v>11509</v>
      </c>
      <c r="C6276" s="6">
        <v>1.0</v>
      </c>
      <c r="D6276" s="7" t="s">
        <v>11510</v>
      </c>
      <c r="E6276" s="8" t="str">
        <f>IFERROR(__xludf.DUMMYFUNCTION("googletranslate(D6276,""id"",""en"")"),". I also have the same thoughts. PPKM and its derivative rules include a very Jakarta Centris vaccine certificate. Suduk Indonesia Million. YG will be vaccinated (70%) million. That will not be vaccinated (30%) million.")</f>
        <v>. I also have the same thoughts. PPKM and its derivative rules include a very Jakarta Centris vaccine certificate. Suduk Indonesia Million. YG will be vaccinated (70%) million. That will not be vaccinated (30%) million.</v>
      </c>
    </row>
    <row r="6277" ht="15.75" customHeight="1">
      <c r="A6277" s="2">
        <v>6280.0</v>
      </c>
      <c r="B6277" s="5" t="s">
        <v>11511</v>
      </c>
      <c r="C6277" s="6">
        <v>2.0</v>
      </c>
      <c r="D6277" s="9" t="s">
        <v>11512</v>
      </c>
      <c r="E6277" s="8" t="str">
        <f>IFERROR(__xludf.DUMMYFUNCTION("googletranslate(D6277,""id"",""en"")"),"At the office there is a KCP head assigned here because of his branch in the mall and close it during the PPKM. A few days ago nitip the impression of checking for his branch, continuing to confirm to the Head of me, I said ""yesterday I got to the CSO, w"&amp;"hich was a sturdy body"" Fat, my mother was not stumpy")</f>
        <v>At the office there is a KCP head assigned here because of his branch in the mall and close it during the PPKM. A few days ago nitip the impression of checking for his branch, continuing to confirm to the Head of me, I said "yesterday I got to the CSO, which was a sturdy body" Fat, my mother was not stumpy</v>
      </c>
    </row>
    <row r="6278" ht="15.75" customHeight="1">
      <c r="A6278" s="2">
        <v>6281.0</v>
      </c>
      <c r="B6278" s="5" t="s">
        <v>11513</v>
      </c>
      <c r="C6278" s="6">
        <v>3.0</v>
      </c>
      <c r="D6278" s="7" t="s">
        <v>11514</v>
      </c>
      <c r="E6278" s="8" t="str">
        <f>IFERROR(__xludf.DUMMYFUNCTION("googletranslate(D6278,""id"",""en"")"),"Rice Action and Discipline Health Protocol Effectively Reduces the Coronappkm Case Pandemic")</f>
        <v>Rice Action and Discipline Health Protocol Effectively Reduces the Coronappkm Case Pandemic</v>
      </c>
    </row>
    <row r="6279" ht="15.75" customHeight="1">
      <c r="A6279" s="2">
        <v>6282.0</v>
      </c>
      <c r="B6279" s="5" t="s">
        <v>11515</v>
      </c>
      <c r="C6279" s="6">
        <v>1.0</v>
      </c>
      <c r="D6279" s="7" t="s">
        <v>11516</v>
      </c>
      <c r="E6279" s="8" t="str">
        <f>IFERROR(__xludf.DUMMYFUNCTION("googletranslate(D6279,""id"",""en"")"),"Can you do it ... Wong we are required for the PPKM but how come you entered Trs ...?")</f>
        <v>Can you do it ... Wong we are required for the PPKM but how come you entered Trs ...?</v>
      </c>
    </row>
    <row r="6280" ht="15.75" customHeight="1">
      <c r="A6280" s="2">
        <v>6283.0</v>
      </c>
      <c r="B6280" s="5" t="s">
        <v>11517</v>
      </c>
      <c r="C6280" s="6">
        <v>1.0</v>
      </c>
      <c r="D6280" s="7" t="s">
        <v>11518</v>
      </c>
      <c r="E6280" s="8" t="str">
        <f>IFERROR(__xludf.DUMMYFUNCTION("googletranslate(D6280,""id"",""en"")"),"PPKM confused on TTUP")</f>
        <v>PPKM confused on TTUP</v>
      </c>
    </row>
    <row r="6281" ht="15.75" customHeight="1">
      <c r="A6281" s="2">
        <v>6284.0</v>
      </c>
      <c r="B6281" s="5" t="s">
        <v>11519</v>
      </c>
      <c r="C6281" s="6">
        <v>1.0</v>
      </c>
      <c r="D6281" s="9" t="s">
        <v>11520</v>
      </c>
      <c r="E6281" s="8" t="str">
        <f>IFERROR(__xludf.DUMMYFUNCTION("googletranslate(D6281,""id"",""en"")"),"This PPKM is troubling, still a lot of positive but the solution for the community economy")</f>
        <v>This PPKM is troubling, still a lot of positive but the solution for the community economy</v>
      </c>
    </row>
    <row r="6282" ht="15.75" customHeight="1">
      <c r="A6282" s="2">
        <v>6285.0</v>
      </c>
      <c r="B6282" s="5" t="s">
        <v>11521</v>
      </c>
      <c r="C6282" s="6">
        <v>2.0</v>
      </c>
      <c r="D6282" s="7" t="s">
        <v>11522</v>
      </c>
      <c r="E6282" s="8" t="str">
        <f>IFERROR(__xludf.DUMMYFUNCTION("googletranslate(D6282,""id"",""en"")"),"Ppkm (slowly you disappear)")</f>
        <v>Ppkm (slowly you disappear)</v>
      </c>
    </row>
    <row r="6283" ht="15.75" customHeight="1">
      <c r="A6283" s="2">
        <v>6286.0</v>
      </c>
      <c r="B6283" s="5" t="s">
        <v>11523</v>
      </c>
      <c r="C6283" s="6">
        <v>2.0</v>
      </c>
      <c r="D6283" s="7" t="s">
        <v>11524</v>
      </c>
      <c r="E6283" s="8" t="str">
        <f>IFERROR(__xludf.DUMMYFUNCTION("googletranslate(D6283,""id"",""en"")"),"Not level kek ppkm")</f>
        <v>Not level kek ppkm</v>
      </c>
    </row>
    <row r="6284" ht="15.75" customHeight="1">
      <c r="A6284" s="2">
        <v>6287.0</v>
      </c>
      <c r="B6284" s="5" t="s">
        <v>11525</v>
      </c>
      <c r="C6284" s="6">
        <v>2.0</v>
      </c>
      <c r="D6284" s="9" t="s">
        <v>11526</v>
      </c>
      <c r="E6284" s="8" t="str">
        <f>IFERROR(__xludf.DUMMYFUNCTION("googletranslate(D6284,""id"",""en"")"),"Hi Majr Kak, I skip it first still PPKM, Request if you are bored by Lyodra. Thanks.")</f>
        <v>Hi Majr Kak, I skip it first still PPKM, Request if you are bored by Lyodra. Thanks.</v>
      </c>
    </row>
    <row r="6285" ht="15.75" customHeight="1">
      <c r="A6285" s="2">
        <v>6288.0</v>
      </c>
      <c r="B6285" s="5" t="s">
        <v>11527</v>
      </c>
      <c r="C6285" s="6">
        <v>1.0</v>
      </c>
      <c r="D6285" s="7" t="s">
        <v>11528</v>
      </c>
      <c r="E6285" s="8" t="str">
        <f>IFERROR(__xludf.DUMMYFUNCTION("googletranslate(D6285,""id"",""en"")"),"Want Karokean Yaa God. When this ppkm ends")</f>
        <v>Want Karokean Yaa God. When this ppkm ends</v>
      </c>
    </row>
    <row r="6286" ht="15.75" customHeight="1">
      <c r="A6286" s="2">
        <v>6289.0</v>
      </c>
      <c r="B6286" s="5" t="s">
        <v>11529</v>
      </c>
      <c r="C6286" s="6">
        <v>1.0</v>
      </c>
      <c r="D6286" s="7" t="s">
        <v>11530</v>
      </c>
      <c r="E6286" s="8" t="str">
        <f>IFERROR(__xludf.DUMMYFUNCTION("googletranslate(D6286,""id"",""en"")"),"Praise God gmn..dr yesterday and not yet empty..cn the handling budget still keeps the road ... the ... the..duitnya for what to try? PPKM JG Perpnjang continues to remain liquid budget")</f>
        <v>Praise God gmn..dr yesterday and not yet empty..cn the handling budget still keeps the road ... the ... the..duitnya for what to try? PPKM JG Perpnjang continues to remain liquid budget</v>
      </c>
    </row>
    <row r="6287" ht="15.75" customHeight="1">
      <c r="A6287" s="2">
        <v>6290.0</v>
      </c>
      <c r="B6287" s="5" t="s">
        <v>11531</v>
      </c>
      <c r="C6287" s="6">
        <v>2.0</v>
      </c>
      <c r="D6287" s="12" t="s">
        <v>11532</v>
      </c>
      <c r="E6287" s="8" t="str">
        <f>IFERROR(__xludf.DUMMYFUNCTION("googletranslate(D6287,""id"",""en"")"),"ppkm slur wkwk.")</f>
        <v>ppkm slur wkwk.</v>
      </c>
    </row>
    <row r="6288" ht="15.75" customHeight="1">
      <c r="A6288" s="2">
        <v>6291.0</v>
      </c>
      <c r="B6288" s="5" t="s">
        <v>11533</v>
      </c>
      <c r="C6288" s="6">
        <v>1.0</v>
      </c>
      <c r="D6288" s="7" t="s">
        <v>11533</v>
      </c>
      <c r="E6288" s="8" t="str">
        <f>IFERROR(__xludf.DUMMYFUNCTION("googletranslate(D6288,""id"",""en"")"),"Ppkm until all the closed")</f>
        <v>Ppkm until all the closed</v>
      </c>
    </row>
    <row r="6289" ht="15.75" customHeight="1">
      <c r="A6289" s="2">
        <v>6292.0</v>
      </c>
      <c r="B6289" s="5" t="s">
        <v>11534</v>
      </c>
      <c r="C6289" s="6">
        <v>1.0</v>
      </c>
      <c r="D6289" s="7" t="s">
        <v>11535</v>
      </c>
      <c r="E6289" s="8" t="str">
        <f>IFERROR(__xludf.DUMMYFUNCTION("googletranslate(D6289,""id"",""en"")"),"Sad, Padhal again PPKM Level, how we want to be free from Corona")</f>
        <v>Sad, Padhal again PPKM Level, how we want to be free from Corona</v>
      </c>
    </row>
    <row r="6290" ht="15.75" customHeight="1">
      <c r="A6290" s="2">
        <v>6293.0</v>
      </c>
      <c r="B6290" s="5" t="s">
        <v>11536</v>
      </c>
      <c r="C6290" s="6">
        <v>1.0</v>
      </c>
      <c r="D6290" s="9" t="s">
        <v>11537</v>
      </c>
      <c r="E6290" s="8" t="str">
        <f>IFERROR(__xludf.DUMMYFUNCTION("googletranslate(D6290,""id"",""en"")"),"Wkwk ... it's empty ... do you want to be PPKM Mulu ?? For what try ... it's just a patient with a healthy healthy patient ... the morning exercise ... the budget is great for what to try? Dispose of money ... Amid the misery of the small people of Nyri m"&amp;"oney.")</f>
        <v>Wkwk ... it's empty ... do you want to be PPKM Mulu ?? For what try ... it's just a patient with a healthy healthy patient ... the morning exercise ... the budget is great for what to try? Dispose of money ... Amid the misery of the small people of Nyri money.</v>
      </c>
    </row>
    <row r="6291" ht="15.75" customHeight="1">
      <c r="A6291" s="2">
        <v>6294.0</v>
      </c>
      <c r="B6291" s="5" t="s">
        <v>11538</v>
      </c>
      <c r="C6291" s="6">
        <v>1.0</v>
      </c>
      <c r="D6291" s="7" t="s">
        <v>11539</v>
      </c>
      <c r="E6291" s="8" t="str">
        <f>IFERROR(__xludf.DUMMYFUNCTION("googletranslate(D6291,""id"",""en"")"),"Want to be able to go around Jogja again, Allah ... PLIS Mr. President ... Kasian JG is a traditional person, the person who is looking for daily money. Ayok gave the ppkm")</f>
        <v>Want to be able to go around Jogja again, Allah ... PLIS Mr. President ... Kasian JG is a traditional person, the person who is looking for daily money. Ayok gave the ppkm</v>
      </c>
    </row>
    <row r="6292" ht="15.75" customHeight="1">
      <c r="A6292" s="2">
        <v>6295.0</v>
      </c>
      <c r="B6292" s="5" t="s">
        <v>11540</v>
      </c>
      <c r="C6292" s="6">
        <v>1.0</v>
      </c>
      <c r="D6292" s="7" t="s">
        <v>11541</v>
      </c>
      <c r="E6292" s="8" t="str">
        <f>IFERROR(__xludf.DUMMYFUNCTION("googletranslate(D6292,""id"",""en"")"),"ppkm gabisa everywhere huee")</f>
        <v>ppkm gabisa everywhere huee</v>
      </c>
    </row>
    <row r="6293" ht="15.75" customHeight="1">
      <c r="A6293" s="2">
        <v>6296.0</v>
      </c>
      <c r="B6293" s="5" t="s">
        <v>11542</v>
      </c>
      <c r="C6293" s="6">
        <v>2.0</v>
      </c>
      <c r="D6293" s="9" t="s">
        <v>11542</v>
      </c>
      <c r="E6293" s="8" t="str">
        <f>IFERROR(__xludf.DUMMYFUNCTION("googletranslate(D6293,""id"",""en"")"),"Rancaupas has opened it yet, if it's a ppkm gini?")</f>
        <v>Rancaupas has opened it yet, if it's a ppkm gini?</v>
      </c>
    </row>
    <row r="6294" ht="15.75" customHeight="1">
      <c r="A6294" s="2">
        <v>6297.0</v>
      </c>
      <c r="B6294" s="5" t="s">
        <v>11543</v>
      </c>
      <c r="C6294" s="6">
        <v>2.0</v>
      </c>
      <c r="D6294" s="7" t="s">
        <v>11544</v>
      </c>
      <c r="E6294" s="8" t="str">
        <f>IFERROR(__xludf.DUMMYFUNCTION("googletranslate(D6294,""id"",""en"")"),"Good very morning! Today my sister married PPKM Version")</f>
        <v>Good very morning! Today my sister married PPKM Version</v>
      </c>
    </row>
    <row r="6295" ht="15.75" customHeight="1">
      <c r="A6295" s="2">
        <v>6298.0</v>
      </c>
      <c r="B6295" s="5" t="s">
        <v>11545</v>
      </c>
      <c r="C6295" s="6">
        <v>2.0</v>
      </c>
      <c r="D6295" s="7" t="s">
        <v>11546</v>
      </c>
      <c r="E6295" s="8" t="str">
        <f>IFERROR(__xludf.DUMMYFUNCTION("googletranslate(D6295,""id"",""en"")"),"Say still PPKM")</f>
        <v>Say still PPKM</v>
      </c>
    </row>
    <row r="6296" ht="15.75" customHeight="1">
      <c r="A6296" s="2">
        <v>6299.0</v>
      </c>
      <c r="B6296" s="5" t="s">
        <v>11547</v>
      </c>
      <c r="C6296" s="6">
        <v>2.0</v>
      </c>
      <c r="D6296" s="7" t="s">
        <v>11547</v>
      </c>
      <c r="E6296" s="8" t="str">
        <f>IFERROR(__xludf.DUMMYFUNCTION("googletranslate(D6296,""id"",""en"")"),"Blm vaccine, to Jekardah, at the end of the PPKM, Weekend too. hopefully it's not hit by raids amen hahaha")</f>
        <v>Blm vaccine, to Jekardah, at the end of the PPKM, Weekend too. hopefully it's not hit by raids amen hahaha</v>
      </c>
    </row>
    <row r="6297" ht="15.75" customHeight="1">
      <c r="A6297" s="2">
        <v>6300.0</v>
      </c>
      <c r="B6297" s="5" t="s">
        <v>11548</v>
      </c>
      <c r="C6297" s="6">
        <v>1.0</v>
      </c>
      <c r="D6297" s="7" t="s">
        <v>11548</v>
      </c>
      <c r="E6297" s="8" t="str">
        <f>IFERROR(__xludf.DUMMYFUNCTION("googletranslate(D6297,""id"",""en"")"),"Seeing the situation and condition of the people who have the right PPKM there are also those who are rksen in billboards even though he is the number one person in the DPR Wah Jian GK deserves Blas")</f>
        <v>Seeing the situation and condition of the people who have the right PPKM there are also those who are rksen in billboards even though he is the number one person in the DPR Wah Jian GK deserves Blas</v>
      </c>
    </row>
    <row r="6298" ht="15.75" customHeight="1">
      <c r="A6298" s="2">
        <v>6301.0</v>
      </c>
      <c r="B6298" s="5" t="s">
        <v>11549</v>
      </c>
      <c r="C6298" s="6">
        <v>3.0</v>
      </c>
      <c r="D6298" s="7" t="s">
        <v>11550</v>
      </c>
      <c r="E6298" s="8" t="str">
        <f>IFERROR(__xludf.DUMMYFUNCTION("googletranslate(D6298,""id"",""en"")"),"Let's support PPKM")</f>
        <v>Let's support PPKM</v>
      </c>
    </row>
    <row r="6299" ht="15.75" customHeight="1">
      <c r="A6299" s="2">
        <v>6302.0</v>
      </c>
      <c r="B6299" s="5" t="s">
        <v>11551</v>
      </c>
      <c r="C6299" s="6">
        <v>1.0</v>
      </c>
      <c r="D6299" s="7" t="s">
        <v>11552</v>
      </c>
      <c r="E6299" s="8" t="str">
        <f>IFERROR(__xludf.DUMMYFUNCTION("googletranslate(D6299,""id"",""en"")"),"Yes, I'm not picking up the usual place. Yes, it doesn't work, tired at Teros's house. (Because of the old PPKM so it's not a sane gini)")</f>
        <v>Yes, I'm not picking up the usual place. Yes, it doesn't work, tired at Teros's house. (Because of the old PPKM so it's not a sane gini)</v>
      </c>
    </row>
    <row r="6300" ht="15.75" customHeight="1">
      <c r="A6300" s="2">
        <v>6303.0</v>
      </c>
      <c r="B6300" s="5" t="s">
        <v>11553</v>
      </c>
      <c r="C6300" s="6">
        <v>1.0</v>
      </c>
      <c r="D6300" s="7" t="s">
        <v>11554</v>
      </c>
      <c r="E6300" s="8" t="str">
        <f>IFERROR(__xludf.DUMMYFUNCTION("googletranslate(D6300,""id"",""en"")"),"Try the Candy Dinar comment on the PPKM protest bikini, the police also can with? We have religious norms and social norms adabtism")</f>
        <v>Try the Candy Dinar comment on the PPKM protest bikini, the police also can with? We have religious norms and social norms adabtism</v>
      </c>
    </row>
    <row r="6301" ht="15.75" customHeight="1">
      <c r="A6301" s="2">
        <v>6304.0</v>
      </c>
      <c r="B6301" s="5" t="s">
        <v>11555</v>
      </c>
      <c r="C6301" s="6">
        <v>2.0</v>
      </c>
      <c r="D6301" s="9" t="s">
        <v>11556</v>
      </c>
      <c r="E6301" s="8" t="str">
        <f>IFERROR(__xludf.DUMMYFUNCTION("googletranslate(D6301,""id"",""en"")"),"Good luck. From me who has not followed the Labor BPJS and is currently PPKM Level")</f>
        <v>Good luck. From me who has not followed the Labor BPJS and is currently PPKM Level</v>
      </c>
    </row>
    <row r="6302" ht="15.75" customHeight="1">
      <c r="A6302" s="2">
        <v>6305.0</v>
      </c>
      <c r="B6302" s="5" t="s">
        <v>11557</v>
      </c>
      <c r="C6302" s="6">
        <v>2.0</v>
      </c>
      <c r="D6302" s="7" t="s">
        <v>11558</v>
      </c>
      <c r="E6302" s="8" t="str">
        <f>IFERROR(__xludf.DUMMYFUNCTION("googletranslate(D6302,""id"",""en"")"),"most PPKM causes you to not distinguish which one is the anime")</f>
        <v>most PPKM causes you to not distinguish which one is the anime</v>
      </c>
    </row>
    <row r="6303" ht="15.75" customHeight="1">
      <c r="A6303" s="2">
        <v>6306.0</v>
      </c>
      <c r="B6303" s="5" t="s">
        <v>11559</v>
      </c>
      <c r="C6303" s="6">
        <v>3.0</v>
      </c>
      <c r="D6303" s="9" t="s">
        <v>11560</v>
      </c>
      <c r="E6303" s="8" t="str">
        <f>IFERROR(__xludf.DUMMYFUNCTION("googletranslate(D6303,""id"",""en"")"),"But Alhamdulillah, how come God loves with me, until now it has begun at home and this PPKM gapernah leaves Samsek's house because it makes it lazy. Then the prokes still guard it maybe the addition of prayer prayers every day which let me ask for healthy"&amp;" w")</f>
        <v>But Alhamdulillah, how come God loves with me, until now it has begun at home and this PPKM gapernah leaves Samsek's house because it makes it lazy. Then the prokes still guard it maybe the addition of prayer prayers every day which let me ask for healthy w</v>
      </c>
    </row>
    <row r="6304" ht="15.75" customHeight="1">
      <c r="A6304" s="2">
        <v>6307.0</v>
      </c>
      <c r="B6304" s="5" t="s">
        <v>11561</v>
      </c>
      <c r="C6304" s="6">
        <v>1.0</v>
      </c>
      <c r="D6304" s="7" t="s">
        <v>11562</v>
      </c>
      <c r="E6304" s="8" t="str">
        <f>IFERROR(__xludf.DUMMYFUNCTION("googletranslate(D6304,""id"",""en"")"),"miss day off without ppkm or insurry or anything. Want to be free Yaallah")</f>
        <v>miss day off without ppkm or insurry or anything. Want to be free Yaallah</v>
      </c>
    </row>
    <row r="6305" ht="15.75" customHeight="1">
      <c r="A6305" s="2">
        <v>6308.0</v>
      </c>
      <c r="B6305" s="5" t="s">
        <v>11563</v>
      </c>
      <c r="C6305" s="6">
        <v>1.0</v>
      </c>
      <c r="D6305" s="9" t="s">
        <v>11564</v>
      </c>
      <c r="E6305" s="8" t="str">
        <f>IFERROR(__xludf.DUMMYFUNCTION("googletranslate(D6305,""id"",""en"")"),"So Mantai Rindu, please PPKM KPN Game Over")</f>
        <v>So Mantai Rindu, please PPKM KPN Game Over</v>
      </c>
    </row>
    <row r="6306" ht="15.75" customHeight="1">
      <c r="A6306" s="2">
        <v>6309.0</v>
      </c>
      <c r="B6306" s="5" t="s">
        <v>11565</v>
      </c>
      <c r="C6306" s="6">
        <v>2.0</v>
      </c>
      <c r="D6306" s="7" t="s">
        <v>11565</v>
      </c>
      <c r="E6306" s="8" t="str">
        <f>IFERROR(__xludf.DUMMYFUNCTION("googletranslate(D6306,""id"",""en"")"),"Miniso kl lg ppkm gini open gasi")</f>
        <v>Miniso kl lg ppkm gini open gasi</v>
      </c>
    </row>
    <row r="6307" ht="15.75" customHeight="1">
      <c r="A6307" s="2">
        <v>6310.0</v>
      </c>
      <c r="B6307" s="5" t="s">
        <v>11566</v>
      </c>
      <c r="C6307" s="6">
        <v>2.0</v>
      </c>
      <c r="D6307" s="7" t="s">
        <v>11567</v>
      </c>
      <c r="E6307" s="8" t="str">
        <f>IFERROR(__xludf.DUMMYFUNCTION("googletranslate(D6307,""id"",""en"")"),"Let's Active Again Abis PPKM")</f>
        <v>Let's Active Again Abis PPKM</v>
      </c>
    </row>
    <row r="6308" ht="15.75" customHeight="1">
      <c r="A6308" s="2">
        <v>6311.0</v>
      </c>
      <c r="B6308" s="5" t="s">
        <v>11568</v>
      </c>
      <c r="C6308" s="6">
        <v>2.0</v>
      </c>
      <c r="D6308" s="7" t="s">
        <v>11569</v>
      </c>
      <c r="E6308" s="8" t="str">
        <f>IFERROR(__xludf.DUMMYFUNCTION("googletranslate(D6308,""id"",""en"")"),"Meet Yukk Abis PPKM")</f>
        <v>Meet Yukk Abis PPKM</v>
      </c>
    </row>
    <row r="6309" ht="15.75" customHeight="1">
      <c r="A6309" s="2">
        <v>6312.0</v>
      </c>
      <c r="B6309" s="5" t="s">
        <v>11570</v>
      </c>
      <c r="C6309" s="6">
        <v>2.0</v>
      </c>
      <c r="D6309" s="7" t="s">
        <v>11571</v>
      </c>
      <c r="E6309" s="8" t="str">
        <f>IFERROR(__xludf.DUMMYFUNCTION("googletranslate(D6309,""id"",""en"")"),"okay. Abis PPKM is finished.")</f>
        <v>okay. Abis PPKM is finished.</v>
      </c>
    </row>
    <row r="6310" ht="15.75" customHeight="1">
      <c r="A6310" s="2">
        <v>6313.0</v>
      </c>
      <c r="B6310" s="5" t="s">
        <v>11572</v>
      </c>
      <c r="C6310" s="6">
        <v>1.0</v>
      </c>
      <c r="D6310" s="9" t="s">
        <v>11573</v>
      </c>
      <c r="E6310" s="8" t="str">
        <f>IFERROR(__xludf.DUMMYFUNCTION("googletranslate(D6310,""id"",""en"")"),"Dine in ketoprak subscribers pls his brother Gamau open if again ppkm")</f>
        <v>Dine in ketoprak subscribers pls his brother Gamau open if again ppkm</v>
      </c>
    </row>
    <row r="6311" ht="15.75" customHeight="1">
      <c r="A6311" s="2">
        <v>6314.0</v>
      </c>
      <c r="B6311" s="5" t="s">
        <v>11574</v>
      </c>
      <c r="C6311" s="6">
        <v>3.0</v>
      </c>
      <c r="D6311" s="10" t="s">
        <v>10555</v>
      </c>
      <c r="E6311" s="8" t="str">
        <f>IFERROR(__xludf.DUMMYFUNCTION("googletranslate(D6311,""id"",""en"")"),"Obey PPKM")</f>
        <v>Obey PPKM</v>
      </c>
    </row>
    <row r="6312" ht="15.75" customHeight="1">
      <c r="A6312" s="2">
        <v>6315.0</v>
      </c>
      <c r="B6312" s="5" t="s">
        <v>11575</v>
      </c>
      <c r="C6312" s="6">
        <v>3.0</v>
      </c>
      <c r="D6312" s="7" t="s">
        <v>11576</v>
      </c>
      <c r="E6312" s="8" t="str">
        <f>IFERROR(__xludf.DUMMYFUNCTION("googletranslate(D6312,""id"",""en"")"),"The implementation of Emergency PPKM gradually shows the results and one of them is a decrease in mobility and decreased the number of daily cases.")</f>
        <v>The implementation of Emergency PPKM gradually shows the results and one of them is a decrease in mobility and decreased the number of daily cases.</v>
      </c>
    </row>
    <row r="6313" ht="15.75" customHeight="1">
      <c r="A6313" s="2">
        <v>6316.0</v>
      </c>
      <c r="B6313" s="5" t="s">
        <v>11577</v>
      </c>
      <c r="C6313" s="6">
        <v>2.0</v>
      </c>
      <c r="D6313" s="10" t="s">
        <v>11578</v>
      </c>
      <c r="E6313" s="8" t="str">
        <f>IFERROR(__xludf.DUMMYFUNCTION("googletranslate(D6313,""id"",""en"")"),"MSI PPKM.")</f>
        <v>MSI PPKM.</v>
      </c>
    </row>
    <row r="6314" ht="15.75" customHeight="1">
      <c r="A6314" s="2">
        <v>6317.0</v>
      </c>
      <c r="B6314" s="5" t="s">
        <v>11579</v>
      </c>
      <c r="C6314" s="6">
        <v>1.0</v>
      </c>
      <c r="D6314" s="7" t="s">
        <v>11580</v>
      </c>
      <c r="E6314" s="8" t="str">
        <f>IFERROR(__xludf.DUMMYFUNCTION("googletranslate(D6314,""id"",""en"")"),"PPKM: The beginning of Jokowi's fall? (2)")</f>
        <v>PPKM: The beginning of Jokowi's fall? (2)</v>
      </c>
    </row>
    <row r="6315" ht="15.75" customHeight="1">
      <c r="A6315" s="2">
        <v>6318.0</v>
      </c>
      <c r="B6315" s="5" t="s">
        <v>11581</v>
      </c>
      <c r="C6315" s="6">
        <v>3.0</v>
      </c>
      <c r="D6315" s="7" t="s">
        <v>11582</v>
      </c>
      <c r="E6315" s="8" t="str">
        <f>IFERROR(__xludf.DUMMYFUNCTION("googletranslate(D6315,""id"",""en"")"),"With enthusiasm upholding Prokes ... obeying the Rules of the PPKM we believe there will be a decrease in positive cases of coupled-19 ... where and whenever it continues to obey it ...")</f>
        <v>With enthusiasm upholding Prokes ... obeying the Rules of the PPKM we believe there will be a decrease in positive cases of coupled-19 ... where and whenever it continues to obey it ...</v>
      </c>
    </row>
    <row r="6316" ht="15.75" customHeight="1">
      <c r="A6316" s="2">
        <v>6319.0</v>
      </c>
      <c r="B6316" s="5" t="s">
        <v>11583</v>
      </c>
      <c r="C6316" s="6">
        <v>3.0</v>
      </c>
      <c r="D6316" s="9" t="s">
        <v>11584</v>
      </c>
      <c r="E6316" s="8" t="str">
        <f>IFERROR(__xludf.DUMMYFUNCTION("googletranslate(D6316,""id"",""en"")"),"PPKM successfully limits DN preventing the couplet surge. But we have to. Come on, don't be ignorant. Copit keeps lurking.")</f>
        <v>PPKM successfully limits DN preventing the couplet surge. But we have to. Come on, don't be ignorant. Copit keeps lurking.</v>
      </c>
    </row>
    <row r="6317" ht="15.75" customHeight="1">
      <c r="A6317" s="2">
        <v>6320.0</v>
      </c>
      <c r="B6317" s="5" t="s">
        <v>11585</v>
      </c>
      <c r="C6317" s="6">
        <v>2.0</v>
      </c>
      <c r="D6317" s="9" t="s">
        <v>11586</v>
      </c>
      <c r="E6317" s="8" t="str">
        <f>IFERROR(__xludf.DUMMYFUNCTION("googletranslate(D6317,""id"",""en"")"),"morning the world ... just this time came out since PPKM: BTW, in the sky there was whale")</f>
        <v>morning the world ... just this time came out since PPKM: BTW, in the sky there was whale</v>
      </c>
    </row>
    <row r="6318" ht="15.75" customHeight="1">
      <c r="A6318" s="2">
        <v>6321.0</v>
      </c>
      <c r="B6318" s="5" t="s">
        <v>11587</v>
      </c>
      <c r="C6318" s="6">
        <v>2.0</v>
      </c>
      <c r="D6318" s="10" t="s">
        <v>11588</v>
      </c>
      <c r="E6318" s="8" t="str">
        <f>IFERROR(__xludf.DUMMYFUNCTION("googletranslate(D6318,""id"",""en"")"),"Duta PPKM.")</f>
        <v>Duta PPKM.</v>
      </c>
    </row>
    <row r="6319" ht="15.75" customHeight="1">
      <c r="A6319" s="2">
        <v>6322.0</v>
      </c>
      <c r="B6319" s="5" t="s">
        <v>11589</v>
      </c>
      <c r="C6319" s="6">
        <v>2.0</v>
      </c>
      <c r="D6319" s="10" t="s">
        <v>11590</v>
      </c>
      <c r="E6319" s="8" t="str">
        <f>IFERROR(__xludf.DUMMYFUNCTION("googletranslate(D6319,""id"",""en"")"),"PPKM OG.")</f>
        <v>PPKM OG.</v>
      </c>
    </row>
    <row r="6320" ht="15.75" customHeight="1">
      <c r="A6320" s="2">
        <v>6323.0</v>
      </c>
      <c r="B6320" s="5" t="s">
        <v>11591</v>
      </c>
      <c r="C6320" s="6">
        <v>1.0</v>
      </c>
      <c r="D6320" s="7" t="s">
        <v>11591</v>
      </c>
      <c r="E6320" s="8" t="str">
        <f>IFERROR(__xludf.DUMMYFUNCTION("googletranslate(D6320,""id"",""en"")"),"ppkm hours sleep so it's not normal")</f>
        <v>ppkm hours sleep so it's not normal</v>
      </c>
    </row>
    <row r="6321" ht="15.75" customHeight="1">
      <c r="A6321" s="2">
        <v>6324.0</v>
      </c>
      <c r="B6321" s="5" t="s">
        <v>11592</v>
      </c>
      <c r="C6321" s="6">
        <v>3.0</v>
      </c>
      <c r="D6321" s="7" t="s">
        <v>11593</v>
      </c>
      <c r="E6321" s="8" t="str">
        <f>IFERROR(__xludf.DUMMYFUNCTION("googletranslate(D6321,""id"",""en"")"),"Rule PPKM Level S / D PPKM Levels are applied for goodness, health and safety together.")</f>
        <v>Rule PPKM Level S / D PPKM Levels are applied for goodness, health and safety together.</v>
      </c>
    </row>
    <row r="6322" ht="15.75" customHeight="1">
      <c r="A6322" s="2">
        <v>6325.0</v>
      </c>
      <c r="B6322" s="5" t="s">
        <v>11594</v>
      </c>
      <c r="C6322" s="6">
        <v>3.0</v>
      </c>
      <c r="D6322" s="7" t="s">
        <v>11595</v>
      </c>
      <c r="E6322" s="8" t="str">
        <f>IFERROR(__xludf.DUMMYFUNCTION("googletranslate(D6322,""id"",""en"")"),"BISMILLAH MIARA KARNIVORE PLANTS TO PPKM MORE ENJOY")</f>
        <v>BISMILLAH MIARA KARNIVORE PLANTS TO PPKM MORE ENJOY</v>
      </c>
    </row>
    <row r="6323" ht="15.75" customHeight="1">
      <c r="A6323" s="2">
        <v>6326.0</v>
      </c>
      <c r="B6323" s="5" t="s">
        <v>11596</v>
      </c>
      <c r="C6323" s="6">
        <v>3.0</v>
      </c>
      <c r="D6323" s="9" t="s">
        <v>11597</v>
      </c>
      <c r="E6323" s="8" t="str">
        <f>IFERROR(__xludf.DUMMYFUNCTION("googletranslate(D6323,""id"",""en"")"),"Come on, support and carry out vaccinations to accelerate the realization of Herd Immunity and don't be saggy to keep healthy health protocols both effectively make Indonesia healthy without Kovid and accelerate PPKM easing")</f>
        <v>Come on, support and carry out vaccinations to accelerate the realization of Herd Immunity and don't be saggy to keep healthy health protocols both effectively make Indonesia healthy without Kovid and accelerate PPKM easing</v>
      </c>
    </row>
    <row r="6324" ht="15.75" customHeight="1">
      <c r="A6324" s="2">
        <v>6327.0</v>
      </c>
      <c r="B6324" s="5" t="s">
        <v>11598</v>
      </c>
      <c r="C6324" s="6">
        <v>3.0</v>
      </c>
      <c r="D6324" s="7" t="s">
        <v>11599</v>
      </c>
      <c r="E6324" s="8" t="str">
        <f>IFERROR(__xludf.DUMMYFUNCTION("googletranslate(D6324,""id"",""en"")"),"Enforcement of Successful Levels of Community Activities (PPKM) Restrictions Successfully in Reducing Case Country Rate and Death Due to Virus Kovid")</f>
        <v>Enforcement of Successful Levels of Community Activities (PPKM) Restrictions Successfully in Reducing Case Country Rate and Death Due to Virus Kovid</v>
      </c>
    </row>
    <row r="6325" ht="15.75" customHeight="1">
      <c r="A6325" s="2">
        <v>6328.0</v>
      </c>
      <c r="B6325" s="5" t="s">
        <v>11600</v>
      </c>
      <c r="C6325" s="6">
        <v>3.0</v>
      </c>
      <c r="D6325" s="7" t="s">
        <v>11601</v>
      </c>
      <c r="E6325" s="8" t="str">
        <f>IFERROR(__xludf.DUMMYFUNCTION("googletranslate(D6325,""id"",""en"")"),"This policy was taken by the government even though it was actually based on the data it was owned, the spread of the CVD19 case had begun to decrease after the PPKM level was run ... but still prokes remember M")</f>
        <v>This policy was taken by the government even though it was actually based on the data it was owned, the spread of the CVD19 case had begun to decrease after the PPKM level was run ... but still prokes remember M</v>
      </c>
    </row>
    <row r="6326" ht="15.75" customHeight="1">
      <c r="A6326" s="2">
        <v>6329.0</v>
      </c>
      <c r="B6326" s="5" t="s">
        <v>11602</v>
      </c>
      <c r="C6326" s="6">
        <v>3.0</v>
      </c>
      <c r="D6326" s="9" t="s">
        <v>11603</v>
      </c>
      <c r="E6326" s="8" t="str">
        <f>IFERROR(__xludf.DUMMYFUNCTION("googletranslate(D6326,""id"",""en"")"),"The spread of the CVD-19 case has begun to decrease after PPKM Level runs, it has started flattening and decreases, but this must be careful because it is still fluctuating in the future, it is still obeying the prokes is important, Gaes.")</f>
        <v>The spread of the CVD-19 case has begun to decrease after PPKM Level runs, it has started flattening and decreases, but this must be careful because it is still fluctuating in the future, it is still obeying the prokes is important, Gaes.</v>
      </c>
    </row>
    <row r="6327" ht="15.75" customHeight="1">
      <c r="A6327" s="2">
        <v>6330.0</v>
      </c>
      <c r="B6327" s="5" t="s">
        <v>11604</v>
      </c>
      <c r="C6327" s="6">
        <v>1.0</v>
      </c>
      <c r="D6327" s="7" t="s">
        <v>11605</v>
      </c>
      <c r="E6327" s="8" t="str">
        <f>IFERROR(__xludf.DUMMYFUNCTION("googletranslate(D6327,""id"",""en"")"),"Replace the PSBB skin so PPKM: PSBB is in the Karatina Law but the Law is not used, it is better to change the name PPKM rather than contract action. Why?")</f>
        <v>Replace the PSBB skin so PPKM: PSBB is in the Karatina Law but the Law is not used, it is better to change the name PPKM rather than contract action. Why?</v>
      </c>
    </row>
    <row r="6328" ht="15.75" customHeight="1">
      <c r="A6328" s="2">
        <v>6331.0</v>
      </c>
      <c r="B6328" s="5" t="s">
        <v>11606</v>
      </c>
      <c r="C6328" s="6">
        <v>3.0</v>
      </c>
      <c r="D6328" s="7" t="s">
        <v>11607</v>
      </c>
      <c r="E6328" s="8" t="str">
        <f>IFERROR(__xludf.DUMMYFUNCTION("googletranslate(D6328,""id"",""en"")"),"Proven to a decrease in positive cases / daily numbers has declined DM since the PPKM is applied. So, our smestiya supports the relevant efforts to take effect on the KNKI which is extended to extend in July.")</f>
        <v>Proven to a decrease in positive cases / daily numbers has declined DM since the PPKM is applied. So, our smestiya supports the relevant efforts to take effect on the KNKI which is extended to extend in July.</v>
      </c>
    </row>
    <row r="6329" ht="15.75" customHeight="1">
      <c r="A6329" s="2">
        <v>6332.0</v>
      </c>
      <c r="B6329" s="5" t="s">
        <v>11608</v>
      </c>
      <c r="C6329" s="6">
        <v>2.0</v>
      </c>
      <c r="D6329" s="7" t="s">
        <v>11609</v>
      </c>
      <c r="E6329" s="8" t="str">
        <f>IFERROR(__xludf.DUMMYFUNCTION("googletranslate(D6329,""id"",""en"")"),"PPKM level until the date")</f>
        <v>PPKM level until the date</v>
      </c>
    </row>
    <row r="6330" ht="15.75" customHeight="1">
      <c r="A6330" s="2">
        <v>6333.0</v>
      </c>
      <c r="B6330" s="5" t="s">
        <v>11610</v>
      </c>
      <c r="C6330" s="6">
        <v>2.0</v>
      </c>
      <c r="D6330" s="7" t="s">
        <v>11610</v>
      </c>
      <c r="E6330" s="8" t="str">
        <f>IFERROR(__xludf.DUMMYFUNCTION("googletranslate(D6330,""id"",""en"")"),"eh ppkm extended until what date is it?")</f>
        <v>eh ppkm extended until what date is it?</v>
      </c>
    </row>
    <row r="6331" ht="15.75" customHeight="1">
      <c r="A6331" s="2">
        <v>6334.0</v>
      </c>
      <c r="B6331" s="5" t="s">
        <v>11611</v>
      </c>
      <c r="C6331" s="6">
        <v>1.0</v>
      </c>
      <c r="D6331" s="9" t="s">
        <v>11612</v>
      </c>
      <c r="E6331" s="8" t="str">
        <f>IFERROR(__xludf.DUMMYFUNCTION("googletranslate(D6331,""id"",""en"")"),"PPKM extended original gabisa everywhere if you are forced to need a place outside when it's malem. Even though it's online but still need the focus of the problem")</f>
        <v>PPKM extended original gabisa everywhere if you are forced to need a place outside when it's malem. Even though it's online but still need the focus of the problem</v>
      </c>
    </row>
    <row r="6332" ht="15.75" customHeight="1">
      <c r="A6332" s="2">
        <v>6335.0</v>
      </c>
      <c r="B6332" s="5" t="s">
        <v>11613</v>
      </c>
      <c r="C6332" s="6">
        <v>2.0</v>
      </c>
      <c r="D6332" s="7" t="s">
        <v>11614</v>
      </c>
      <c r="E6332" s="8" t="str">
        <f>IFERROR(__xludf.DUMMYFUNCTION("googletranslate(D6332,""id"",""en"")"),"Ppkm extends LG?")</f>
        <v>Ppkm extends LG?</v>
      </c>
    </row>
    <row r="6333" ht="15.75" customHeight="1">
      <c r="A6333" s="2">
        <v>6336.0</v>
      </c>
      <c r="B6333" s="5" t="s">
        <v>11615</v>
      </c>
      <c r="C6333" s="6">
        <v>2.0</v>
      </c>
      <c r="D6333" s="9" t="s">
        <v>11616</v>
      </c>
      <c r="E6333" s="8" t="str">
        <f>IFERROR(__xludf.DUMMYFUNCTION("googletranslate(D6333,""id"",""en"")"),"Hello Gaes, About Beiau (Mr. Muslim) There is a little info NIHDari Mutual that has usually been selling at SKLH2 but, because still PPKM, he sells around the stadium (morning) - Around SD Model (LIGON) - Kadirojo, Sambisari (afternoon, At the same time t"&amp;"he PLG trip).")</f>
        <v>Hello Gaes, About Beiau (Mr. Muslim) There is a little info NIHDari Mutual that has usually been selling at SKLH2 but, because still PPKM, he sells around the stadium (morning) - Around SD Model (LIGON) - Kadirojo, Sambisari (afternoon, At the same time the PLG trip).</v>
      </c>
    </row>
    <row r="6334" ht="15.75" customHeight="1">
      <c r="A6334" s="2">
        <v>6337.0</v>
      </c>
      <c r="B6334" s="5" t="s">
        <v>11617</v>
      </c>
      <c r="C6334" s="6">
        <v>3.0</v>
      </c>
      <c r="D6334" s="9" t="s">
        <v>11618</v>
      </c>
      <c r="E6334" s="8" t="str">
        <f>IFERROR(__xludf.DUMMYFUNCTION("googletranslate(D6334,""id"",""en"")"),"Hri ni avail well, there is a special rate promo ppkm loh yuk gercep dijapri through dm beb")</f>
        <v>Hri ni avail well, there is a special rate promo ppkm loh yuk gercep dijapri through dm beb</v>
      </c>
    </row>
    <row r="6335" ht="15.75" customHeight="1">
      <c r="A6335" s="2">
        <v>6338.0</v>
      </c>
      <c r="B6335" s="5" t="s">
        <v>11619</v>
      </c>
      <c r="C6335" s="6">
        <v>1.0</v>
      </c>
      <c r="D6335" s="7" t="s">
        <v>11620</v>
      </c>
      <c r="E6335" s="8" t="str">
        <f>IFERROR(__xludf.DUMMYFUNCTION("googletranslate(D6335,""id"",""en"")"),"There is a celebration ... PPKM soale.")</f>
        <v>There is a celebration ... PPKM soale.</v>
      </c>
    </row>
    <row r="6336" ht="15.75" customHeight="1">
      <c r="A6336" s="2">
        <v>6339.0</v>
      </c>
      <c r="B6336" s="5" t="s">
        <v>11621</v>
      </c>
      <c r="C6336" s="6">
        <v>1.0</v>
      </c>
      <c r="D6336" s="9" t="s">
        <v>11622</v>
      </c>
      <c r="E6336" s="8" t="str">
        <f>IFERROR(__xludf.DUMMYFUNCTION("googletranslate(D6336,""id"",""en"")"),"It's not kepengen, even though the PPKM is complete but if it's still a pandemic still horrified")</f>
        <v>It's not kepengen, even though the PPKM is complete but if it's still a pandemic still horrified</v>
      </c>
    </row>
    <row r="6337" ht="15.75" customHeight="1">
      <c r="A6337" s="2">
        <v>6340.0</v>
      </c>
      <c r="B6337" s="5" t="s">
        <v>11623</v>
      </c>
      <c r="C6337" s="6">
        <v>2.0</v>
      </c>
      <c r="D6337" s="7" t="s">
        <v>11624</v>
      </c>
      <c r="E6337" s="8" t="str">
        <f>IFERROR(__xludf.DUMMYFUNCTION("googletranslate(D6337,""id"",""en"")"),"Kan lg ppkm..pake helmet where")</f>
        <v>Kan lg ppkm..pake helmet where</v>
      </c>
    </row>
    <row r="6338" ht="15.75" customHeight="1">
      <c r="A6338" s="2">
        <v>6341.0</v>
      </c>
      <c r="B6338" s="5" t="s">
        <v>11625</v>
      </c>
      <c r="C6338" s="6">
        <v>2.0</v>
      </c>
      <c r="D6338" s="7" t="s">
        <v>11626</v>
      </c>
      <c r="E6338" s="8" t="str">
        <f>IFERROR(__xludf.DUMMYFUNCTION("googletranslate(D6338,""id"",""en"")"),"PPKM Bogor February")</f>
        <v>PPKM Bogor February</v>
      </c>
    </row>
    <row r="6339" ht="15.75" customHeight="1">
      <c r="A6339" s="2">
        <v>6342.0</v>
      </c>
      <c r="B6339" s="5" t="s">
        <v>11627</v>
      </c>
      <c r="C6339" s="6">
        <v>3.0</v>
      </c>
      <c r="D6339" s="7" t="s">
        <v>11628</v>
      </c>
      <c r="E6339" s="8" t="str">
        <f>IFERROR(__xludf.DUMMYFUNCTION("googletranslate(D6339,""id"",""en"")"),"Vaccination and Discipline Prokes Effectively Reduces the Positive Case Covid-19ppkm Tangkal Pandemic")</f>
        <v>Vaccination and Discipline Prokes Effectively Reduces the Positive Case Covid-19ppkm Tangkal Pandemic</v>
      </c>
    </row>
    <row r="6340" ht="15.75" customHeight="1">
      <c r="A6340" s="2">
        <v>6343.0</v>
      </c>
      <c r="B6340" s="5" t="s">
        <v>11629</v>
      </c>
      <c r="C6340" s="6">
        <v>2.0</v>
      </c>
      <c r="D6340" s="10" t="s">
        <v>11630</v>
      </c>
      <c r="E6340" s="8" t="str">
        <f>IFERROR(__xludf.DUMMYFUNCTION("googletranslate(D6340,""id"",""en"")"),"Abis PPKM right")</f>
        <v>Abis PPKM right</v>
      </c>
    </row>
    <row r="6341" ht="15.75" customHeight="1">
      <c r="A6341" s="2">
        <v>6344.0</v>
      </c>
      <c r="B6341" s="5" t="s">
        <v>11631</v>
      </c>
      <c r="C6341" s="6">
        <v>3.0</v>
      </c>
      <c r="D6341" s="7" t="s">
        <v>11632</v>
      </c>
      <c r="E6341" s="8" t="str">
        <f>IFERROR(__xludf.DUMMYFUNCTION("googletranslate(D6341,""id"",""en"")"),"Let's continue to support the application of ppkmppkm pandemic")</f>
        <v>Let's continue to support the application of ppkmppkm pandemic</v>
      </c>
    </row>
    <row r="6342" ht="15.75" customHeight="1">
      <c r="A6342" s="2">
        <v>6345.0</v>
      </c>
      <c r="B6342" s="5" t="s">
        <v>11633</v>
      </c>
      <c r="C6342" s="6">
        <v>3.0</v>
      </c>
      <c r="D6342" s="9" t="s">
        <v>11634</v>
      </c>
      <c r="E6342" s="8" t="str">
        <f>IFERROR(__xludf.DUMMYFUNCTION("googletranslate(D6342,""id"",""en"")"),"Come on, obey PPKM to quickly end and there are concessions.")</f>
        <v>Come on, obey PPKM to quickly end and there are concessions.</v>
      </c>
    </row>
    <row r="6343" ht="15.75" customHeight="1">
      <c r="A6343" s="2">
        <v>6346.0</v>
      </c>
      <c r="B6343" s="5" t="s">
        <v>11635</v>
      </c>
      <c r="C6343" s="6">
        <v>1.0</v>
      </c>
      <c r="D6343" s="7" t="s">
        <v>11636</v>
      </c>
      <c r="E6343" s="8" t="str">
        <f>IFERROR(__xludf.DUMMYFUNCTION("googletranslate(D6343,""id"",""en"")"),"Many of the soul salites because of PPKM")</f>
        <v>Many of the soul salites because of PPKM</v>
      </c>
    </row>
    <row r="6344" ht="15.75" customHeight="1">
      <c r="A6344" s="2">
        <v>6347.0</v>
      </c>
      <c r="B6344" s="5" t="s">
        <v>11637</v>
      </c>
      <c r="C6344" s="6">
        <v>2.0</v>
      </c>
      <c r="D6344" s="7" t="s">
        <v>11638</v>
      </c>
      <c r="E6344" s="8" t="str">
        <f>IFERROR(__xludf.DUMMYFUNCTION("googletranslate(D6344,""id"",""en"")"),"I started my morning in this PPKM period by looking at your sweet smile")</f>
        <v>I started my morning in this PPKM period by looking at your sweet smile</v>
      </c>
    </row>
    <row r="6345" ht="15.75" customHeight="1">
      <c r="A6345" s="2">
        <v>6348.0</v>
      </c>
      <c r="B6345" s="5" t="s">
        <v>11639</v>
      </c>
      <c r="C6345" s="6">
        <v>2.0</v>
      </c>
      <c r="D6345" s="7" t="s">
        <v>11640</v>
      </c>
      <c r="E6345" s="8" t="str">
        <f>IFERROR(__xludf.DUMMYFUNCTION("googletranslate(D6345,""id"",""en"")"),"I'll wait next month to make sure the PPKM gada is again")</f>
        <v>I'll wait next month to make sure the PPKM gada is again</v>
      </c>
    </row>
    <row r="6346" ht="15.75" customHeight="1">
      <c r="A6346" s="2">
        <v>6349.0</v>
      </c>
      <c r="B6346" s="5" t="s">
        <v>11641</v>
      </c>
      <c r="C6346" s="6">
        <v>2.0</v>
      </c>
      <c r="D6346" s="7" t="s">
        <v>11642</v>
      </c>
      <c r="E6346" s="8" t="str">
        <f>IFERROR(__xludf.DUMMYFUNCTION("googletranslate(D6346,""id"",""en"")"),"In fact, when I was still PPKM, it was still still still PPKM ... it turned out that PPKM was more durable than someone's relationship ...")</f>
        <v>In fact, when I was still PPKM, it was still still still PPKM ... it turned out that PPKM was more durable than someone's relationship ...</v>
      </c>
    </row>
    <row r="6347" ht="15.75" customHeight="1">
      <c r="A6347" s="2">
        <v>6350.0</v>
      </c>
      <c r="B6347" s="5" t="s">
        <v>11643</v>
      </c>
      <c r="C6347" s="6">
        <v>2.0</v>
      </c>
      <c r="D6347" s="7" t="s">
        <v>11644</v>
      </c>
      <c r="E6347" s="8" t="str">
        <f>IFERROR(__xludf.DUMMYFUNCTION("googletranslate(D6347,""id"",""en"")"),"If I make an expo schedule after the ppkm, there is someone who wants it, you want it ... you want you to do it, I'm an expo ... if you don't enter the expo, you don't have it, it's just calm down to this area ok I am the most good cba")</f>
        <v>If I make an expo schedule after the ppkm, there is someone who wants it, you want it ... you want you to do it, I'm an expo ... if you don't enter the expo, you don't have it, it's just calm down to this area ok I am the most good cba</v>
      </c>
    </row>
    <row r="6348" ht="15.75" customHeight="1">
      <c r="A6348" s="2">
        <v>6351.0</v>
      </c>
      <c r="B6348" s="5" t="s">
        <v>11645</v>
      </c>
      <c r="C6348" s="6">
        <v>3.0</v>
      </c>
      <c r="D6348" s="7" t="s">
        <v>11646</v>
      </c>
      <c r="E6348" s="8" t="str">
        <f>IFERROR(__xludf.DUMMYFUNCTION("googletranslate(D6348,""id"",""en"")"),"Let's carry out vaccination. PPKM TANGGAL PANDEMI.")</f>
        <v>Let's carry out vaccination. PPKM TANGGAL PANDEMI.</v>
      </c>
    </row>
    <row r="6349" ht="15.75" customHeight="1">
      <c r="A6349" s="2">
        <v>6352.0</v>
      </c>
      <c r="B6349" s="5" t="s">
        <v>11647</v>
      </c>
      <c r="C6349" s="6">
        <v>2.0</v>
      </c>
      <c r="D6349" s="7" t="s">
        <v>11647</v>
      </c>
      <c r="E6349" s="8" t="str">
        <f>IFERROR(__xludf.DUMMYFUNCTION("googletranslate(D6349,""id"",""en"")"),"Hopefully Pakdhe PPKM which is finished, does not increase the level again and not an announcement in injuring time or midnight")</f>
        <v>Hopefully Pakdhe PPKM which is finished, does not increase the level again and not an announcement in injuring time or midnight</v>
      </c>
    </row>
    <row r="6350" ht="15.75" customHeight="1">
      <c r="A6350" s="2">
        <v>6353.0</v>
      </c>
      <c r="B6350" s="5" t="s">
        <v>11648</v>
      </c>
      <c r="C6350" s="6">
        <v>1.0</v>
      </c>
      <c r="D6350" s="10" t="s">
        <v>11649</v>
      </c>
      <c r="E6350" s="8" t="str">
        <f>IFERROR(__xludf.DUMMYFUNCTION("googletranslate(D6350,""id"",""en"")"),"Bosen PPKM.")</f>
        <v>Bosen PPKM.</v>
      </c>
    </row>
    <row r="6351" ht="15.75" customHeight="1">
      <c r="A6351" s="2">
        <v>6354.0</v>
      </c>
      <c r="B6351" s="5" t="s">
        <v>11650</v>
      </c>
      <c r="C6351" s="6">
        <v>3.0</v>
      </c>
      <c r="D6351" s="7" t="s">
        <v>11646</v>
      </c>
      <c r="E6351" s="8" t="str">
        <f>IFERROR(__xludf.DUMMYFUNCTION("googletranslate(D6351,""id"",""en"")"),"Let's carry out vaccination. PPKM TANGGAL PANDEMI.")</f>
        <v>Let's carry out vaccination. PPKM TANGGAL PANDEMI.</v>
      </c>
    </row>
    <row r="6352" ht="15.75" customHeight="1">
      <c r="A6352" s="2">
        <v>6355.0</v>
      </c>
      <c r="B6352" s="5" t="s">
        <v>11651</v>
      </c>
      <c r="C6352" s="6">
        <v>1.0</v>
      </c>
      <c r="D6352" s="7" t="s">
        <v>11652</v>
      </c>
      <c r="E6352" s="8" t="str">
        <f>IFERROR(__xludf.DUMMYFUNCTION("googletranslate(D6352,""id"",""en"")"),"steady than thinking about PPKM Ega road business")</f>
        <v>steady than thinking about PPKM Ega road business</v>
      </c>
    </row>
    <row r="6353" ht="15.75" customHeight="1">
      <c r="A6353" s="2">
        <v>6356.0</v>
      </c>
      <c r="B6353" s="5" t="s">
        <v>11653</v>
      </c>
      <c r="C6353" s="6">
        <v>1.0</v>
      </c>
      <c r="D6353" s="9" t="s">
        <v>11654</v>
      </c>
      <c r="E6353" s="8" t="str">
        <f>IFERROR(__xludf.DUMMYFUNCTION("googletranslate(D6353,""id"",""en"")"),"Ppkm please pass quickly")</f>
        <v>Ppkm please pass quickly</v>
      </c>
    </row>
    <row r="6354" ht="15.75" customHeight="1">
      <c r="A6354" s="2">
        <v>6357.0</v>
      </c>
      <c r="B6354" s="5" t="s">
        <v>11655</v>
      </c>
      <c r="C6354" s="6">
        <v>1.0</v>
      </c>
      <c r="D6354" s="9" t="s">
        <v>11656</v>
      </c>
      <c r="E6354" s="8" t="str">
        <f>IFERROR(__xludf.DUMMYFUNCTION("googletranslate(D6354,""id"",""en"")"),"Last here right before PPKM. Even then it can't be crowded. Especially now fitting ppkm. Segede tour of the safari park can crisis. What else are we small businesses in the field of tourism? Let's pack extend again, for us to die because of hunger")</f>
        <v>Last here right before PPKM. Even then it can't be crowded. Especially now fitting ppkm. Segede tour of the safari park can crisis. What else are we small businesses in the field of tourism? Let's pack extend again, for us to die because of hunger</v>
      </c>
    </row>
    <row r="6355" ht="15.75" customHeight="1">
      <c r="A6355" s="2">
        <v>6358.0</v>
      </c>
      <c r="B6355" s="5" t="s">
        <v>11657</v>
      </c>
      <c r="C6355" s="6">
        <v>1.0</v>
      </c>
      <c r="D6355" s="7" t="s">
        <v>11658</v>
      </c>
      <c r="E6355" s="8" t="str">
        <f>IFERROR(__xludf.DUMMYFUNCTION("googletranslate(D6355,""id"",""en"")"),"The road to Sumedang ... it doesn't work with PPKM")</f>
        <v>The road to Sumedang ... it doesn't work with PPKM</v>
      </c>
    </row>
    <row r="6356" ht="15.75" customHeight="1">
      <c r="A6356" s="2">
        <v>6359.0</v>
      </c>
      <c r="B6356" s="5" t="s">
        <v>11659</v>
      </c>
      <c r="C6356" s="6">
        <v>2.0</v>
      </c>
      <c r="D6356" s="7" t="s">
        <v>11660</v>
      </c>
      <c r="E6356" s="8" t="str">
        <f>IFERROR(__xludf.DUMMYFUNCTION("googletranslate(D6356,""id"",""en"")"),"PPKM is extended again or not? Pen Road to Sidoarjo again")</f>
        <v>PPKM is extended again or not? Pen Road to Sidoarjo again</v>
      </c>
    </row>
    <row r="6357" ht="15.75" customHeight="1">
      <c r="A6357" s="2">
        <v>6360.0</v>
      </c>
      <c r="B6357" s="5" t="s">
        <v>11661</v>
      </c>
      <c r="C6357" s="6">
        <v>1.0</v>
      </c>
      <c r="D6357" s="9" t="s">
        <v>11662</v>
      </c>
      <c r="E6357" s="8" t="str">
        <f>IFERROR(__xludf.DUMMYFUNCTION("googletranslate(D6357,""id"",""en"")"),"Maap2 or ma pk pol, how come the one who was accelerated by the vaccine, assistance for the people affected by the PPKM volume, please, please, which is a balanced, unemployed, which is also a lot of laid off")</f>
        <v>Maap2 or ma pk pol, how come the one who was accelerated by the vaccine, assistance for the people affected by the PPKM volume, please, please, which is a balanced, unemployed, which is also a lot of laid off</v>
      </c>
    </row>
    <row r="6358" ht="15.75" customHeight="1">
      <c r="A6358" s="2">
        <v>6361.0</v>
      </c>
      <c r="B6358" s="5" t="s">
        <v>11663</v>
      </c>
      <c r="C6358" s="6">
        <v>2.0</v>
      </c>
      <c r="D6358" s="7" t="s">
        <v>11664</v>
      </c>
      <c r="E6358" s="8" t="str">
        <f>IFERROR(__xludf.DUMMYFUNCTION("googletranslate(D6358,""id"",""en"")"),"Will the PPKM be extended again ... ??")</f>
        <v>Will the PPKM be extended again ... ??</v>
      </c>
    </row>
    <row r="6359" ht="15.75" customHeight="1">
      <c r="A6359" s="2">
        <v>6362.0</v>
      </c>
      <c r="B6359" s="5" t="s">
        <v>11665</v>
      </c>
      <c r="C6359" s="6">
        <v>1.0</v>
      </c>
      <c r="D6359" s="9" t="s">
        <v>11666</v>
      </c>
      <c r="E6359" s="8" t="str">
        <f>IFERROR(__xludf.DUMMYFUNCTION("googletranslate(D6359,""id"",""en"")"),"If it's not a ppkm, it feels like it feels")</f>
        <v>If it's not a ppkm, it feels like it feels</v>
      </c>
    </row>
    <row r="6360" ht="15.75" customHeight="1">
      <c r="A6360" s="2">
        <v>6363.0</v>
      </c>
      <c r="B6360" s="5" t="s">
        <v>11667</v>
      </c>
      <c r="C6360" s="6">
        <v>1.0</v>
      </c>
      <c r="D6360" s="9" t="s">
        <v>11668</v>
      </c>
      <c r="E6360" s="8" t="str">
        <f>IFERROR(__xludf.DUMMYFUNCTION("googletranslate(D6360,""id"",""en"")"),"Again PPKM, which is focused on tourism continue ... the creative economy also needs more attention ... the use of this pandemic.")</f>
        <v>Again PPKM, which is focused on tourism continue ... the creative economy also needs more attention ... the use of this pandemic.</v>
      </c>
    </row>
    <row r="6361" ht="15.75" customHeight="1">
      <c r="A6361" s="2">
        <v>6364.0</v>
      </c>
      <c r="B6361" s="5" t="s">
        <v>11669</v>
      </c>
      <c r="C6361" s="6">
        <v>2.0</v>
      </c>
      <c r="D6361" s="7" t="s">
        <v>11670</v>
      </c>
      <c r="E6361" s="8" t="str">
        <f>IFERROR(__xludf.DUMMYFUNCTION("googletranslate(D6361,""id"",""en"")"),"Ppkm morning - morning we mbedang")</f>
        <v>Ppkm morning - morning we mbedang</v>
      </c>
    </row>
    <row r="6362" ht="15.75" customHeight="1">
      <c r="A6362" s="2">
        <v>6365.0</v>
      </c>
      <c r="B6362" s="5" t="s">
        <v>11671</v>
      </c>
      <c r="C6362" s="6">
        <v>3.0</v>
      </c>
      <c r="D6362" s="7" t="s">
        <v>11672</v>
      </c>
      <c r="E6362" s="8" t="str">
        <f>IFERROR(__xludf.DUMMYFUNCTION("googletranslate(D6362,""id"",""en"")"),"The government has stressed for prevention of Covid-19 transmission. With the PPKM level the number of cases has declined quite a lot.")</f>
        <v>The government has stressed for prevention of Covid-19 transmission. With the PPKM level the number of cases has declined quite a lot.</v>
      </c>
    </row>
    <row r="6363" ht="15.75" customHeight="1">
      <c r="A6363" s="2">
        <v>6366.0</v>
      </c>
      <c r="B6363" s="5" t="s">
        <v>11673</v>
      </c>
      <c r="C6363" s="6">
        <v>2.0</v>
      </c>
      <c r="D6363" s="9" t="s">
        <v>11674</v>
      </c>
      <c r="E6363" s="8" t="str">
        <f>IFERROR(__xludf.DUMMYFUNCTION("googletranslate(D6363,""id"",""en"")"),"Want to join but sek ppkm, really satisfied watching the bond of love semalem. Finally Hundreds of Lo Episodes, until they are grass")</f>
        <v>Want to join but sek ppkm, really satisfied watching the bond of love semalem. Finally Hundreds of Lo Episodes, until they are grass</v>
      </c>
    </row>
    <row r="6364" ht="15.75" customHeight="1">
      <c r="A6364" s="2">
        <v>6367.0</v>
      </c>
      <c r="B6364" s="5" t="s">
        <v>11675</v>
      </c>
      <c r="C6364" s="6">
        <v>1.0</v>
      </c>
      <c r="D6364" s="7" t="s">
        <v>11676</v>
      </c>
      <c r="E6364" s="8" t="str">
        <f>IFERROR(__xludf.DUMMYFUNCTION("googletranslate(D6364,""id"",""en"")"),"really fak ppkm")</f>
        <v>really fak ppkm</v>
      </c>
    </row>
    <row r="6365" ht="15.75" customHeight="1">
      <c r="A6365" s="2">
        <v>6368.0</v>
      </c>
      <c r="B6365" s="5" t="s">
        <v>11677</v>
      </c>
      <c r="C6365" s="6">
        <v>3.0</v>
      </c>
      <c r="D6365" s="7" t="s">
        <v>11677</v>
      </c>
      <c r="E6365" s="8" t="str">
        <f>IFERROR(__xludf.DUMMYFUNCTION("googletranslate(D6365,""id"",""en"")"),"Ttep Sebar and Smangat Dlam Mnghapi Ppkm Hhhh")</f>
        <v>Ttep Sebar and Smangat Dlam Mnghapi Ppkm Hhhh</v>
      </c>
    </row>
    <row r="6366" ht="15.75" customHeight="1">
      <c r="A6366" s="2">
        <v>6369.0</v>
      </c>
      <c r="B6366" s="5" t="s">
        <v>11678</v>
      </c>
      <c r="C6366" s="6">
        <v>2.0</v>
      </c>
      <c r="D6366" s="7" t="s">
        <v>11679</v>
      </c>
      <c r="E6366" s="8" t="str">
        <f>IFERROR(__xludf.DUMMYFUNCTION("googletranslate(D6366,""id"",""en"")"),"the sign is just a little finished PPKM")</f>
        <v>the sign is just a little finished PPKM</v>
      </c>
    </row>
    <row r="6367" ht="15.75" customHeight="1">
      <c r="A6367" s="2">
        <v>6370.0</v>
      </c>
      <c r="B6367" s="5" t="s">
        <v>11680</v>
      </c>
      <c r="C6367" s="6">
        <v>2.0</v>
      </c>
      <c r="D6367" s="7" t="s">
        <v>11681</v>
      </c>
      <c r="E6367" s="8" t="str">
        <f>IFERROR(__xludf.DUMMYFUNCTION("googletranslate(D6367,""id"",""en"")"),"Ppkm until when sir?")</f>
        <v>Ppkm until when sir?</v>
      </c>
    </row>
    <row r="6368" ht="15.75" customHeight="1">
      <c r="A6368" s="2">
        <v>6371.0</v>
      </c>
      <c r="B6368" s="5" t="s">
        <v>11682</v>
      </c>
      <c r="C6368" s="6">
        <v>1.0</v>
      </c>
      <c r="D6368" s="9" t="s">
        <v>11683</v>
      </c>
      <c r="E6368" s="8" t="str">
        <f>IFERROR(__xludf.DUMMYFUNCTION("googletranslate(D6368,""id"",""en"")"),"The narrative that was built by the government and the doctor of Phobia Covid, was too mengadang2. Org is told to this PK, Isoman etc., emg G needs a fee? where ppkm, g da help .. small org mah is more afraid of starvation than the copet")</f>
        <v>The narrative that was built by the government and the doctor of Phobia Covid, was too mengadang2. Org is told to this PK, Isoman etc., emg G needs a fee? where ppkm, g da help .. small org mah is more afraid of starvation than the copet</v>
      </c>
    </row>
    <row r="6369" ht="15.75" customHeight="1">
      <c r="A6369" s="2">
        <v>6372.0</v>
      </c>
      <c r="B6369" s="5" t="s">
        <v>11684</v>
      </c>
      <c r="C6369" s="6">
        <v>1.0</v>
      </c>
      <c r="D6369" s="7" t="s">
        <v>11685</v>
      </c>
      <c r="E6369" s="8" t="str">
        <f>IFERROR(__xludf.DUMMYFUNCTION("googletranslate(D6369,""id"",""en"")"),"Yes also Sii Benerrr. anj ko tip the ppkm sii")</f>
        <v>Yes also Sii Benerrr. anj ko tip the ppkm sii</v>
      </c>
    </row>
    <row r="6370" ht="15.75" customHeight="1">
      <c r="A6370" s="2">
        <v>6373.0</v>
      </c>
      <c r="B6370" s="5" t="s">
        <v>11686</v>
      </c>
      <c r="C6370" s="6">
        <v>1.0</v>
      </c>
      <c r="D6370" s="9" t="s">
        <v>11687</v>
      </c>
      <c r="E6370" s="8" t="str">
        <f>IFERROR(__xludf.DUMMYFUNCTION("googletranslate(D6370,""id"",""en"")"),"DJ DISCUSSes DJ Channel ********* Amid the unclear corona pandemic when it ended, while the community's disappointment with the government was increasing due to unclear handling pandemic. In addition to the community's economic burden due to the PPKM poli"&amp;"cy of the Kemaki")</f>
        <v>DJ DISCUSSes DJ Channel ********* Amid the unclear corona pandemic when it ended, while the community's disappointment with the government was increasing due to unclear handling pandemic. In addition to the community's economic burden due to the PPKM policy of the Kemaki</v>
      </c>
    </row>
    <row r="6371" ht="15.75" customHeight="1">
      <c r="A6371" s="2">
        <v>6374.0</v>
      </c>
      <c r="B6371" s="5" t="s">
        <v>11688</v>
      </c>
      <c r="C6371" s="6">
        <v>1.0</v>
      </c>
      <c r="D6371" s="7" t="s">
        <v>11688</v>
      </c>
      <c r="E6371" s="8" t="str">
        <f>IFERROR(__xludf.DUMMYFUNCTION("googletranslate(D6371,""id"",""en"")"),"Dah ppkm make melas it lazy to continue again hehehe")</f>
        <v>Dah ppkm make melas it lazy to continue again hehehe</v>
      </c>
    </row>
    <row r="6372" ht="15.75" customHeight="1">
      <c r="A6372" s="2">
        <v>6375.0</v>
      </c>
      <c r="B6372" s="5" t="s">
        <v>11689</v>
      </c>
      <c r="C6372" s="6">
        <v>2.0</v>
      </c>
      <c r="D6372" s="10" t="s">
        <v>11690</v>
      </c>
      <c r="E6372" s="8" t="str">
        <f>IFERROR(__xludf.DUMMYFUNCTION("googletranslate(D6372,""id"",""en"")"),"Still PPKM")</f>
        <v>Still PPKM</v>
      </c>
    </row>
    <row r="6373" ht="15.75" customHeight="1">
      <c r="A6373" s="2">
        <v>6376.0</v>
      </c>
      <c r="B6373" s="5" t="s">
        <v>11691</v>
      </c>
      <c r="C6373" s="6">
        <v>2.0</v>
      </c>
      <c r="D6373" s="9" t="s">
        <v>11692</v>
      </c>
      <c r="E6373" s="8" t="str">
        <f>IFERROR(__xludf.DUMMYFUNCTION("googletranslate(D6373,""id"",""en"")"),"Heyy, slowly but surely. It doesn't have to be that seconds, you're dying for a long time. There will be later where you feel it turns out that the new crush is more comfortable if he is certain of the clover km. the world is wide, it's just less explorin"&amp;"g because more PPKM")</f>
        <v>Heyy, slowly but surely. It doesn't have to be that seconds, you're dying for a long time. There will be later where you feel it turns out that the new crush is more comfortable if he is certain of the clover km. the world is wide, it's just less exploring because more PPKM</v>
      </c>
    </row>
    <row r="6374" ht="15.75" customHeight="1">
      <c r="A6374" s="2">
        <v>6377.0</v>
      </c>
      <c r="B6374" s="5" t="s">
        <v>11693</v>
      </c>
      <c r="C6374" s="6">
        <v>1.0</v>
      </c>
      <c r="D6374" s="9" t="s">
        <v>11694</v>
      </c>
      <c r="E6374" s="8" t="str">
        <f>IFERROR(__xludf.DUMMYFUNCTION("googletranslate(D6374,""id"",""en"")"),"How do you become farmers, PPKM extended first ...")</f>
        <v>How do you become farmers, PPKM extended first ...</v>
      </c>
    </row>
    <row r="6375" ht="15.75" customHeight="1">
      <c r="A6375" s="2">
        <v>6378.0</v>
      </c>
      <c r="B6375" s="5" t="s">
        <v>11695</v>
      </c>
      <c r="C6375" s="6">
        <v>2.0</v>
      </c>
      <c r="D6375" s="9" t="s">
        <v>11696</v>
      </c>
      <c r="E6375" s="8" t="str">
        <f>IFERROR(__xludf.DUMMYFUNCTION("googletranslate(D6375,""id"",""en"")"),"I think the Q2 report before PPKM. So from what was minus, had grown ... it looks high")</f>
        <v>I think the Q2 report before PPKM. So from what was minus, had grown ... it looks high</v>
      </c>
    </row>
    <row r="6376" ht="15.75" customHeight="1">
      <c r="A6376" s="2">
        <v>6379.0</v>
      </c>
      <c r="B6376" s="5" t="s">
        <v>11697</v>
      </c>
      <c r="C6376" s="6">
        <v>2.0</v>
      </c>
      <c r="D6376" s="9" t="s">
        <v>11697</v>
      </c>
      <c r="E6376" s="8" t="str">
        <f>IFERROR(__xludf.DUMMYFUNCTION("googletranslate(D6376,""id"",""en"")"),"By the way, abbreviation PPKM what spires ...")</f>
        <v>By the way, abbreviation PPKM what spires ...</v>
      </c>
    </row>
    <row r="6377" ht="15.75" customHeight="1">
      <c r="A6377" s="2">
        <v>6380.0</v>
      </c>
      <c r="B6377" s="5" t="s">
        <v>11698</v>
      </c>
      <c r="C6377" s="6">
        <v>3.0</v>
      </c>
      <c r="D6377" s="7" t="s">
        <v>11699</v>
      </c>
      <c r="E6377" s="8" t="str">
        <f>IFERROR(__xludf.DUMMYFUNCTION("googletranslate(D6377,""id"",""en"")"),"Help the volunteers and nakes by obeying PPKM, reduce mobility, join the vaccine and. Come on, we can fight this pandemic! Don't be abid, don't be negligent because the climbs continue to love you")</f>
        <v>Help the volunteers and nakes by obeying PPKM, reduce mobility, join the vaccine and. Come on, we can fight this pandemic! Don't be abid, don't be negligent because the climbs continue to love you</v>
      </c>
    </row>
    <row r="6378" ht="15.75" customHeight="1">
      <c r="A6378" s="2">
        <v>6381.0</v>
      </c>
      <c r="B6378" s="5" t="s">
        <v>11700</v>
      </c>
      <c r="C6378" s="6">
        <v>1.0</v>
      </c>
      <c r="D6378" s="7" t="s">
        <v>11700</v>
      </c>
      <c r="E6378" s="8" t="str">
        <f>IFERROR(__xludf.DUMMYFUNCTION("googletranslate(D6378,""id"",""en"")"),"Ouch PPKM Levellan Level Levelan Really Macaroni Republic Ngehe")</f>
        <v>Ouch PPKM Levellan Level Levelan Really Macaroni Republic Ngehe</v>
      </c>
    </row>
    <row r="6379" ht="15.75" customHeight="1">
      <c r="A6379" s="2">
        <v>6382.0</v>
      </c>
      <c r="B6379" s="5" t="s">
        <v>11701</v>
      </c>
      <c r="C6379" s="6">
        <v>2.0</v>
      </c>
      <c r="D6379" s="9" t="s">
        <v>11702</v>
      </c>
      <c r="E6379" s="8" t="str">
        <f>IFERROR(__xludf.DUMMYFUNCTION("googletranslate(D6379,""id"",""en"")"),"Who likes to be nyemil? Here is an anti-mainstream snack from a chicken brand that can accompany you during this PPKM, besides savory this one snack is there too, it's curious? Here we give the recipe !!")</f>
        <v>Who likes to be nyemil? Here is an anti-mainstream snack from a chicken brand that can accompany you during this PPKM, besides savory this one snack is there too, it's curious? Here we give the recipe !!</v>
      </c>
    </row>
    <row r="6380" ht="15.75" customHeight="1">
      <c r="A6380" s="2">
        <v>6383.0</v>
      </c>
      <c r="B6380" s="5" t="s">
        <v>11703</v>
      </c>
      <c r="C6380" s="6">
        <v>1.0</v>
      </c>
      <c r="D6380" s="9" t="s">
        <v>11704</v>
      </c>
      <c r="E6380" s="8" t="str">
        <f>IFERROR(__xludf.DUMMYFUNCTION("googletranslate(D6380,""id"",""en"")"),"Come on, Pak Pursue Covid Vaccine in Jabodetabek &amp; GT; 80% so that Herd Imunity quickly achieved. If Jakarta continues to PPKM, the Indonesian economy will be paralyzed. Let other regions follow the vaccine")</f>
        <v>Come on, Pak Pursue Covid Vaccine in Jabodetabek &amp; GT; 80% so that Herd Imunity quickly achieved. If Jakarta continues to PPKM, the Indonesian economy will be paralyzed. Let other regions follow the vaccine</v>
      </c>
    </row>
    <row r="6381" ht="15.75" customHeight="1">
      <c r="A6381" s="2">
        <v>6384.0</v>
      </c>
      <c r="B6381" s="5" t="s">
        <v>11705</v>
      </c>
      <c r="C6381" s="6">
        <v>2.0</v>
      </c>
      <c r="D6381" s="9" t="s">
        <v>11706</v>
      </c>
      <c r="E6381" s="8" t="str">
        <f>IFERROR(__xludf.DUMMYFUNCTION("googletranslate(D6381,""id"",""en"")"),"It's tumbent, this is really bad. Again PPKM NDER. McD dkt my house always makes an announcement through the status of wa kok if they lid malem hours")</f>
        <v>It's tumbent, this is really bad. Again PPKM NDER. McD dkt my house always makes an announcement through the status of wa kok if they lid malem hours</v>
      </c>
    </row>
    <row r="6382" ht="15.75" customHeight="1">
      <c r="A6382" s="2">
        <v>6385.0</v>
      </c>
      <c r="B6382" s="5" t="s">
        <v>11707</v>
      </c>
      <c r="C6382" s="6">
        <v>1.0</v>
      </c>
      <c r="D6382" s="9" t="s">
        <v>11708</v>
      </c>
      <c r="E6382" s="8" t="str">
        <f>IFERROR(__xludf.DUMMYFUNCTION("googletranslate(D6382,""id"",""en"")"),"Finely bite it home, yeah gapapa gapapa ppkm until the day of apocalypse also gappa, kitamah setrong, that's for example, the model is like that")</f>
        <v>Finely bite it home, yeah gapapa gapapa ppkm until the day of apocalypse also gappa, kitamah setrong, that's for example, the model is like that</v>
      </c>
    </row>
    <row r="6383" ht="15.75" customHeight="1">
      <c r="A6383" s="2">
        <v>6386.0</v>
      </c>
      <c r="B6383" s="5" t="s">
        <v>11709</v>
      </c>
      <c r="C6383" s="6">
        <v>1.0</v>
      </c>
      <c r="D6383" s="7" t="s">
        <v>11710</v>
      </c>
      <c r="E6383" s="8" t="str">
        <f>IFERROR(__xludf.DUMMYFUNCTION("googletranslate(D6383,""id"",""en"")"),"Indeed PPKM complicates all u, u")</f>
        <v>Indeed PPKM complicates all u, u</v>
      </c>
    </row>
    <row r="6384" ht="15.75" customHeight="1">
      <c r="A6384" s="2">
        <v>6387.0</v>
      </c>
      <c r="B6384" s="5" t="s">
        <v>11711</v>
      </c>
      <c r="C6384" s="6">
        <v>3.0</v>
      </c>
      <c r="D6384" s="9" t="s">
        <v>11712</v>
      </c>
      <c r="E6384" s="8" t="str">
        <f>IFERROR(__xludf.DUMMYFUNCTION("googletranslate(D6384,""id"",""en"")"),"Level Suksel Glowing a surge in the case of Covidbiar Economic stretching lagislalu and after others to obey the discipline of each activity you have been vaccinated, huh")</f>
        <v>Level Suksel Glowing a surge in the case of Covidbiar Economic stretching lagislalu and after others to obey the discipline of each activity you have been vaccinated, huh</v>
      </c>
    </row>
    <row r="6385" ht="15.75" customHeight="1">
      <c r="A6385" s="2">
        <v>6388.0</v>
      </c>
      <c r="B6385" s="5" t="s">
        <v>11713</v>
      </c>
      <c r="C6385" s="6">
        <v>3.0</v>
      </c>
      <c r="D6385" s="7" t="s">
        <v>11714</v>
      </c>
      <c r="E6385" s="8" t="str">
        <f>IFERROR(__xludf.DUMMYFUNCTION("googletranslate(D6385,""id"",""en"")"),"MGL Tourism Obey PPKM")</f>
        <v>MGL Tourism Obey PPKM</v>
      </c>
    </row>
    <row r="6386" ht="15.75" customHeight="1">
      <c r="A6386" s="2">
        <v>6389.0</v>
      </c>
      <c r="B6386" s="5" t="s">
        <v>11715</v>
      </c>
      <c r="C6386" s="6">
        <v>1.0</v>
      </c>
      <c r="D6386" s="7" t="s">
        <v>11716</v>
      </c>
      <c r="E6386" s="8" t="str">
        <f>IFERROR(__xludf.DUMMYFUNCTION("googletranslate(D6386,""id"",""en"")"),"But for PPKM Teu Boga Money Ceunah, Beak T.")</f>
        <v>But for PPKM Teu Boga Money Ceunah, Beak T.</v>
      </c>
    </row>
    <row r="6387" ht="15.75" customHeight="1">
      <c r="A6387" s="2">
        <v>6390.0</v>
      </c>
      <c r="B6387" s="5" t="s">
        <v>11717</v>
      </c>
      <c r="C6387" s="6">
        <v>3.0</v>
      </c>
      <c r="D6387" s="7" t="s">
        <v>11718</v>
      </c>
      <c r="E6387" s="8" t="str">
        <f>IFERROR(__xludf.DUMMYFUNCTION("googletranslate(D6387,""id"",""en"")"),"Let's make a health protocol to be a mandatory thing to do in everyday activities especially in the implementation of PPKM Level")</f>
        <v>Let's make a health protocol to be a mandatory thing to do in everyday activities especially in the implementation of PPKM Level</v>
      </c>
    </row>
    <row r="6388" ht="15.75" customHeight="1">
      <c r="A6388" s="2">
        <v>6391.0</v>
      </c>
      <c r="B6388" s="5" t="s">
        <v>11719</v>
      </c>
      <c r="C6388" s="6">
        <v>3.0</v>
      </c>
      <c r="D6388" s="7" t="s">
        <v>11720</v>
      </c>
      <c r="E6388" s="8" t="str">
        <f>IFERROR(__xludf.DUMMYFUNCTION("googletranslate(D6388,""id"",""en"")"),"Alhamdulillah, the PPKM Level successfully lowered the Covid-19yuk case")</f>
        <v>Alhamdulillah, the PPKM Level successfully lowered the Covid-19yuk case</v>
      </c>
    </row>
    <row r="6389" ht="15.75" customHeight="1">
      <c r="A6389" s="2">
        <v>6392.0</v>
      </c>
      <c r="B6389" s="5" t="s">
        <v>11721</v>
      </c>
      <c r="C6389" s="6">
        <v>3.0</v>
      </c>
      <c r="D6389" s="7" t="s">
        <v>11722</v>
      </c>
      <c r="E6389" s="8" t="str">
        <f>IFERROR(__xludf.DUMMYFUNCTION("googletranslate(D6389,""id"",""en"")"),"PPKM Level Lower Covid Case")</f>
        <v>PPKM Level Lower Covid Case</v>
      </c>
    </row>
    <row r="6390" ht="15.75" customHeight="1">
      <c r="A6390" s="2">
        <v>6393.0</v>
      </c>
      <c r="B6390" s="5" t="s">
        <v>11723</v>
      </c>
      <c r="C6390" s="6">
        <v>3.0</v>
      </c>
      <c r="D6390" s="7" t="s">
        <v>11724</v>
      </c>
      <c r="E6390" s="8" t="str">
        <f>IFERROR(__xludf.DUMMYFUNCTION("googletranslate(D6390,""id"",""en"")"),"PPKM Level Lower a Positive CVD19 case, let's stay obey the rules. Make a health protocol as a necessity, thus we help reduce the burden on health service facilities.")</f>
        <v>PPKM Level Lower a Positive CVD19 case, let's stay obey the rules. Make a health protocol as a necessity, thus we help reduce the burden on health service facilities.</v>
      </c>
    </row>
    <row r="6391" ht="15.75" customHeight="1">
      <c r="A6391" s="2">
        <v>6394.0</v>
      </c>
      <c r="B6391" s="5" t="s">
        <v>11725</v>
      </c>
      <c r="C6391" s="6">
        <v>3.0</v>
      </c>
      <c r="D6391" s="7" t="s">
        <v>11726</v>
      </c>
      <c r="E6391" s="8" t="str">
        <f>IFERROR(__xludf.DUMMYFUNCTION("googletranslate(D6391,""id"",""en"")"),"and acceleration of vaccination and reducing the PPKM level, there will be flexibility for community activities")</f>
        <v>and acceleration of vaccination and reducing the PPKM level, there will be flexibility for community activities</v>
      </c>
    </row>
    <row r="6392" ht="15.75" customHeight="1">
      <c r="A6392" s="2">
        <v>6395.0</v>
      </c>
      <c r="B6392" s="5" t="s">
        <v>11727</v>
      </c>
      <c r="C6392" s="6">
        <v>3.0</v>
      </c>
      <c r="D6392" s="7" t="s">
        <v>11728</v>
      </c>
      <c r="E6392" s="8" t="str">
        <f>IFERROR(__xludf.DUMMYFUNCTION("googletranslate(D6392,""id"",""en"")"),"and also obey the rules of the emergency PPKM level support Indonesia immediately recover")</f>
        <v>and also obey the rules of the emergency PPKM level support Indonesia immediately recover</v>
      </c>
    </row>
    <row r="6393" ht="15.75" customHeight="1">
      <c r="A6393" s="2">
        <v>6396.0</v>
      </c>
      <c r="B6393" s="5" t="s">
        <v>11729</v>
      </c>
      <c r="C6393" s="6">
        <v>3.0</v>
      </c>
      <c r="D6393" s="7" t="s">
        <v>11730</v>
      </c>
      <c r="E6393" s="8" t="str">
        <f>IFERROR(__xludf.DUMMYFUNCTION("googletranslate(D6393,""id"",""en"")"),"Yess n obedient PPKM rules too!")</f>
        <v>Yess n obedient PPKM rules too!</v>
      </c>
    </row>
    <row r="6394" ht="15.75" customHeight="1">
      <c r="A6394" s="2">
        <v>6397.0</v>
      </c>
      <c r="B6394" s="5" t="s">
        <v>11731</v>
      </c>
      <c r="C6394" s="6">
        <v>3.0</v>
      </c>
      <c r="D6394" s="7" t="s">
        <v>11732</v>
      </c>
      <c r="E6394" s="8" t="str">
        <f>IFERROR(__xludf.DUMMYFUNCTION("googletranslate(D6394,""id"",""en"")"),"Come on, friend, all of which area still apply PPKM Level, make sure ourselves are the proces discipline.")</f>
        <v>Come on, friend, all of which area still apply PPKM Level, make sure ourselves are the proces discipline.</v>
      </c>
    </row>
    <row r="6395" ht="15.75" customHeight="1">
      <c r="A6395" s="2">
        <v>6398.0</v>
      </c>
      <c r="B6395" s="5" t="s">
        <v>11733</v>
      </c>
      <c r="C6395" s="6">
        <v>3.0</v>
      </c>
      <c r="D6395" s="7" t="s">
        <v>11734</v>
      </c>
      <c r="E6395" s="8" t="str">
        <f>IFERROR(__xludf.DUMMYFUNCTION("googletranslate(D6395,""id"",""en"")"),"obey the emergency level PPKM rules too")</f>
        <v>obey the emergency level PPKM rules too</v>
      </c>
    </row>
    <row r="6396" ht="15.75" customHeight="1">
      <c r="A6396" s="2">
        <v>6399.0</v>
      </c>
      <c r="B6396" s="5" t="s">
        <v>11735</v>
      </c>
      <c r="C6396" s="6">
        <v>3.0</v>
      </c>
      <c r="D6396" s="7" t="s">
        <v>11736</v>
      </c>
      <c r="E6396" s="8" t="str">
        <f>IFERROR(__xludf.DUMMYFUNCTION("googletranslate(D6396,""id"",""en"")"),"With and continuing to obey PPKM then the case of Vovid19 soon Selsai")</f>
        <v>With and continuing to obey PPKM then the case of Vovid19 soon Selsai</v>
      </c>
    </row>
    <row r="6397" ht="15.75" customHeight="1">
      <c r="A6397" s="2">
        <v>6400.0</v>
      </c>
      <c r="B6397" s="5" t="s">
        <v>11737</v>
      </c>
      <c r="C6397" s="6">
        <v>3.0</v>
      </c>
      <c r="D6397" s="10" t="s">
        <v>11738</v>
      </c>
      <c r="E6397" s="8" t="str">
        <f>IFERROR(__xludf.DUMMYFUNCTION("googletranslate(D6397,""id"",""en"")"),"PPKM Level")</f>
        <v>PPKM Level</v>
      </c>
    </row>
    <row r="6398" ht="15.75" customHeight="1">
      <c r="A6398" s="2">
        <v>6401.0</v>
      </c>
      <c r="B6398" s="5" t="s">
        <v>11739</v>
      </c>
      <c r="C6398" s="6">
        <v>3.0</v>
      </c>
      <c r="D6398" s="7" t="s">
        <v>11740</v>
      </c>
      <c r="E6398" s="8" t="str">
        <f>IFERROR(__xludf.DUMMYFUNCTION("googletranslate(D6398,""id"",""en"")"),"keep proces and speed of vaccination can reduce the PPKM level")</f>
        <v>keep proces and speed of vaccination can reduce the PPKM level</v>
      </c>
    </row>
    <row r="6399" ht="15.75" customHeight="1">
      <c r="A6399" s="2">
        <v>6402.0</v>
      </c>
      <c r="B6399" s="5" t="s">
        <v>11741</v>
      </c>
      <c r="C6399" s="6">
        <v>2.0</v>
      </c>
      <c r="D6399" s="9" t="s">
        <v>11742</v>
      </c>
      <c r="E6399" s="8" t="str">
        <f>IFERROR(__xludf.DUMMYFUNCTION("googletranslate(D6399,""id"",""en"")"),"I also don't come out in RMH Mostly WFO and only this wFH again. Shopping JG K Supermarket, have ever eaten d cafe bbrp x, jln2 k bandung, ntn cinema should not have ppkm. Each intake of mkn tempeh, but drink water, and the most freak adl washing hands wh"&amp;"enever even")</f>
        <v>I also don't come out in RMH Mostly WFO and only this wFH again. Shopping JG K Supermarket, have ever eaten d cafe bbrp x, jln2 k bandung, ntn cinema should not have ppkm. Each intake of mkn tempeh, but drink water, and the most freak adl washing hands whenever even</v>
      </c>
    </row>
    <row r="6400" ht="15.75" customHeight="1">
      <c r="A6400" s="2">
        <v>6403.0</v>
      </c>
      <c r="B6400" s="5" t="s">
        <v>11743</v>
      </c>
      <c r="C6400" s="6">
        <v>1.0</v>
      </c>
      <c r="D6400" s="9" t="s">
        <v>11744</v>
      </c>
      <c r="E6400" s="8" t="str">
        <f>IFERROR(__xludf.DUMMYFUNCTION("googletranslate(D6400,""id"",""en"")"),"It's really really tumbent, why? 'Why why is anj .... ppkm woy in the case that is hit by a PPKM just a small shop?")</f>
        <v>It's really really tumbent, why? 'Why why is anj .... ppkm woy in the case that is hit by a PPKM just a small shop?</v>
      </c>
    </row>
    <row r="6401" ht="15.75" customHeight="1">
      <c r="A6401" s="2">
        <v>6404.0</v>
      </c>
      <c r="B6401" s="5" t="s">
        <v>11745</v>
      </c>
      <c r="C6401" s="6">
        <v>1.0</v>
      </c>
      <c r="D6401" s="7" t="s">
        <v>11745</v>
      </c>
      <c r="E6401" s="8" t="str">
        <f>IFERROR(__xludf.DUMMYFUNCTION("googletranslate(D6401,""id"",""en"")"),"This morning job mid month cancel all grgr ppkm who is clear: ')")</f>
        <v>This morning job mid month cancel all grgr ppkm who is clear: ')</v>
      </c>
    </row>
    <row r="6402" ht="15.75" customHeight="1">
      <c r="A6402" s="2">
        <v>6405.0</v>
      </c>
      <c r="B6402" s="5" t="s">
        <v>11746</v>
      </c>
      <c r="C6402" s="6">
        <v>1.0</v>
      </c>
      <c r="D6402" s="9" t="s">
        <v>11746</v>
      </c>
      <c r="E6402" s="8" t="str">
        <f>IFERROR(__xludf.DUMMYFUNCTION("googletranslate(D6402,""id"",""en"")"),"I'm angry with this PPKM but it is self-conscious ,,,")</f>
        <v>I'm angry with this PPKM but it is self-conscious ,,,</v>
      </c>
    </row>
    <row r="6403" ht="15.75" customHeight="1">
      <c r="A6403" s="2">
        <v>6406.0</v>
      </c>
      <c r="B6403" s="5" t="s">
        <v>11747</v>
      </c>
      <c r="C6403" s="6">
        <v>2.0</v>
      </c>
      <c r="D6403" s="9" t="s">
        <v>11748</v>
      </c>
      <c r="E6403" s="8" t="str">
        <f>IFERROR(__xludf.DUMMYFUNCTION("googletranslate(D6403,""id"",""en"")"),"behind work must change clothes, take a shower, if after shopping weekly washing hands, just hold the file using sanitizer, remove the mask when you want to drink, you don't want to drink, if you are bored, make an appointment to my friend at home, just b"&amp;"er5, this ppkm hasn't Ever played")</f>
        <v>behind work must change clothes, take a shower, if after shopping weekly washing hands, just hold the file using sanitizer, remove the mask when you want to drink, you don't want to drink, if you are bored, make an appointment to my friend at home, just ber5, this ppkm hasn't Ever played</v>
      </c>
    </row>
    <row r="6404" ht="15.75" customHeight="1">
      <c r="A6404" s="2">
        <v>6407.0</v>
      </c>
      <c r="B6404" s="5" t="s">
        <v>11749</v>
      </c>
      <c r="C6404" s="6">
        <v>1.0</v>
      </c>
      <c r="D6404" s="9" t="s">
        <v>11750</v>
      </c>
      <c r="E6404" s="8" t="str">
        <f>IFERROR(__xludf.DUMMYFUNCTION("googletranslate(D6404,""id"",""en"")"),"PPKM in the Timika District of Papua Apparatus did not dare to crack down on chickens on action every day., While T4 Halal businesses must swallow hard ...")</f>
        <v>PPKM in the Timika District of Papua Apparatus did not dare to crack down on chickens on action every day., While T4 Halal businesses must swallow hard ...</v>
      </c>
    </row>
    <row r="6405" ht="15.75" customHeight="1">
      <c r="A6405" s="2">
        <v>6408.0</v>
      </c>
      <c r="B6405" s="5" t="s">
        <v>11751</v>
      </c>
      <c r="C6405" s="6">
        <v>2.0</v>
      </c>
      <c r="D6405" s="10" t="s">
        <v>11752</v>
      </c>
      <c r="E6405" s="8" t="str">
        <f>IFERROR(__xludf.DUMMYFUNCTION("googletranslate(D6405,""id"",""en"")"),"PPKM")</f>
        <v>PPKM</v>
      </c>
    </row>
    <row r="6406" ht="15.75" customHeight="1">
      <c r="A6406" s="2">
        <v>6409.0</v>
      </c>
      <c r="B6406" s="5" t="s">
        <v>11753</v>
      </c>
      <c r="C6406" s="6">
        <v>1.0</v>
      </c>
      <c r="D6406" s="9" t="s">
        <v>11754</v>
      </c>
      <c r="E6406" s="8" t="str">
        <f>IFERROR(__xludf.DUMMYFUNCTION("googletranslate(D6406,""id"",""en"")"),"It shows lepel you are just limited to ppkm lepel ... bro, you paid an hour for just a pack of wrap but this corruptor lepel is a lepel commissioner ... * then keep going because if you don't bark then don't eat *")</f>
        <v>It shows lepel you are just limited to ppkm lepel ... bro, you paid an hour for just a pack of wrap but this corruptor lepel is a lepel commissioner ... * then keep going because if you don't bark then don't eat *</v>
      </c>
    </row>
    <row r="6407" ht="15.75" customHeight="1">
      <c r="A6407" s="2">
        <v>6410.0</v>
      </c>
      <c r="B6407" s="5" t="s">
        <v>11755</v>
      </c>
      <c r="C6407" s="6">
        <v>1.0</v>
      </c>
      <c r="D6407" s="7" t="s">
        <v>11756</v>
      </c>
      <c r="E6407" s="8" t="str">
        <f>IFERROR(__xludf.DUMMYFUNCTION("googletranslate(D6407,""id"",""en"")"),"Ciee who looked for the cie porridge, even though the porridge was bankrupt because of the PPKM")</f>
        <v>Ciee who looked for the cie porridge, even though the porridge was bankrupt because of the PPKM</v>
      </c>
    </row>
    <row r="6408" ht="15.75" customHeight="1">
      <c r="A6408" s="2">
        <v>6411.0</v>
      </c>
      <c r="B6408" s="5" t="s">
        <v>11757</v>
      </c>
      <c r="C6408" s="6">
        <v>1.0</v>
      </c>
      <c r="D6408" s="7" t="s">
        <v>11758</v>
      </c>
      <c r="E6408" s="8" t="str">
        <f>IFERROR(__xludf.DUMMYFUNCTION("googletranslate(D6408,""id"",""en"")"),"Yeah, don't take PPKM again tomorrow, God")</f>
        <v>Yeah, don't take PPKM again tomorrow, God</v>
      </c>
    </row>
    <row r="6409" ht="15.75" customHeight="1">
      <c r="A6409" s="2">
        <v>6412.0</v>
      </c>
      <c r="B6409" s="5" t="s">
        <v>11759</v>
      </c>
      <c r="C6409" s="6">
        <v>3.0</v>
      </c>
      <c r="D6409" s="9" t="s">
        <v>11760</v>
      </c>
      <c r="E6409" s="8" t="str">
        <f>IFERROR(__xludf.DUMMYFUNCTION("googletranslate(D6409,""id"",""en"")"),"Hopefully the pandemic is quickly destroyed by Mbak. Feels sad. But if my ppkm supports it")</f>
        <v>Hopefully the pandemic is quickly destroyed by Mbak. Feels sad. But if my ppkm supports it</v>
      </c>
    </row>
    <row r="6410" ht="15.75" customHeight="1">
      <c r="A6410" s="2">
        <v>6413.0</v>
      </c>
      <c r="B6410" s="5" t="s">
        <v>11761</v>
      </c>
      <c r="C6410" s="6">
        <v>1.0</v>
      </c>
      <c r="D6410" s="9" t="s">
        <v>11762</v>
      </c>
      <c r="E6410" s="8" t="str">
        <f>IFERROR(__xludf.DUMMYFUNCTION("googletranslate(D6410,""id"",""en"")"),"From the Sender's Rep 'but KAN PPKM' was mulu. Maybe the sender from the people is yes, the one who doesn't work 'today will not be able to eat if you don't look for money'.")</f>
        <v>From the Sender's Rep 'but KAN PPKM' was mulu. Maybe the sender from the people is yes, the one who doesn't work 'today will not be able to eat if you don't look for money'.</v>
      </c>
    </row>
    <row r="6411" ht="15.75" customHeight="1">
      <c r="A6411" s="2">
        <v>6414.0</v>
      </c>
      <c r="B6411" s="5" t="s">
        <v>11763</v>
      </c>
      <c r="C6411" s="6">
        <v>2.0</v>
      </c>
      <c r="D6411" s="9" t="s">
        <v>11764</v>
      </c>
      <c r="E6411" s="8" t="str">
        <f>IFERROR(__xludf.DUMMYFUNCTION("googletranslate(D6411,""id"",""en"")"),"Finally, the pain is dipriksaain for a long time, it is told to be a swab taunya not, because it turns out the serious stomach acid is the same as the cough season, never playing to the mall, if it plays before the PPKM is what the mountain is the mountai"&amp;"n, if you meet my house before the house")</f>
        <v>Finally, the pain is dipriksaain for a long time, it is told to be a swab taunya not, because it turns out the serious stomach acid is the same as the cough season, never playing to the mall, if it plays before the PPKM is what the mountain is the mountain, if you meet my house before the house</v>
      </c>
    </row>
    <row r="6412" ht="15.75" customHeight="1">
      <c r="A6412" s="2">
        <v>6415.0</v>
      </c>
      <c r="B6412" s="5" t="s">
        <v>11765</v>
      </c>
      <c r="C6412" s="6">
        <v>1.0</v>
      </c>
      <c r="D6412" s="9" t="s">
        <v>11766</v>
      </c>
      <c r="E6412" s="8" t="str">
        <f>IFERROR(__xludf.DUMMYFUNCTION("googletranslate(D6412,""id"",""en"")"),"Please don't discuss the media about Corona again, we are bored. The ends of the PPKM or others, who are difficult for people.")</f>
        <v>Please don't discuss the media about Corona again, we are bored. The ends of the PPKM or others, who are difficult for people.</v>
      </c>
    </row>
    <row r="6413" ht="15.75" customHeight="1">
      <c r="A6413" s="2">
        <v>6416.0</v>
      </c>
      <c r="B6413" s="5" t="s">
        <v>11767</v>
      </c>
      <c r="C6413" s="6">
        <v>1.0</v>
      </c>
      <c r="D6413" s="7" t="s">
        <v>11768</v>
      </c>
      <c r="E6413" s="8" t="str">
        <f>IFERROR(__xludf.DUMMYFUNCTION("googletranslate(D6413,""id"",""en"")"),"Want to go to Grameddd, the old PPKM is really")</f>
        <v>Want to go to Grameddd, the old PPKM is really</v>
      </c>
    </row>
    <row r="6414" ht="15.75" customHeight="1">
      <c r="A6414" s="2">
        <v>6417.0</v>
      </c>
      <c r="B6414" s="5" t="s">
        <v>11769</v>
      </c>
      <c r="C6414" s="6">
        <v>2.0</v>
      </c>
      <c r="D6414" s="9" t="s">
        <v>11770</v>
      </c>
      <c r="E6414" s="8" t="str">
        <f>IFERROR(__xludf.DUMMYFUNCTION("googletranslate(D6414,""id"",""en"")"),"Umm want to eat anything just like manteman. As long as other than PPKM is complete, the Covid level is not too high. But because it's too risky at least if the covid level goes down, it can be invited to just take it to eat at RMH.")</f>
        <v>Umm want to eat anything just like manteman. As long as other than PPKM is complete, the Covid level is not too high. But because it's too risky at least if the covid level goes down, it can be invited to just take it to eat at RMH.</v>
      </c>
    </row>
    <row r="6415" ht="15.75" customHeight="1">
      <c r="A6415" s="2">
        <v>6418.0</v>
      </c>
      <c r="B6415" s="5" t="s">
        <v>11771</v>
      </c>
      <c r="C6415" s="6">
        <v>2.0</v>
      </c>
      <c r="D6415" s="7" t="s">
        <v>11772</v>
      </c>
      <c r="E6415" s="8" t="str">
        <f>IFERROR(__xludf.DUMMYFUNCTION("googletranslate(D6415,""id"",""en"")"),"So that the PPKM demo should be like this")</f>
        <v>So that the PPKM demo should be like this</v>
      </c>
    </row>
    <row r="6416" ht="15.75" customHeight="1">
      <c r="A6416" s="2">
        <v>6419.0</v>
      </c>
      <c r="B6416" s="5" t="s">
        <v>11773</v>
      </c>
      <c r="C6416" s="6">
        <v>2.0</v>
      </c>
      <c r="D6416" s="7" t="s">
        <v>11773</v>
      </c>
      <c r="E6416" s="8" t="str">
        <f>IFERROR(__xludf.DUMMYFUNCTION("googletranslate(D6416,""id"",""en"")"),"Gramedia, how come it's open, bro, bro?")</f>
        <v>Gramedia, how come it's open, bro, bro?</v>
      </c>
    </row>
    <row r="6417" ht="15.75" customHeight="1">
      <c r="A6417" s="2">
        <v>6420.0</v>
      </c>
      <c r="B6417" s="5" t="s">
        <v>11774</v>
      </c>
      <c r="C6417" s="6">
        <v>1.0</v>
      </c>
      <c r="D6417" s="7" t="s">
        <v>11775</v>
      </c>
      <c r="E6417" s="8" t="str">
        <f>IFERROR(__xludf.DUMMYFUNCTION("googletranslate(D6417,""id"",""en"")"),"Since Economy PPKM rises% specifically the government of sudden rich government")</f>
        <v>Since Economy PPKM rises% specifically the government of sudden rich government</v>
      </c>
    </row>
    <row r="6418" ht="15.75" customHeight="1">
      <c r="A6418" s="2">
        <v>6421.0</v>
      </c>
      <c r="B6418" s="5" t="s">
        <v>11776</v>
      </c>
      <c r="C6418" s="6">
        <v>1.0</v>
      </c>
      <c r="D6418" s="7" t="s">
        <v>11776</v>
      </c>
      <c r="E6418" s="8" t="str">
        <f>IFERROR(__xludf.DUMMYFUNCTION("googletranslate(D6418,""id"",""en"")"),"PPKM is increasingly long, work is laid off. Yeah")</f>
        <v>PPKM is increasingly long, work is laid off. Yeah</v>
      </c>
    </row>
    <row r="6419" ht="15.75" customHeight="1">
      <c r="A6419" s="2">
        <v>6422.0</v>
      </c>
      <c r="B6419" s="5" t="s">
        <v>11777</v>
      </c>
      <c r="C6419" s="6">
        <v>3.0</v>
      </c>
      <c r="D6419" s="7" t="s">
        <v>11778</v>
      </c>
      <c r="E6419" s="8" t="str">
        <f>IFERROR(__xludf.DUMMYFUNCTION("googletranslate(D6419,""id"",""en"")"),"Dahh don't add a virus, just diem at home again ppkm gini")</f>
        <v>Dahh don't add a virus, just diem at home again ppkm gini</v>
      </c>
    </row>
    <row r="6420" ht="15.75" customHeight="1">
      <c r="A6420" s="2">
        <v>6423.0</v>
      </c>
      <c r="B6420" s="5" t="s">
        <v>11779</v>
      </c>
      <c r="C6420" s="6">
        <v>3.0</v>
      </c>
      <c r="D6420" s="7" t="s">
        <v>11780</v>
      </c>
      <c r="E6420" s="8" t="str">
        <f>IFERROR(__xludf.DUMMYFUNCTION("googletranslate(D6420,""id"",""en"")"),"Even though there is PPKM, this grandfather remains sports")</f>
        <v>Even though there is PPKM, this grandfather remains sports</v>
      </c>
    </row>
    <row r="6421" ht="15.75" customHeight="1">
      <c r="A6421" s="2">
        <v>6424.0</v>
      </c>
      <c r="B6421" s="5" t="s">
        <v>11781</v>
      </c>
      <c r="C6421" s="6">
        <v>3.0</v>
      </c>
      <c r="D6421" s="9" t="s">
        <v>11782</v>
      </c>
      <c r="E6421" s="8" t="str">
        <f>IFERROR(__xludf.DUMMYFUNCTION("googletranslate(D6421,""id"",""en"")"),"God willing always spirit, Sis. Hopefully the extension of the PPKM period increasingly makes a positive case decreasing, amiiin")</f>
        <v>God willing always spirit, Sis. Hopefully the extension of the PPKM period increasingly makes a positive case decreasing, amiiin</v>
      </c>
    </row>
    <row r="6422" ht="15.75" customHeight="1">
      <c r="A6422" s="2">
        <v>6425.0</v>
      </c>
      <c r="B6422" s="5" t="s">
        <v>11783</v>
      </c>
      <c r="C6422" s="6">
        <v>1.0</v>
      </c>
      <c r="D6422" s="7" t="s">
        <v>11784</v>
      </c>
      <c r="E6422" s="8" t="str">
        <f>IFERROR(__xludf.DUMMYFUNCTION("googletranslate(D6422,""id"",""en"")"),"Why is HBO max, why isn't the cinema, why is the PPKM")</f>
        <v>Why is HBO max, why isn't the cinema, why is the PPKM</v>
      </c>
    </row>
    <row r="6423" ht="15.75" customHeight="1">
      <c r="A6423" s="2">
        <v>6426.0</v>
      </c>
      <c r="B6423" s="5" t="s">
        <v>11785</v>
      </c>
      <c r="C6423" s="6">
        <v>1.0</v>
      </c>
      <c r="D6423" s="9" t="s">
        <v>11786</v>
      </c>
      <c r="E6423" s="8" t="str">
        <f>IFERROR(__xludf.DUMMYFUNCTION("googletranslate(D6423,""id"",""en"")"),"From Balung - Mesan returns alone around the hours of Malem. Because the PPKM is a lot of roads to be closed and have to go on another road plus the lights that have died on the road make it more quiet than usual. When I arrived home immediately proudly w"&amp;"ith myself.")</f>
        <v>From Balung - Mesan returns alone around the hours of Malem. Because the PPKM is a lot of roads to be closed and have to go on another road plus the lights that have died on the road make it more quiet than usual. When I arrived home immediately proudly with myself.</v>
      </c>
    </row>
    <row r="6424" ht="15.75" customHeight="1">
      <c r="A6424" s="2">
        <v>6427.0</v>
      </c>
      <c r="B6424" s="5" t="s">
        <v>11787</v>
      </c>
      <c r="C6424" s="6">
        <v>1.0</v>
      </c>
      <c r="D6424" s="9" t="s">
        <v>11788</v>
      </c>
      <c r="E6424" s="8" t="str">
        <f>IFERROR(__xludf.DUMMYFUNCTION("googletranslate(D6424,""id"",""en"")"),"This is an official SKK doesn't want to be postponed? This week is busy bgt ospek, on the week to prepare fitness please dong, sir, it's still still ppkm")</f>
        <v>This is an official SKK doesn't want to be postponed? This week is busy bgt ospek, on the week to prepare fitness please dong, sir, it's still still ppkm</v>
      </c>
    </row>
    <row r="6425" ht="15.75" customHeight="1">
      <c r="A6425" s="2">
        <v>6428.0</v>
      </c>
      <c r="B6425" s="5" t="s">
        <v>11789</v>
      </c>
      <c r="C6425" s="6">
        <v>1.0</v>
      </c>
      <c r="D6425" s="7" t="s">
        <v>11790</v>
      </c>
      <c r="E6425" s="8" t="str">
        <f>IFERROR(__xludf.DUMMYFUNCTION("googletranslate(D6425,""id"",""en"")"),"Gabole Study Tour Because More PPKM")</f>
        <v>Gabole Study Tour Because More PPKM</v>
      </c>
    </row>
    <row r="6426" ht="15.75" customHeight="1">
      <c r="A6426" s="2">
        <v>6429.0</v>
      </c>
      <c r="B6426" s="5" t="s">
        <v>11791</v>
      </c>
      <c r="C6426" s="6">
        <v>1.0</v>
      </c>
      <c r="D6426" s="7" t="s">
        <v>11792</v>
      </c>
      <c r="E6426" s="8" t="str">
        <f>IFERROR(__xludf.DUMMYFUNCTION("googletranslate(D6426,""id"",""en"")"),"Tumben comes home at the ppmm, it's really dark in the way. Fill Muter2 Through Rice Rice Field Duffening Lonely Again ..")</f>
        <v>Tumben comes home at the ppmm, it's really dark in the way. Fill Muter2 Through Rice Rice Field Duffening Lonely Again ..</v>
      </c>
    </row>
    <row r="6427" ht="15.75" customHeight="1">
      <c r="A6427" s="2">
        <v>6430.0</v>
      </c>
      <c r="B6427" s="5" t="s">
        <v>11793</v>
      </c>
      <c r="C6427" s="6">
        <v>1.0</v>
      </c>
      <c r="D6427" s="9" t="s">
        <v>11794</v>
      </c>
      <c r="E6427" s="8" t="str">
        <f>IFERROR(__xludf.DUMMYFUNCTION("googletranslate(D6427,""id"",""en"")"),"Lhoo isn't the ppkm limit junior high school August sir? How come it hurts ... how come the bnnsos for outside the DKI isn't there.")</f>
        <v>Lhoo isn't the ppkm limit junior high school August sir? How come it hurts ... how come the bnnsos for outside the DKI isn't there.</v>
      </c>
    </row>
    <row r="6428" ht="15.75" customHeight="1">
      <c r="A6428" s="2">
        <v>6431.0</v>
      </c>
      <c r="B6428" s="5" t="s">
        <v>11795</v>
      </c>
      <c r="C6428" s="6">
        <v>1.0</v>
      </c>
      <c r="D6428" s="9" t="s">
        <v>11796</v>
      </c>
      <c r="E6428" s="8" t="str">
        <f>IFERROR(__xludf.DUMMYFUNCTION("googletranslate(D6428,""id"",""en"")"),"WHY why, PPKM is not a lot of Lockdown people want to go anywhere as you like, why is it just a good family in the issue")</f>
        <v>WHY why, PPKM is not a lot of Lockdown people want to go anywhere as you like, why is it just a good family in the issue</v>
      </c>
    </row>
    <row r="6429" ht="15.75" customHeight="1">
      <c r="A6429" s="2">
        <v>6432.0</v>
      </c>
      <c r="B6429" s="5" t="s">
        <v>11797</v>
      </c>
      <c r="C6429" s="6">
        <v>1.0</v>
      </c>
      <c r="D6429" s="9" t="s">
        <v>11798</v>
      </c>
      <c r="E6429" s="8" t="str">
        <f>IFERROR(__xludf.DUMMYFUNCTION("googletranslate(D6429,""id"",""en"")"),"Corona gegara gegara ppkm, I work, it works, it feels confused, it's comfortable, how come it's because it won't go to Hendel's work, I have told the village, it's a bwawarin for work while we're comfortable, it's not able to get it just release the cave "&amp;"because it's just a guy")</f>
        <v>Corona gegara gegara ppkm, I work, it works, it feels confused, it's comfortable, how come it's because it won't go to Hendel's work, I have told the village, it's a bwawarin for work while we're comfortable, it's not able to get it just release the cave because it's just a guy</v>
      </c>
    </row>
    <row r="6430" ht="15.75" customHeight="1">
      <c r="A6430" s="2">
        <v>6433.0</v>
      </c>
      <c r="B6430" s="5" t="s">
        <v>11799</v>
      </c>
      <c r="C6430" s="6">
        <v>3.0</v>
      </c>
      <c r="D6430" s="7" t="s">
        <v>11800</v>
      </c>
      <c r="E6430" s="8" t="str">
        <f>IFERROR(__xludf.DUMMYFUNCTION("googletranslate(D6430,""id"",""en"")"),"PPKM is proven to be able to reduce the speed of the spread of Covid, let's support it")</f>
        <v>PPKM is proven to be able to reduce the speed of the spread of Covid, let's support it</v>
      </c>
    </row>
    <row r="6431" ht="15.75" customHeight="1">
      <c r="A6431" s="2">
        <v>6434.0</v>
      </c>
      <c r="B6431" s="5" t="s">
        <v>11801</v>
      </c>
      <c r="C6431" s="6">
        <v>1.0</v>
      </c>
      <c r="D6431" s="7" t="s">
        <v>11802</v>
      </c>
      <c r="E6431" s="8" t="str">
        <f>IFERROR(__xludf.DUMMYFUNCTION("googletranslate(D6431,""id"",""en"")"),"Maybe home back to Jakarta is blocked by PPKM level insulation.")</f>
        <v>Maybe home back to Jakarta is blocked by PPKM level insulation.</v>
      </c>
    </row>
    <row r="6432" ht="15.75" customHeight="1">
      <c r="A6432" s="2">
        <v>6435.0</v>
      </c>
      <c r="B6432" s="5" t="s">
        <v>11803</v>
      </c>
      <c r="C6432" s="6">
        <v>3.0</v>
      </c>
      <c r="D6432" s="7" t="s">
        <v>11804</v>
      </c>
      <c r="E6432" s="8" t="str">
        <f>IFERROR(__xludf.DUMMYFUNCTION("googletranslate(D6432,""id"",""en"")"),"PPKM extension level has considered various aspects.")</f>
        <v>PPKM extension level has considered various aspects.</v>
      </c>
    </row>
    <row r="6433" ht="15.75" customHeight="1">
      <c r="A6433" s="2">
        <v>6436.0</v>
      </c>
      <c r="B6433" s="5" t="s">
        <v>11805</v>
      </c>
      <c r="C6433" s="6">
        <v>2.0</v>
      </c>
      <c r="D6433" s="10" t="s">
        <v>11806</v>
      </c>
      <c r="E6433" s="8" t="str">
        <f>IFERROR(__xludf.DUMMYFUNCTION("googletranslate(D6433,""id"",""en"")"),"Kan again PPKM")</f>
        <v>Kan again PPKM</v>
      </c>
    </row>
    <row r="6434" ht="15.75" customHeight="1">
      <c r="A6434" s="2">
        <v>6437.0</v>
      </c>
      <c r="B6434" s="5" t="s">
        <v>11807</v>
      </c>
      <c r="C6434" s="6">
        <v>2.0</v>
      </c>
      <c r="D6434" s="9" t="s">
        <v>11808</v>
      </c>
      <c r="E6434" s="8" t="str">
        <f>IFERROR(__xludf.DUMMYFUNCTION("googletranslate(D6434,""id"",""en"")"),"I used to arrive, or now Kan PPKM")</f>
        <v>I used to arrive, or now Kan PPKM</v>
      </c>
    </row>
    <row r="6435" ht="15.75" customHeight="1">
      <c r="A6435" s="2">
        <v>6438.0</v>
      </c>
      <c r="B6435" s="5" t="s">
        <v>11809</v>
      </c>
      <c r="C6435" s="6">
        <v>1.0</v>
      </c>
      <c r="D6435" s="7" t="s">
        <v>11810</v>
      </c>
      <c r="E6435" s="8" t="str">
        <f>IFERROR(__xludf.DUMMYFUNCTION("googletranslate(D6435,""id"",""en"")"),"Again ppkm gini continued to be shocked for just being strange")</f>
        <v>Again ppkm gini continued to be shocked for just being strange</v>
      </c>
    </row>
    <row r="6436" ht="15.75" customHeight="1">
      <c r="A6436" s="2">
        <v>6439.0</v>
      </c>
      <c r="B6436" s="5" t="s">
        <v>11811</v>
      </c>
      <c r="C6436" s="6">
        <v>1.0</v>
      </c>
      <c r="D6436" s="7" t="s">
        <v>11811</v>
      </c>
      <c r="E6436" s="8" t="str">
        <f>IFERROR(__xludf.DUMMYFUNCTION("googletranslate(D6436,""id"",""en"")"),"Again, missed Bandung, friend, friend, friend, hunted, bro, ni ppkm")</f>
        <v>Again, missed Bandung, friend, friend, friend, hunted, bro, ni ppkm</v>
      </c>
    </row>
    <row r="6437" ht="15.75" customHeight="1">
      <c r="A6437" s="2">
        <v>6440.0</v>
      </c>
      <c r="B6437" s="5" t="s">
        <v>11812</v>
      </c>
      <c r="C6437" s="6">
        <v>2.0</v>
      </c>
      <c r="D6437" s="10" t="s">
        <v>11813</v>
      </c>
      <c r="E6437" s="8" t="str">
        <f>IFERROR(__xludf.DUMMYFUNCTION("googletranslate(D6437,""id"",""en"")"),"Again PPKM")</f>
        <v>Again PPKM</v>
      </c>
    </row>
    <row r="6438" ht="15.75" customHeight="1">
      <c r="A6438" s="2">
        <v>6441.0</v>
      </c>
      <c r="B6438" s="5" t="s">
        <v>11814</v>
      </c>
      <c r="C6438" s="6">
        <v>2.0</v>
      </c>
      <c r="D6438" s="7" t="s">
        <v>11815</v>
      </c>
      <c r="E6438" s="8" t="str">
        <f>IFERROR(__xludf.DUMMYFUNCTION("googletranslate(D6438,""id"",""en"")"),"I think ppkm will be extended again ...... a week")</f>
        <v>I think ppkm will be extended again ...... a week</v>
      </c>
    </row>
    <row r="6439" ht="15.75" customHeight="1">
      <c r="A6439" s="2">
        <v>6442.0</v>
      </c>
      <c r="B6439" s="5" t="s">
        <v>11816</v>
      </c>
      <c r="C6439" s="6">
        <v>3.0</v>
      </c>
      <c r="D6439" s="9" t="s">
        <v>11817</v>
      </c>
      <c r="E6439" s="8" t="str">
        <f>IFERROR(__xludf.DUMMYFUNCTION("googletranslate(D6439,""id"",""en"")"),"The PPKM level that has been done previously has brought a number of repairs")</f>
        <v>The PPKM level that has been done previously has brought a number of repairs</v>
      </c>
    </row>
    <row r="6440" ht="15.75" customHeight="1">
      <c r="A6440" s="2">
        <v>6443.0</v>
      </c>
      <c r="B6440" s="5" t="s">
        <v>11818</v>
      </c>
      <c r="C6440" s="6">
        <v>2.0</v>
      </c>
      <c r="D6440" s="7" t="s">
        <v>11819</v>
      </c>
      <c r="E6440" s="8" t="str">
        <f>IFERROR(__xludf.DUMMYFUNCTION("googletranslate(D6440,""id"",""en"")"),"Ppkm gabole where do you manatapi ""tuh"" photo already everywhere")</f>
        <v>Ppkm gabole where do you manatapi "tuh" photo already everywhere</v>
      </c>
    </row>
    <row r="6441" ht="15.75" customHeight="1">
      <c r="A6441" s="2">
        <v>6444.0</v>
      </c>
      <c r="B6441" s="5" t="s">
        <v>11820</v>
      </c>
      <c r="C6441" s="6">
        <v>3.0</v>
      </c>
      <c r="D6441" s="7" t="s">
        <v>11821</v>
      </c>
      <c r="E6441" s="8" t="str">
        <f>IFERROR(__xludf.DUMMYFUNCTION("googletranslate(D6441,""id"",""en"")"),"naah baguuss msih ppkm")</f>
        <v>naah baguuss msih ppkm</v>
      </c>
    </row>
    <row r="6442" ht="15.75" customHeight="1">
      <c r="A6442" s="2">
        <v>6445.0</v>
      </c>
      <c r="B6442" s="5" t="s">
        <v>11822</v>
      </c>
      <c r="C6442" s="6">
        <v>1.0</v>
      </c>
      <c r="D6442" s="9" t="s">
        <v>11823</v>
      </c>
      <c r="E6442" s="8" t="str">
        <f>IFERROR(__xludf.DUMMYFUNCTION("googletranslate(D6442,""id"",""en"")"),"Tempo ... as a trusted media ... it doesn't need to use the term PPKM ... following the tadpole regime that is not clear right now ... (sorry ... just a suggestion)")</f>
        <v>Tempo ... as a trusted media ... it doesn't need to use the term PPKM ... following the tadpole regime that is not clear right now ... (sorry ... just a suggestion)</v>
      </c>
    </row>
    <row r="6443" ht="15.75" customHeight="1">
      <c r="A6443" s="2">
        <v>6446.0</v>
      </c>
      <c r="B6443" s="5" t="s">
        <v>11824</v>
      </c>
      <c r="C6443" s="6">
        <v>2.0</v>
      </c>
      <c r="D6443" s="7" t="s">
        <v>11825</v>
      </c>
      <c r="E6443" s="8" t="str">
        <f>IFERROR(__xludf.DUMMYFUNCTION("googletranslate(D6443,""id"",""en"")"),"Extend, the name is the PPKM Level Pro Max")</f>
        <v>Extend, the name is the PPKM Level Pro Max</v>
      </c>
    </row>
    <row r="6444" ht="15.75" customHeight="1">
      <c r="A6444" s="2">
        <v>6447.0</v>
      </c>
      <c r="B6444" s="5" t="s">
        <v>11826</v>
      </c>
      <c r="C6444" s="6">
        <v>2.0</v>
      </c>
      <c r="D6444" s="9" t="s">
        <v>11826</v>
      </c>
      <c r="E6444" s="8" t="str">
        <f>IFERROR(__xludf.DUMMYFUNCTION("googletranslate(D6444,""id"",""en"")"),"Ppkm opened cusss back me")</f>
        <v>Ppkm opened cusss back me</v>
      </c>
    </row>
    <row r="6445" ht="15.75" customHeight="1">
      <c r="A6445" s="2">
        <v>6448.0</v>
      </c>
      <c r="B6445" s="5" t="s">
        <v>11827</v>
      </c>
      <c r="C6445" s="6">
        <v>2.0</v>
      </c>
      <c r="D6445" s="7" t="s">
        <v>11828</v>
      </c>
      <c r="E6445" s="8" t="str">
        <f>IFERROR(__xludf.DUMMYFUNCTION("googletranslate(D6445,""id"",""en"")"),"Still ppkm can my friend be sure to play")</f>
        <v>Still ppkm can my friend be sure to play</v>
      </c>
    </row>
    <row r="6446" ht="15.75" customHeight="1">
      <c r="A6446" s="2">
        <v>6449.0</v>
      </c>
      <c r="B6446" s="5" t="s">
        <v>11829</v>
      </c>
      <c r="C6446" s="6">
        <v>2.0</v>
      </c>
      <c r="D6446" s="9" t="s">
        <v>11830</v>
      </c>
      <c r="E6446" s="8" t="str">
        <f>IFERROR(__xludf.DUMMYFUNCTION("googletranslate(D6446,""id"",""en"")"),"later if I can't send the factory")</f>
        <v>later if I can't send the factory</v>
      </c>
    </row>
    <row r="6447" ht="15.75" customHeight="1">
      <c r="A6447" s="2">
        <v>6450.0</v>
      </c>
      <c r="B6447" s="5" t="s">
        <v>11831</v>
      </c>
      <c r="C6447" s="6">
        <v>1.0</v>
      </c>
      <c r="D6447" s="7" t="s">
        <v>11831</v>
      </c>
      <c r="E6447" s="8" t="str">
        <f>IFERROR(__xludf.DUMMYFUNCTION("googletranslate(D6447,""id"",""en"")"),"PPKM Prohibition of Mudik.")</f>
        <v>PPKM Prohibition of Mudik.</v>
      </c>
    </row>
    <row r="6448" ht="15.75" customHeight="1">
      <c r="A6448" s="2">
        <v>6451.0</v>
      </c>
      <c r="B6448" s="5" t="s">
        <v>11832</v>
      </c>
      <c r="C6448" s="6">
        <v>2.0</v>
      </c>
      <c r="D6448" s="7" t="s">
        <v>11832</v>
      </c>
      <c r="E6448" s="8" t="str">
        <f>IFERROR(__xludf.DUMMYFUNCTION("googletranslate(D6448,""id"",""en"")"),"/ Wal does anyone know the djadoel bjb shop during the ppkm what time is it open? Want to snack there eh: '")</f>
        <v>/ Wal does anyone know the djadoel bjb shop during the ppkm what time is it open? Want to snack there eh: '</v>
      </c>
    </row>
    <row r="6449" ht="15.75" customHeight="1">
      <c r="A6449" s="2">
        <v>6452.0</v>
      </c>
      <c r="B6449" s="5" t="s">
        <v>11833</v>
      </c>
      <c r="C6449" s="6">
        <v>1.0</v>
      </c>
      <c r="D6449" s="7" t="s">
        <v>11834</v>
      </c>
      <c r="E6449" s="8" t="str">
        <f>IFERROR(__xludf.DUMMYFUNCTION("googletranslate(D6449,""id"",""en"")"),"Want to bury on the edge of the road margonda front alley, but smnjak ppkm ga sell me")</f>
        <v>Want to bury on the edge of the road margonda front alley, but smnjak ppkm ga sell me</v>
      </c>
    </row>
    <row r="6450" ht="15.75" customHeight="1">
      <c r="A6450" s="2">
        <v>6453.0</v>
      </c>
      <c r="B6450" s="5" t="s">
        <v>11835</v>
      </c>
      <c r="C6450" s="6">
        <v>2.0</v>
      </c>
      <c r="D6450" s="7" t="s">
        <v>11836</v>
      </c>
      <c r="E6450" s="8" t="str">
        <f>IFERROR(__xludf.DUMMYFUNCTION("googletranslate(D6450,""id"",""en"")"),"the lake in New Zealand is no PPKM")</f>
        <v>the lake in New Zealand is no PPKM</v>
      </c>
    </row>
    <row r="6451" ht="15.75" customHeight="1">
      <c r="A6451" s="2">
        <v>6454.0</v>
      </c>
      <c r="B6451" s="5" t="s">
        <v>11837</v>
      </c>
      <c r="C6451" s="6">
        <v>3.0</v>
      </c>
      <c r="D6451" s="7" t="s">
        <v>11838</v>
      </c>
      <c r="E6451" s="8" t="str">
        <f>IFERROR(__xludf.DUMMYFUNCTION("googletranslate(D6451,""id"",""en"")"),"The community must obey PPKM")</f>
        <v>The community must obey PPKM</v>
      </c>
    </row>
    <row r="6452" ht="15.75" customHeight="1">
      <c r="A6452" s="2">
        <v>6455.0</v>
      </c>
      <c r="B6452" s="5" t="s">
        <v>11839</v>
      </c>
      <c r="C6452" s="6">
        <v>1.0</v>
      </c>
      <c r="D6452" s="7" t="s">
        <v>11840</v>
      </c>
      <c r="E6452" s="8" t="str">
        <f>IFERROR(__xludf.DUMMYFUNCTION("googletranslate(D6452,""id"",""en"")"),"Males ah, there is lonely Grgr PPKM: "")")</f>
        <v>Males ah, there is lonely Grgr PPKM: ")</v>
      </c>
    </row>
    <row r="6453" ht="15.75" customHeight="1">
      <c r="A6453" s="2">
        <v>6456.0</v>
      </c>
      <c r="B6453" s="5" t="s">
        <v>11841</v>
      </c>
      <c r="C6453" s="6">
        <v>1.0</v>
      </c>
      <c r="D6453" s="9" t="s">
        <v>11841</v>
      </c>
      <c r="E6453" s="8" t="str">
        <f>IFERROR(__xludf.DUMMYFUNCTION("googletranslate(D6453,""id"",""en"")"),"Only this time the shopping online was sent until it was so far as this yet. Ouch PPKM.")</f>
        <v>Only this time the shopping online was sent until it was so far as this yet. Ouch PPKM.</v>
      </c>
    </row>
    <row r="6454" ht="15.75" customHeight="1">
      <c r="A6454" s="2">
        <v>6457.0</v>
      </c>
      <c r="B6454" s="5" t="s">
        <v>11842</v>
      </c>
      <c r="C6454" s="6">
        <v>2.0</v>
      </c>
      <c r="D6454" s="7" t="s">
        <v>11843</v>
      </c>
      <c r="E6454" s="8" t="str">
        <f>IFERROR(__xludf.DUMMYFUNCTION("googletranslate(D6454,""id"",""en"")"),"Ppkm slowly slowly the pussy")</f>
        <v>Ppkm slowly slowly the pussy</v>
      </c>
    </row>
    <row r="6455" ht="15.75" customHeight="1">
      <c r="A6455" s="2">
        <v>6458.0</v>
      </c>
      <c r="B6455" s="5" t="s">
        <v>11844</v>
      </c>
      <c r="C6455" s="6">
        <v>1.0</v>
      </c>
      <c r="D6455" s="10" t="s">
        <v>11845</v>
      </c>
      <c r="E6455" s="8" t="str">
        <f>IFERROR(__xludf.DUMMYFUNCTION("googletranslate(D6455,""id"",""en"")"),"PPKM Jancok.")</f>
        <v>PPKM Jancok.</v>
      </c>
    </row>
    <row r="6456" ht="15.75" customHeight="1">
      <c r="A6456" s="2">
        <v>6459.0</v>
      </c>
      <c r="B6456" s="5" t="s">
        <v>11846</v>
      </c>
      <c r="C6456" s="6">
        <v>2.0</v>
      </c>
      <c r="D6456" s="7" t="s">
        <v>11847</v>
      </c>
      <c r="E6456" s="8" t="str">
        <f>IFERROR(__xludf.DUMMYFUNCTION("googletranslate(D6456,""id"",""en"")"),"car free day plus ppkm too")</f>
        <v>car free day plus ppkm too</v>
      </c>
    </row>
    <row r="6457" ht="15.75" customHeight="1">
      <c r="A6457" s="2">
        <v>6460.0</v>
      </c>
      <c r="B6457" s="5" t="s">
        <v>11848</v>
      </c>
      <c r="C6457" s="6">
        <v>2.0</v>
      </c>
      <c r="D6457" s="7" t="s">
        <v>11849</v>
      </c>
      <c r="E6457" s="8" t="str">
        <f>IFERROR(__xludf.DUMMYFUNCTION("googletranslate(D6457,""id"",""en"")"),"Let's get out of the PPKM")</f>
        <v>Let's get out of the PPKM</v>
      </c>
    </row>
    <row r="6458" ht="15.75" customHeight="1">
      <c r="A6458" s="2">
        <v>6461.0</v>
      </c>
      <c r="B6458" s="5" t="s">
        <v>11850</v>
      </c>
      <c r="C6458" s="6">
        <v>2.0</v>
      </c>
      <c r="D6458" s="7" t="s">
        <v>11850</v>
      </c>
      <c r="E6458" s="8" t="str">
        <f>IFERROR(__xludf.DUMMYFUNCTION("googletranslate(D6458,""id"",""en"")"),"Mol in Tangerang Close Ga Gaes during PPKM ??")</f>
        <v>Mol in Tangerang Close Ga Gaes during PPKM ??</v>
      </c>
    </row>
    <row r="6459" ht="15.75" customHeight="1">
      <c r="A6459" s="2">
        <v>6462.0</v>
      </c>
      <c r="B6459" s="5" t="s">
        <v>11851</v>
      </c>
      <c r="C6459" s="6">
        <v>2.0</v>
      </c>
      <c r="D6459" s="7" t="s">
        <v>11851</v>
      </c>
      <c r="E6459" s="8" t="str">
        <f>IFERROR(__xludf.DUMMYFUNCTION("googletranslate(D6459,""id"",""en"")"),"Ppkm until today is right. May not be extended lg plisss ...")</f>
        <v>Ppkm until today is right. May not be extended lg plisss ...</v>
      </c>
    </row>
    <row r="6460" ht="15.75" customHeight="1">
      <c r="A6460" s="2">
        <v>6463.0</v>
      </c>
      <c r="B6460" s="5" t="s">
        <v>11852</v>
      </c>
      <c r="C6460" s="6">
        <v>1.0</v>
      </c>
      <c r="D6460" s="7" t="s">
        <v>11853</v>
      </c>
      <c r="E6460" s="8" t="str">
        <f>IFERROR(__xludf.DUMMYFUNCTION("googletranslate(D6460,""id"",""en"")"),"Ppkm yes no bole")</f>
        <v>Ppkm yes no bole</v>
      </c>
    </row>
    <row r="6461" ht="15.75" customHeight="1">
      <c r="A6461" s="2">
        <v>6464.0</v>
      </c>
      <c r="B6461" s="5" t="s">
        <v>11854</v>
      </c>
      <c r="C6461" s="6">
        <v>1.0</v>
      </c>
      <c r="D6461" s="9" t="s">
        <v>11855</v>
      </c>
      <c r="E6461" s="8" t="str">
        <f>IFERROR(__xludf.DUMMYFUNCTION("googletranslate(D6461,""id"",""en"")"),"Full PPKM if there is no economic solution breaker, it is close because it is bankrupt. Whatever work is all again at the dead end")</f>
        <v>Full PPKM if there is no economic solution breaker, it is close because it is bankrupt. Whatever work is all again at the dead end</v>
      </c>
    </row>
    <row r="6462" ht="15.75" customHeight="1">
      <c r="A6462" s="2">
        <v>6465.0</v>
      </c>
      <c r="B6462" s="5" t="s">
        <v>11856</v>
      </c>
      <c r="C6462" s="6">
        <v>2.0</v>
      </c>
      <c r="D6462" s="7" t="s">
        <v>11856</v>
      </c>
      <c r="E6462" s="8" t="str">
        <f>IFERROR(__xludf.DUMMYFUNCTION("googletranslate(D6462,""id"",""en"")"),"Wait for the next PPKM news")</f>
        <v>Wait for the next PPKM news</v>
      </c>
    </row>
    <row r="6463" ht="15.75" customHeight="1">
      <c r="A6463" s="2">
        <v>6466.0</v>
      </c>
      <c r="B6463" s="5" t="s">
        <v>11857</v>
      </c>
      <c r="C6463" s="6">
        <v>1.0</v>
      </c>
      <c r="D6463" s="7" t="s">
        <v>11857</v>
      </c>
      <c r="E6463" s="8" t="str">
        <f>IFERROR(__xludf.DUMMYFUNCTION("googletranslate(D6463,""id"",""en"")"),"Already bored at home continues because of a pandemic &amp; amp; PPKM. Until I want to do it in the room, sleep bored. How good is you doing?")</f>
        <v>Already bored at home continues because of a pandemic &amp; amp; PPKM. Until I want to do it in the room, sleep bored. How good is you doing?</v>
      </c>
    </row>
    <row r="6464" ht="15.75" customHeight="1">
      <c r="A6464" s="2">
        <v>6467.0</v>
      </c>
      <c r="B6464" s="5" t="s">
        <v>11858</v>
      </c>
      <c r="C6464" s="6">
        <v>2.0</v>
      </c>
      <c r="D6464" s="10" t="s">
        <v>4873</v>
      </c>
      <c r="E6464" s="8" t="str">
        <f>IFERROR(__xludf.DUMMYFUNCTION("googletranslate(D6464,""id"",""en"")"),"Still PPKM")</f>
        <v>Still PPKM</v>
      </c>
    </row>
    <row r="6465" ht="15.75" customHeight="1">
      <c r="A6465" s="2">
        <v>6468.0</v>
      </c>
      <c r="B6465" s="5" t="s">
        <v>11859</v>
      </c>
      <c r="C6465" s="6">
        <v>1.0</v>
      </c>
      <c r="D6465" s="9" t="s">
        <v>11859</v>
      </c>
      <c r="E6465" s="8" t="str">
        <f>IFERROR(__xludf.DUMMYFUNCTION("googletranslate(D6465,""id"",""en"")"),"""Yeu stupid crazy, really a person"" lu bgo who is crazy, ppkm gini instead playing a stupid child, do you see what number of covid cases?")</f>
        <v>"Yeu stupid crazy, really a person" lu bgo who is crazy, ppkm gini instead playing a stupid child, do you see what number of covid cases?</v>
      </c>
    </row>
    <row r="6466" ht="15.75" customHeight="1">
      <c r="A6466" s="2">
        <v>6469.0</v>
      </c>
      <c r="B6466" s="5" t="s">
        <v>11860</v>
      </c>
      <c r="C6466" s="6">
        <v>2.0</v>
      </c>
      <c r="D6466" s="9" t="s">
        <v>11860</v>
      </c>
      <c r="E6466" s="8" t="str">
        <f>IFERROR(__xludf.DUMMYFUNCTION("googletranslate(D6466,""id"",""en"")"),"Hold it, dear to Oyo, PPKM is still extended.")</f>
        <v>Hold it, dear to Oyo, PPKM is still extended.</v>
      </c>
    </row>
    <row r="6467" ht="15.75" customHeight="1">
      <c r="A6467" s="2">
        <v>6470.0</v>
      </c>
      <c r="B6467" s="5" t="s">
        <v>11861</v>
      </c>
      <c r="C6467" s="6">
        <v>3.0</v>
      </c>
      <c r="D6467" s="7" t="s">
        <v>11862</v>
      </c>
      <c r="E6467" s="8" t="str">
        <f>IFERROR(__xludf.DUMMYFUNCTION("googletranslate(D6467,""id"",""en"")"),"Good morning .... happy Sunday ... keep enthusiasm, keep optimism, keep trying, don't drop hope in prayer, surely ... all will be slow ppkmpan it improves..tuhan bless us all")</f>
        <v>Good morning .... happy Sunday ... keep enthusiasm, keep optimism, keep trying, don't drop hope in prayer, surely ... all will be slow ppkmpan it improves..tuhan bless us all</v>
      </c>
    </row>
    <row r="6468" ht="15.75" customHeight="1">
      <c r="A6468" s="2">
        <v>6471.0</v>
      </c>
      <c r="B6468" s="5" t="s">
        <v>11863</v>
      </c>
      <c r="C6468" s="6">
        <v>2.0</v>
      </c>
      <c r="D6468" s="9" t="s">
        <v>11864</v>
      </c>
      <c r="E6468" s="8" t="str">
        <f>IFERROR(__xludf.DUMMYFUNCTION("googletranslate(D6468,""id"",""en"")"),"So that the ppkm g is to nurture continuously")</f>
        <v>So that the ppkm g is to nurture continuously</v>
      </c>
    </row>
    <row r="6469" ht="15.75" customHeight="1">
      <c r="A6469" s="2">
        <v>6472.0</v>
      </c>
      <c r="B6469" s="5" t="s">
        <v>11865</v>
      </c>
      <c r="C6469" s="6">
        <v>2.0</v>
      </c>
      <c r="D6469" s="9" t="s">
        <v>11866</v>
      </c>
      <c r="E6469" s="8" t="str">
        <f>IFERROR(__xludf.DUMMYFUNCTION("googletranslate(D6469,""id"",""en"")"),"Because Over Thinking hasn't been sleepy about discussion with yourself ""self talk"" Discuss the government PPKM policy with a comparison with the quarantine of the region either because it's watching the tasty suggestion before looking for Bobo's positi"&amp;"on")</f>
        <v>Because Over Thinking hasn't been sleepy about discussion with yourself "self talk" Discuss the government PPKM policy with a comparison with the quarantine of the region either because it's watching the tasty suggestion before looking for Bobo's position</v>
      </c>
    </row>
    <row r="6470" ht="15.75" customHeight="1">
      <c r="A6470" s="2">
        <v>6473.0</v>
      </c>
      <c r="B6470" s="5" t="s">
        <v>11867</v>
      </c>
      <c r="C6470" s="6">
        <v>2.0</v>
      </c>
      <c r="D6470" s="7" t="s">
        <v>11868</v>
      </c>
      <c r="E6470" s="8" t="str">
        <f>IFERROR(__xludf.DUMMYFUNCTION("googletranslate(D6470,""id"",""en"")"),"Hurry JD Pager Ayu Pas PPKM Gini")</f>
        <v>Hurry JD Pager Ayu Pas PPKM Gini</v>
      </c>
    </row>
    <row r="6471" ht="15.75" customHeight="1">
      <c r="A6471" s="2">
        <v>6474.0</v>
      </c>
      <c r="B6471" s="5" t="s">
        <v>11869</v>
      </c>
      <c r="C6471" s="6">
        <v>2.0</v>
      </c>
      <c r="D6471" s="9" t="s">
        <v>11870</v>
      </c>
      <c r="E6471" s="8" t="str">
        <f>IFERROR(__xludf.DUMMYFUNCTION("googletranslate(D6471,""id"",""en"")"),"Wow Wait for PPKM to Rate first")</f>
        <v>Wow Wait for PPKM to Rate first</v>
      </c>
    </row>
    <row r="6472" ht="15.75" customHeight="1">
      <c r="A6472" s="2">
        <v>6475.0</v>
      </c>
      <c r="B6472" s="5" t="s">
        <v>11871</v>
      </c>
      <c r="C6472" s="6">
        <v>2.0</v>
      </c>
      <c r="D6472" s="7" t="s">
        <v>11872</v>
      </c>
      <c r="E6472" s="8" t="str">
        <f>IFERROR(__xludf.DUMMYFUNCTION("googletranslate(D6472,""id"",""en"")"),"Extended ppkm until that (hidden) Princess update")</f>
        <v>Extended ppkm until that (hidden) Princess update</v>
      </c>
    </row>
    <row r="6473" ht="15.75" customHeight="1">
      <c r="A6473" s="2">
        <v>6476.0</v>
      </c>
      <c r="B6473" s="5" t="s">
        <v>11873</v>
      </c>
      <c r="C6473" s="6">
        <v>1.0</v>
      </c>
      <c r="D6473" s="9" t="s">
        <v>11874</v>
      </c>
      <c r="E6473" s="8" t="str">
        <f>IFERROR(__xludf.DUMMYFUNCTION("googletranslate(D6473,""id"",""en"")"),"first break Win PPKM extended continuously, dizziness")</f>
        <v>first break Win PPKM extended continuously, dizziness</v>
      </c>
    </row>
    <row r="6474" ht="15.75" customHeight="1">
      <c r="A6474" s="2">
        <v>6477.0</v>
      </c>
      <c r="B6474" s="5" t="s">
        <v>11875</v>
      </c>
      <c r="C6474" s="6">
        <v>1.0</v>
      </c>
      <c r="D6474" s="7" t="s">
        <v>11876</v>
      </c>
      <c r="E6474" s="8" t="str">
        <f>IFERROR(__xludf.DUMMYFUNCTION("googletranslate(D6474,""id"",""en"")"),"again busy ngins ppkm at wakanda")</f>
        <v>again busy ngins ppkm at wakanda</v>
      </c>
    </row>
    <row r="6475" ht="15.75" customHeight="1">
      <c r="A6475" s="2">
        <v>6478.0</v>
      </c>
      <c r="B6475" s="5" t="s">
        <v>11877</v>
      </c>
      <c r="C6475" s="6">
        <v>1.0</v>
      </c>
      <c r="D6475" s="7" t="s">
        <v>11878</v>
      </c>
      <c r="E6475" s="8" t="str">
        <f>IFERROR(__xludf.DUMMYFUNCTION("googletranslate(D6475,""id"",""en"")"),"How come it can nipu parents like that? I was willing to break up in college because it was affected by the PPKM, ehh that was still able to study &amp; amp; released by the UKT instead the behavior of the GT")</f>
        <v>How come it can nipu parents like that? I was willing to break up in college because it was affected by the PPKM, ehh that was still able to study &amp; amp; released by the UKT instead the behavior of the GT</v>
      </c>
    </row>
    <row r="6476" ht="15.75" customHeight="1">
      <c r="A6476" s="2">
        <v>6479.0</v>
      </c>
      <c r="B6476" s="5" t="s">
        <v>11879</v>
      </c>
      <c r="C6476" s="6">
        <v>2.0</v>
      </c>
      <c r="D6476" s="7" t="s">
        <v>11880</v>
      </c>
      <c r="E6476" s="8" t="str">
        <f>IFERROR(__xludf.DUMMYFUNCTION("googletranslate(D6476,""id"",""en"")"),"Let the PPKM close the highway, which is important not to close your heart for me.")</f>
        <v>Let the PPKM close the highway, which is important not to close your heart for me.</v>
      </c>
    </row>
    <row r="6477" ht="15.75" customHeight="1">
      <c r="A6477" s="2">
        <v>6480.0</v>
      </c>
      <c r="B6477" s="5" t="s">
        <v>11881</v>
      </c>
      <c r="C6477" s="6">
        <v>3.0</v>
      </c>
      <c r="D6477" s="7" t="s">
        <v>11881</v>
      </c>
      <c r="E6477" s="8" t="str">
        <f>IFERROR(__xludf.DUMMYFUNCTION("googletranslate(D6477,""id"",""en"")"),"Athletes' guesthouse began to empty, the meaning of the PPKM was successful, it was not the result of the work of someone who was not the work of the governor. Fun next week can be cusss ..")</f>
        <v>Athletes' guesthouse began to empty, the meaning of the PPKM was successful, it was not the result of the work of someone who was not the work of the governor. Fun next week can be cusss ..</v>
      </c>
    </row>
    <row r="6478" ht="15.75" customHeight="1">
      <c r="A6478" s="2">
        <v>6481.0</v>
      </c>
      <c r="B6478" s="5" t="s">
        <v>11882</v>
      </c>
      <c r="C6478" s="6">
        <v>2.0</v>
      </c>
      <c r="D6478" s="9" t="s">
        <v>11883</v>
      </c>
      <c r="E6478" s="8" t="str">
        <f>IFERROR(__xludf.DUMMYFUNCTION("googletranslate(D6478,""id"",""en"")"),"Happy weekend ... Still PPKM Don't come out first, if you are forced to leave it.")</f>
        <v>Happy weekend ... Still PPKM Don't come out first, if you are forced to leave it.</v>
      </c>
    </row>
    <row r="6479" ht="15.75" customHeight="1">
      <c r="A6479" s="2">
        <v>6482.0</v>
      </c>
      <c r="B6479" s="5" t="s">
        <v>11884</v>
      </c>
      <c r="C6479" s="6">
        <v>2.0</v>
      </c>
      <c r="D6479" s="10" t="s">
        <v>11885</v>
      </c>
      <c r="E6479" s="8" t="str">
        <f>IFERROR(__xludf.DUMMYFUNCTION("googletranslate(D6479,""id"",""en"")"),"SBLM PPKM.")</f>
        <v>SBLM PPKM.</v>
      </c>
    </row>
    <row r="6480" ht="15.75" customHeight="1">
      <c r="A6480" s="2">
        <v>6483.0</v>
      </c>
      <c r="B6480" s="5" t="s">
        <v>11886</v>
      </c>
      <c r="C6480" s="6">
        <v>3.0</v>
      </c>
      <c r="D6480" s="9" t="s">
        <v>11887</v>
      </c>
      <c r="E6480" s="8" t="str">
        <f>IFERROR(__xludf.DUMMYFUNCTION("googletranslate(D6480,""id"",""en"")"),"Effective PPKM Level Lower DN Prevent Copit Blast. ButIIIIIIII. Still must be alert, don't jump anymore. Datay the prokes ... don't let you get it off!")</f>
        <v>Effective PPKM Level Lower DN Prevent Copit Blast. ButIIIIIIII. Still must be alert, don't jump anymore. Datay the prokes ... don't let you get it off!</v>
      </c>
    </row>
    <row r="6481" ht="15.75" customHeight="1">
      <c r="A6481" s="2">
        <v>6484.0</v>
      </c>
      <c r="B6481" s="5" t="s">
        <v>11888</v>
      </c>
      <c r="C6481" s="6">
        <v>1.0</v>
      </c>
      <c r="D6481" s="7" t="s">
        <v>11889</v>
      </c>
      <c r="E6481" s="8" t="str">
        <f>IFERROR(__xludf.DUMMYFUNCTION("googletranslate(D6481,""id"",""en"")"),"Then it comes to Borma, along the way there is no social distance, there is no taste of ppkm samsek, it doesn't use masks too")</f>
        <v>Then it comes to Borma, along the way there is no social distance, there is no taste of ppkm samsek, it doesn't use masks too</v>
      </c>
    </row>
    <row r="6482" ht="15.75" customHeight="1">
      <c r="A6482" s="2">
        <v>6485.0</v>
      </c>
      <c r="B6482" s="5" t="s">
        <v>11890</v>
      </c>
      <c r="C6482" s="6">
        <v>2.0</v>
      </c>
      <c r="D6482" s="10" t="s">
        <v>11891</v>
      </c>
      <c r="E6482" s="8" t="str">
        <f>IFERROR(__xludf.DUMMYFUNCTION("googletranslate(D6482,""id"",""en"")"),"Msh PPKM Y.")</f>
        <v>Msh PPKM Y.</v>
      </c>
    </row>
    <row r="6483" ht="15.75" customHeight="1">
      <c r="A6483" s="2">
        <v>6486.0</v>
      </c>
      <c r="B6483" s="5" t="s">
        <v>11892</v>
      </c>
      <c r="C6483" s="6">
        <v>3.0</v>
      </c>
      <c r="D6483" s="9" t="s">
        <v>11893</v>
      </c>
      <c r="E6483" s="8" t="str">
        <f>IFERROR(__xludf.DUMMYFUNCTION("googletranslate(D6483,""id"",""en"")"),"Supporting decisions regarding the extension of family PPKvaccanties protected")</f>
        <v>Supporting decisions regarding the extension of family PPKvaccanties protected</v>
      </c>
    </row>
    <row r="6484" ht="15.75" customHeight="1">
      <c r="A6484" s="2">
        <v>6487.0</v>
      </c>
      <c r="B6484" s="5" t="s">
        <v>11894</v>
      </c>
      <c r="C6484" s="6">
        <v>3.0</v>
      </c>
      <c r="D6484" s="9" t="s">
        <v>11895</v>
      </c>
      <c r="E6484" s="8" t="str">
        <f>IFERROR(__xludf.DUMMYFUNCTION("googletranslate(D6484,""id"",""en"")"),"TRS evaluates the emergency PPKM level until next August. The Covid-19 handling task force recorded a decrease in Covid-19 active cases in several Java Provinces of Bali which applied the rules.")</f>
        <v>TRS evaluates the emergency PPKM level until next August. The Covid-19 handling task force recorded a decrease in Covid-19 active cases in several Java Provinces of Bali which applied the rules.</v>
      </c>
    </row>
    <row r="6485" ht="15.75" customHeight="1">
      <c r="A6485" s="2">
        <v>6488.0</v>
      </c>
      <c r="B6485" s="5" t="s">
        <v>11896</v>
      </c>
      <c r="C6485" s="6">
        <v>3.0</v>
      </c>
      <c r="D6485" s="7" t="s">
        <v>11897</v>
      </c>
      <c r="E6485" s="8" t="str">
        <f>IFERROR(__xludf.DUMMYFUNCTION("googletranslate(D6485,""id"",""en"")"),"It is a form of government concern for the safety of the people of Indonesia. The government is maximized and optimizing handling Covid-19. Pandemic")</f>
        <v>It is a form of government concern for the safety of the people of Indonesia. The government is maximized and optimizing handling Covid-19. Pandemic</v>
      </c>
    </row>
    <row r="6486" ht="15.75" customHeight="1">
      <c r="A6486" s="2">
        <v>6489.0</v>
      </c>
      <c r="B6486" s="5" t="s">
        <v>11898</v>
      </c>
      <c r="C6486" s="6">
        <v>3.0</v>
      </c>
      <c r="D6486" s="9" t="s">
        <v>11899</v>
      </c>
      <c r="E6486" s="8" t="str">
        <f>IFERROR(__xludf.DUMMYFUNCTION("googletranslate(D6486,""id"",""en"")"),"Prames of tight msecara is the key to success preventing transmission of covid virusesbathing mobilization &amp; amp; Avoiding the crowd is the thing on m who is obtained in the implementation of emergency ppkm")</f>
        <v>Prames of tight msecara is the key to success preventing transmission of covid virusesbathing mobilization &amp; amp; Avoiding the crowd is the thing on m who is obtained in the implementation of emergency ppkm</v>
      </c>
    </row>
    <row r="6487" ht="15.75" customHeight="1">
      <c r="A6487" s="2">
        <v>6490.0</v>
      </c>
      <c r="B6487" s="5" t="s">
        <v>11900</v>
      </c>
      <c r="C6487" s="6">
        <v>3.0</v>
      </c>
      <c r="D6487" s="7" t="s">
        <v>11901</v>
      </c>
      <c r="E6487" s="8" t="str">
        <f>IFERROR(__xludf.DUMMYFUNCTION("googletranslate(D6487,""id"",""en"")"),"Enforcement of restrictions on community activities (PPKM) proved to have succeeded in suppressing the transmission of the Covid case of this policy to health, safety and community resilience during the Kovid pandemic period")</f>
        <v>Enforcement of restrictions on community activities (PPKM) proved to have succeeded in suppressing the transmission of the Covid case of this policy to health, safety and community resilience during the Kovid pandemic period</v>
      </c>
    </row>
    <row r="6488" ht="15.75" customHeight="1">
      <c r="A6488" s="2">
        <v>6491.0</v>
      </c>
      <c r="B6488" s="5" t="s">
        <v>11902</v>
      </c>
      <c r="C6488" s="6">
        <v>3.0</v>
      </c>
      <c r="D6488" s="7" t="s">
        <v>11903</v>
      </c>
      <c r="E6488" s="8" t="str">
        <f>IFERROR(__xludf.DUMMYFUNCTION("googletranslate(D6488,""id"",""en"")"),"Complying with these rules is the same as we maintain the environment and our closest people. Let's continue to obey this level PPKM so that we can be separated from the CVD19 pandemic.")</f>
        <v>Complying with these rules is the same as we maintain the environment and our closest people. Let's continue to obey this level PPKM so that we can be separated from the CVD19 pandemic.</v>
      </c>
    </row>
    <row r="6489" ht="15.75" customHeight="1">
      <c r="A6489" s="2">
        <v>6492.0</v>
      </c>
      <c r="B6489" s="5" t="s">
        <v>11904</v>
      </c>
      <c r="C6489" s="6">
        <v>3.0</v>
      </c>
      <c r="D6489" s="7" t="s">
        <v>11905</v>
      </c>
      <c r="E6489" s="8" t="str">
        <f>IFERROR(__xludf.DUMMYFUNCTION("googletranslate(D6489,""id"",""en"")"),"The PPKM policy is a form of government concern for public safety and health and to suppress the spread of Covid-19.")</f>
        <v>The PPKM policy is a form of government concern for public safety and health and to suppress the spread of Covid-19.</v>
      </c>
    </row>
    <row r="6490" ht="15.75" customHeight="1">
      <c r="A6490" s="2">
        <v>6493.0</v>
      </c>
      <c r="B6490" s="5" t="s">
        <v>11906</v>
      </c>
      <c r="C6490" s="6">
        <v>3.0</v>
      </c>
      <c r="D6490" s="7" t="s">
        <v>11907</v>
      </c>
      <c r="E6490" s="8" t="str">
        <f>IFERROR(__xludf.DUMMYFUNCTION("googletranslate(D6490,""id"",""en"")"),"There have been many victims from this covid pandemic, don't even be anything else. Stay enthusiastic and obedient to strict proces, vaccination and implement PPKM into an absolute thing we have to follow if we want this difficult situation to end.")</f>
        <v>There have been many victims from this covid pandemic, don't even be anything else. Stay enthusiastic and obedient to strict proces, vaccination and implement PPKM into an absolute thing we have to follow if we want this difficult situation to end.</v>
      </c>
    </row>
    <row r="6491" ht="15.75" customHeight="1">
      <c r="A6491" s="2">
        <v>6494.0</v>
      </c>
      <c r="B6491" s="5" t="s">
        <v>11908</v>
      </c>
      <c r="C6491" s="6">
        <v>1.0</v>
      </c>
      <c r="D6491" s="7" t="s">
        <v>11909</v>
      </c>
      <c r="E6491" s="8" t="str">
        <f>IFERROR(__xludf.DUMMYFUNCTION("googletranslate(D6491,""id"",""en"")"),"PPKM Want to End, Billboards, Vaccinations Starts Many, Economy%, Mercy Party Attacked, Kasak-I Jd No.1. Pak Wowo Where?")</f>
        <v>PPKM Want to End, Billboards, Vaccinations Starts Many, Economy%, Mercy Party Attacked, Kasak-I Jd No.1. Pak Wowo Where?</v>
      </c>
    </row>
    <row r="6492" ht="15.75" customHeight="1">
      <c r="A6492" s="2">
        <v>6495.0</v>
      </c>
      <c r="B6492" s="5" t="s">
        <v>11910</v>
      </c>
      <c r="C6492" s="6">
        <v>3.0</v>
      </c>
      <c r="D6492" s="9" t="s">
        <v>11911</v>
      </c>
      <c r="E6492" s="8" t="str">
        <f>IFERROR(__xludf.DUMMYFUNCTION("googletranslate(D6492,""id"",""en"")"),"The PPKM extension produced significant results, succeeding in suppressing the spread of the new variant virus to the wider community, thank you for medical personnel who struggled without tiredness hopefully this outbreak immediately blessed")</f>
        <v>The PPKM extension produced significant results, succeeding in suppressing the spread of the new variant virus to the wider community, thank you for medical personnel who struggled without tiredness hopefully this outbreak immediately blessed</v>
      </c>
    </row>
    <row r="6493" ht="15.75" customHeight="1">
      <c r="A6493" s="2">
        <v>6496.0</v>
      </c>
      <c r="B6493" s="5" t="s">
        <v>11912</v>
      </c>
      <c r="C6493" s="6">
        <v>1.0</v>
      </c>
      <c r="D6493" s="12" t="s">
        <v>11913</v>
      </c>
      <c r="E6493" s="8" t="str">
        <f>IFERROR(__xludf.DUMMYFUNCTION("googletranslate(D6493,""id"",""en"")"),"Cape PPKM Mulu")</f>
        <v>Cape PPKM Mulu</v>
      </c>
    </row>
    <row r="6494" ht="15.75" customHeight="1">
      <c r="A6494" s="2">
        <v>6497.0</v>
      </c>
      <c r="B6494" s="5" t="s">
        <v>11914</v>
      </c>
      <c r="C6494" s="6">
        <v>2.0</v>
      </c>
      <c r="D6494" s="9" t="s">
        <v>11915</v>
      </c>
      <c r="E6494" s="8" t="str">
        <f>IFERROR(__xludf.DUMMYFUNCTION("googletranslate(D6494,""id"",""en"")"),"During the PPKM dream of the person, why is it")</f>
        <v>During the PPKM dream of the person, why is it</v>
      </c>
    </row>
    <row r="6495" ht="15.75" customHeight="1">
      <c r="A6495" s="2">
        <v>6498.0</v>
      </c>
      <c r="B6495" s="5" t="s">
        <v>11916</v>
      </c>
      <c r="C6495" s="6">
        <v>1.0</v>
      </c>
      <c r="D6495" s="9" t="s">
        <v>11917</v>
      </c>
      <c r="E6495" s="8" t="str">
        <f>IFERROR(__xludf.DUMMYFUNCTION("googletranslate(D6495,""id"",""en"")"),"The city status of the PPKM level, but it also holds a wedding party. While reminded, the cm is limited to his own family ... don't remember the guest that comes can not be controlled")</f>
        <v>The city status of the PPKM level, but it also holds a wedding party. While reminded, the cm is limited to his own family ... don't remember the guest that comes can not be controlled</v>
      </c>
    </row>
    <row r="6496" ht="15.75" customHeight="1">
      <c r="A6496" s="2">
        <v>6499.0</v>
      </c>
      <c r="B6496" s="5" t="s">
        <v>11918</v>
      </c>
      <c r="C6496" s="6">
        <v>1.0</v>
      </c>
      <c r="D6496" s="9" t="s">
        <v>11919</v>
      </c>
      <c r="E6496" s="8" t="str">
        <f>IFERROR(__xludf.DUMMYFUNCTION("googletranslate(D6496,""id"",""en"")"),"Plus, do you discuss the Candy. He covidiots. Oppose PPKM. Don't because it's popular, continuing to be killed. The end of Stop Ampe Bikini Action Her Ajadunia Popular Literature Indonesia is still toxic. In accordance with the quality of the people's qua"&amp;"lity today. A little neutral media. CNN ID for example.")</f>
        <v>Plus, do you discuss the Candy. He covidiots. Oppose PPKM. Don't because it's popular, continuing to be killed. The end of Stop Ampe Bikini Action Her Ajadunia Popular Literature Indonesia is still toxic. In accordance with the quality of the people's quality today. A little neutral media. CNN ID for example.</v>
      </c>
    </row>
    <row r="6497" ht="15.75" customHeight="1">
      <c r="A6497" s="2">
        <v>6500.0</v>
      </c>
      <c r="B6497" s="5" t="s">
        <v>11920</v>
      </c>
      <c r="C6497" s="6">
        <v>1.0</v>
      </c>
      <c r="D6497" s="9" t="s">
        <v>11921</v>
      </c>
      <c r="E6497" s="8" t="str">
        <f>IFERROR(__xludf.DUMMYFUNCTION("googletranslate(D6497,""id"",""en"")"),"Talking about human rights in this country like talking about, rame when it smells, after no smell, yes busy the one again. If the stomach problem is, it becomes a concern. History taught so, the President fell because the people of the hungry. PPKM was s"&amp;"uspended because there began with resistance, caused by hungry stomach")</f>
        <v>Talking about human rights in this country like talking about, rame when it smells, after no smell, yes busy the one again. If the stomach problem is, it becomes a concern. History taught so, the President fell because the people of the hungry. PPKM was suspended because there began with resistance, caused by hungry stomach</v>
      </c>
    </row>
    <row r="6498" ht="15.75" customHeight="1">
      <c r="A6498" s="2">
        <v>6501.0</v>
      </c>
      <c r="B6498" s="5" t="s">
        <v>11922</v>
      </c>
      <c r="C6498" s="6">
        <v>2.0</v>
      </c>
      <c r="D6498" s="7" t="s">
        <v>11923</v>
      </c>
      <c r="E6498" s="8" t="str">
        <f>IFERROR(__xludf.DUMMYFUNCTION("googletranslate(D6498,""id"",""en"")"),"This is our way for adventure holidays in PPKM, who patiently kid ...")</f>
        <v>This is our way for adventure holidays in PPKM, who patiently kid ...</v>
      </c>
    </row>
    <row r="6499" ht="15.75" customHeight="1">
      <c r="A6499" s="2">
        <v>6502.0</v>
      </c>
      <c r="B6499" s="5" t="s">
        <v>11924</v>
      </c>
      <c r="C6499" s="6">
        <v>1.0</v>
      </c>
      <c r="D6499" s="7" t="s">
        <v>11925</v>
      </c>
      <c r="E6499" s="8" t="str">
        <f>IFERROR(__xludf.DUMMYFUNCTION("googletranslate(D6499,""id"",""en"")"),"Mr. De was confused what kind of name after PPKM level .. Chared the team to finish looking for a name.")</f>
        <v>Mr. De was confused what kind of name after PPKM level .. Chared the team to finish looking for a name.</v>
      </c>
    </row>
    <row r="6500" ht="15.75" customHeight="1">
      <c r="A6500" s="2">
        <v>6503.0</v>
      </c>
      <c r="B6500" s="5" t="s">
        <v>11926</v>
      </c>
      <c r="C6500" s="6">
        <v>3.0</v>
      </c>
      <c r="D6500" s="7" t="s">
        <v>11927</v>
      </c>
      <c r="E6500" s="8" t="str">
        <f>IFERROR(__xludf.DUMMYFUNCTION("googletranslate(D6500,""id"",""en"")"),"In order to stop from C_19 obey PPKM.Dan keep taking care of the distance, keep the distance with the former you can be Moso with the plague can't be a spirit of morning spirit increasing")</f>
        <v>In order to stop from C_19 obey PPKM.Dan keep taking care of the distance, keep the distance with the former you can be Moso with the plague can't be a spirit of morning spirit increasing</v>
      </c>
    </row>
    <row r="6501" ht="15.75" customHeight="1">
      <c r="A6501" s="2">
        <v>6504.0</v>
      </c>
      <c r="B6501" s="5" t="s">
        <v>11928</v>
      </c>
      <c r="C6501" s="6">
        <v>1.0</v>
      </c>
      <c r="D6501" s="7" t="s">
        <v>11929</v>
      </c>
      <c r="E6501" s="8" t="str">
        <f>IFERROR(__xludf.DUMMYFUNCTION("googletranslate(D6501,""id"",""en"")"),"It is the question")</f>
        <v>It is the question</v>
      </c>
    </row>
    <row r="6502" ht="15.75" customHeight="1">
      <c r="A6502" s="2">
        <v>6505.0</v>
      </c>
      <c r="B6502" s="5" t="s">
        <v>11930</v>
      </c>
      <c r="C6502" s="6">
        <v>3.0</v>
      </c>
      <c r="D6502" s="7" t="s">
        <v>11931</v>
      </c>
      <c r="E6502" s="8" t="str">
        <f>IFERROR(__xludf.DUMMYFUNCTION("googletranslate(D6502,""id"",""en"")"),"Support the PPKM Government Program")</f>
        <v>Support the PPKM Government Program</v>
      </c>
    </row>
    <row r="6503" ht="15.75" customHeight="1">
      <c r="A6503" s="2">
        <v>6506.0</v>
      </c>
      <c r="B6503" s="5" t="s">
        <v>11932</v>
      </c>
      <c r="C6503" s="6">
        <v>2.0</v>
      </c>
      <c r="D6503" s="7" t="s">
        <v>11933</v>
      </c>
      <c r="E6503" s="8" t="str">
        <f>IFERROR(__xludf.DUMMYFUNCTION("googletranslate(D6503,""id"",""en"")"),"Did PPKM change your lifestyle Sis?")</f>
        <v>Did PPKM change your lifestyle Sis?</v>
      </c>
    </row>
    <row r="6504" ht="15.75" customHeight="1">
      <c r="A6504" s="2">
        <v>6507.0</v>
      </c>
      <c r="B6504" s="5" t="s">
        <v>11934</v>
      </c>
      <c r="C6504" s="6">
        <v>1.0</v>
      </c>
      <c r="D6504" s="7" t="s">
        <v>11935</v>
      </c>
      <c r="E6504" s="8" t="str">
        <f>IFERROR(__xludf.DUMMYFUNCTION("googletranslate(D6504,""id"",""en"")"),"Iyaaappkm actually makes no break gmn")</f>
        <v>Iyaaappkm actually makes no break gmn</v>
      </c>
    </row>
    <row r="6505" ht="15.75" customHeight="1">
      <c r="A6505" s="2">
        <v>6508.0</v>
      </c>
      <c r="B6505" s="5" t="s">
        <v>11936</v>
      </c>
      <c r="C6505" s="6">
        <v>2.0</v>
      </c>
      <c r="D6505" s="7" t="s">
        <v>11937</v>
      </c>
      <c r="E6505" s="8" t="str">
        <f>IFERROR(__xludf.DUMMYFUNCTION("googletranslate(D6505,""id"",""en"")"),"Want to come here later after PPKM")</f>
        <v>Want to come here later after PPKM</v>
      </c>
    </row>
    <row r="6506" ht="15.75" customHeight="1">
      <c r="A6506" s="2">
        <v>6509.0</v>
      </c>
      <c r="B6506" s="5" t="s">
        <v>11938</v>
      </c>
      <c r="C6506" s="6">
        <v>3.0</v>
      </c>
      <c r="D6506" s="7" t="s">
        <v>11939</v>
      </c>
      <c r="E6506" s="8" t="str">
        <f>IFERROR(__xludf.DUMMYFUNCTION("googletranslate(D6506,""id"",""en"")"),"Obey the Rules of PPKM ... with Joint Health")</f>
        <v>Obey the Rules of PPKM ... with Joint Health</v>
      </c>
    </row>
    <row r="6507" ht="15.75" customHeight="1">
      <c r="A6507" s="2">
        <v>6510.0</v>
      </c>
      <c r="B6507" s="5" t="s">
        <v>11940</v>
      </c>
      <c r="C6507" s="6">
        <v>2.0</v>
      </c>
      <c r="D6507" s="7" t="s">
        <v>11941</v>
      </c>
      <c r="E6507" s="8" t="str">
        <f>IFERROR(__xludf.DUMMYFUNCTION("googletranslate(D6507,""id"",""en"")"),"Hopefully the PPKM hopefully")</f>
        <v>Hopefully the PPKM hopefully</v>
      </c>
    </row>
    <row r="6508" ht="15.75" customHeight="1">
      <c r="A6508" s="2">
        <v>6511.0</v>
      </c>
      <c r="B6508" s="5" t="s">
        <v>11942</v>
      </c>
      <c r="C6508" s="6">
        <v>1.0</v>
      </c>
      <c r="D6508" s="7" t="s">
        <v>11943</v>
      </c>
      <c r="E6508" s="8" t="str">
        <f>IFERROR(__xludf.DUMMYFUNCTION("googletranslate(D6508,""id"",""en"")"),"I don't think the PPKM is still a level but the streets of Jakarta are very weekend")</f>
        <v>I don't think the PPKM is still a level but the streets of Jakarta are very weekend</v>
      </c>
    </row>
    <row r="6509" ht="15.75" customHeight="1">
      <c r="A6509" s="2">
        <v>6512.0</v>
      </c>
      <c r="B6509" s="5" t="s">
        <v>11944</v>
      </c>
      <c r="C6509" s="6">
        <v>1.0</v>
      </c>
      <c r="D6509" s="7" t="s">
        <v>11944</v>
      </c>
      <c r="E6509" s="8" t="str">
        <f>IFERROR(__xludf.DUMMYFUNCTION("googletranslate(D6509,""id"",""en"")"),"This ppkm tastes already ga kya kya ppkm, rame the street bandung")</f>
        <v>This ppkm tastes already ga kya kya ppkm, rame the street bandung</v>
      </c>
    </row>
    <row r="6510" ht="15.75" customHeight="1">
      <c r="A6510" s="2">
        <v>6513.0</v>
      </c>
      <c r="B6510" s="5" t="s">
        <v>11945</v>
      </c>
      <c r="C6510" s="6">
        <v>2.0</v>
      </c>
      <c r="D6510" s="9" t="s">
        <v>11946</v>
      </c>
      <c r="E6510" s="8" t="str">
        <f>IFERROR(__xludf.DUMMYFUNCTION("googletranslate(D6510,""id"",""en"")"),"Request there is grayy if I finish PPKM")</f>
        <v>Request there is grayy if I finish PPKM</v>
      </c>
    </row>
    <row r="6511" ht="15.75" customHeight="1">
      <c r="A6511" s="2">
        <v>6514.0</v>
      </c>
      <c r="B6511" s="5" t="s">
        <v>11947</v>
      </c>
      <c r="C6511" s="6">
        <v>3.0</v>
      </c>
      <c r="D6511" s="9" t="s">
        <v>11948</v>
      </c>
      <c r="E6511" s="8" t="str">
        <f>IFERROR(__xludf.DUMMYFUNCTION("googletranslate(D6511,""id"",""en"")"),"For the sake of the safety of the people of Indonesia, let's support President Joko Widodo's decision regarding the extension of the PPKM to August. Family Vaccination is protected")</f>
        <v>For the sake of the safety of the people of Indonesia, let's support President Joko Widodo's decision regarding the extension of the PPKM to August. Family Vaccination is protected</v>
      </c>
    </row>
    <row r="6512" ht="15.75" customHeight="1">
      <c r="A6512" s="2">
        <v>6515.0</v>
      </c>
      <c r="B6512" s="5" t="s">
        <v>11949</v>
      </c>
      <c r="C6512" s="6">
        <v>1.0</v>
      </c>
      <c r="D6512" s="10" t="s">
        <v>11949</v>
      </c>
      <c r="E6512" s="8" t="str">
        <f>IFERROR(__xludf.DUMMYFUNCTION("googletranslate(D6512,""id"",""en"")"),"PPKM Cen Asu.")</f>
        <v>PPKM Cen Asu.</v>
      </c>
    </row>
    <row r="6513" ht="15.75" customHeight="1">
      <c r="A6513" s="2">
        <v>6516.0</v>
      </c>
      <c r="B6513" s="5" t="s">
        <v>11950</v>
      </c>
      <c r="C6513" s="6">
        <v>3.0</v>
      </c>
      <c r="D6513" s="7" t="s">
        <v>11951</v>
      </c>
      <c r="E6513" s="8" t="str">
        <f>IFERROR(__xludf.DUMMYFUNCTION("googletranslate(D6513,""id"",""en"")"),"Yukk supports PPKM")</f>
        <v>Yukk supports PPKM</v>
      </c>
    </row>
    <row r="6514" ht="15.75" customHeight="1">
      <c r="A6514" s="2">
        <v>6517.0</v>
      </c>
      <c r="B6514" s="5" t="s">
        <v>11952</v>
      </c>
      <c r="C6514" s="6">
        <v>1.0</v>
      </c>
      <c r="D6514" s="7" t="s">
        <v>11953</v>
      </c>
      <c r="E6514" s="8" t="str">
        <f>IFERROR(__xludf.DUMMYFUNCTION("googletranslate(D6514,""id"",""en"")"),"Well the Om. It's money in their hands, it's a fantastic buanayakkkkk ... so the matter of snapping a small plane. It's money there and bukyakkkkk bgt. Naturally, it's good for money. Affairs of the people's trouble in Pandemic?, PPKM? Yes ... endact know"&amp;"ledge.")</f>
        <v>Well the Om. It's money in their hands, it's a fantastic buanayakkkkk ... so the matter of snapping a small plane. It's money there and bukyakkkkk bgt. Naturally, it's good for money. Affairs of the people's trouble in Pandemic?, PPKM? Yes ... endact knowledge.</v>
      </c>
    </row>
    <row r="6515" ht="15.75" customHeight="1">
      <c r="A6515" s="2">
        <v>6518.0</v>
      </c>
      <c r="B6515" s="5" t="s">
        <v>11954</v>
      </c>
      <c r="C6515" s="6">
        <v>1.0</v>
      </c>
      <c r="D6515" s="7" t="s">
        <v>11955</v>
      </c>
      <c r="E6515" s="8" t="str">
        <f>IFERROR(__xludf.DUMMYFUNCTION("googletranslate(D6515,""id"",""en"")"),"Bissmillahirrahmannnirrahiim ... for Jajajn my child. Because PPKM becomes gabisa business.")</f>
        <v>Bissmillahirrahmannnirrahiim ... for Jajajn my child. Because PPKM becomes gabisa business.</v>
      </c>
    </row>
    <row r="6516" ht="15.75" customHeight="1">
      <c r="A6516" s="2">
        <v>6519.0</v>
      </c>
      <c r="B6516" s="5" t="s">
        <v>11956</v>
      </c>
      <c r="C6516" s="6">
        <v>2.0</v>
      </c>
      <c r="D6516" s="7" t="s">
        <v>1795</v>
      </c>
      <c r="E6516" s="8" t="str">
        <f>IFERROR(__xludf.DUMMYFUNCTION("googletranslate(D6516,""id"",""en"")"),"PPKM is extended")</f>
        <v>PPKM is extended</v>
      </c>
    </row>
    <row r="6517" ht="15.75" customHeight="1">
      <c r="A6517" s="2">
        <v>6520.0</v>
      </c>
      <c r="B6517" s="5" t="s">
        <v>11957</v>
      </c>
      <c r="C6517" s="6">
        <v>3.0</v>
      </c>
      <c r="D6517" s="7" t="s">
        <v>11958</v>
      </c>
      <c r="E6517" s="8" t="str">
        <f>IFERROR(__xludf.DUMMYFUNCTION("googletranslate(D6517,""id"",""en"")"),"Extension of PPKM is considered")</f>
        <v>Extension of PPKM is considered</v>
      </c>
    </row>
    <row r="6518" ht="15.75" customHeight="1">
      <c r="A6518" s="2">
        <v>6521.0</v>
      </c>
      <c r="B6518" s="5" t="s">
        <v>11959</v>
      </c>
      <c r="C6518" s="6">
        <v>2.0</v>
      </c>
      <c r="D6518" s="9" t="s">
        <v>11960</v>
      </c>
      <c r="E6518" s="8" t="str">
        <f>IFERROR(__xludf.DUMMYFUNCTION("googletranslate(D6518,""id"",""en"")"),"after the PPKM will be accompanied, don't look online if you make a scary jeansn")</f>
        <v>after the PPKM will be accompanied, don't look online if you make a scary jeansn</v>
      </c>
    </row>
    <row r="6519" ht="15.75" customHeight="1">
      <c r="A6519" s="2">
        <v>6522.0</v>
      </c>
      <c r="B6519" s="5" t="s">
        <v>11961</v>
      </c>
      <c r="C6519" s="6">
        <v>1.0</v>
      </c>
      <c r="D6519" s="9" t="s">
        <v>11962</v>
      </c>
      <c r="E6519" s="8" t="str">
        <f>IFERROR(__xludf.DUMMYFUNCTION("googletranslate(D6519,""id"",""en"")"),"Most good answers to my answers are only given duties, and plus d give fee the concept of PPKM concepts, the people want to sell instead D told to close, woii officer you know the meaning of PPKM = the enactment of restrictions on community activities is "&amp;"not the closure remember the restriction")</f>
        <v>Most good answers to my answers are only given duties, and plus d give fee the concept of PPKM concepts, the people want to sell instead D told to close, woii officer you know the meaning of PPKM = the enactment of restrictions on community activities is not the closure remember the restriction</v>
      </c>
    </row>
    <row r="6520" ht="15.75" customHeight="1">
      <c r="A6520" s="2">
        <v>6523.0</v>
      </c>
      <c r="B6520" s="5" t="s">
        <v>11963</v>
      </c>
      <c r="C6520" s="6">
        <v>3.0</v>
      </c>
      <c r="D6520" s="10" t="s">
        <v>7294</v>
      </c>
      <c r="E6520" s="8" t="str">
        <f>IFERROR(__xludf.DUMMYFUNCTION("googletranslate(D6520,""id"",""en"")"),"Support PPKM")</f>
        <v>Support PPKM</v>
      </c>
    </row>
    <row r="6521" ht="15.75" customHeight="1">
      <c r="A6521" s="2">
        <v>6524.0</v>
      </c>
      <c r="B6521" s="5" t="s">
        <v>11964</v>
      </c>
      <c r="C6521" s="6">
        <v>1.0</v>
      </c>
      <c r="D6521" s="7" t="s">
        <v>11965</v>
      </c>
      <c r="E6521" s="8" t="str">
        <f>IFERROR(__xludf.DUMMYFUNCTION("googletranslate(D6521,""id"",""en"")"),"Freedom is free from colonial &amp; amp; Processment of NOW era in the form of PPKM and vaccines")</f>
        <v>Freedom is free from colonial &amp; amp; Processment of NOW era in the form of PPKM and vaccines</v>
      </c>
    </row>
    <row r="6522" ht="15.75" customHeight="1">
      <c r="A6522" s="2">
        <v>6525.0</v>
      </c>
      <c r="B6522" s="5" t="s">
        <v>11966</v>
      </c>
      <c r="C6522" s="6">
        <v>1.0</v>
      </c>
      <c r="D6522" s="7" t="s">
        <v>11967</v>
      </c>
      <c r="E6522" s="8" t="str">
        <f>IFERROR(__xludf.DUMMYFUNCTION("googletranslate(D6522,""id"",""en"")"),"The people themselves at Candy, BNYK who were hit by layoffs, even porridge and meatballers in fine JTA Krna violated PPKM, ehh government was even busy IMPORT TKAWNA entered again to Indonesia, Deputy Chairperson of the MPR: Violating the official rules "&amp;"of the Government")</f>
        <v>The people themselves at Candy, BNYK who were hit by layoffs, even porridge and meatballers in fine JTA Krna violated PPKM, ehh government was even busy IMPORT TKAWNA entered again to Indonesia, Deputy Chairperson of the MPR: Violating the official rules of the Government</v>
      </c>
    </row>
    <row r="6523" ht="15.75" customHeight="1">
      <c r="A6523" s="2">
        <v>6526.0</v>
      </c>
      <c r="B6523" s="5" t="s">
        <v>11968</v>
      </c>
      <c r="C6523" s="6">
        <v>1.0</v>
      </c>
      <c r="D6523" s="7" t="s">
        <v>11969</v>
      </c>
      <c r="E6523" s="8" t="str">
        <f>IFERROR(__xludf.DUMMYFUNCTION("googletranslate(D6523,""id"",""en"")"),"Ppkm kak maap gabisa")</f>
        <v>Ppkm kak maap gabisa</v>
      </c>
    </row>
    <row r="6524" ht="15.75" customHeight="1">
      <c r="A6524" s="2">
        <v>6527.0</v>
      </c>
      <c r="B6524" s="5" t="s">
        <v>11970</v>
      </c>
      <c r="C6524" s="6">
        <v>1.0</v>
      </c>
      <c r="D6524" s="9" t="s">
        <v>11971</v>
      </c>
      <c r="E6524" s="8" t="str">
        <f>IFERROR(__xludf.DUMMYFUNCTION("googletranslate(D6524,""id"",""en"")"),"In confusion looking for a ppkm exit")</f>
        <v>In confusion looking for a ppkm exit</v>
      </c>
    </row>
    <row r="6525" ht="15.75" customHeight="1">
      <c r="A6525" s="2">
        <v>6528.0</v>
      </c>
      <c r="B6525" s="5" t="s">
        <v>11972</v>
      </c>
      <c r="C6525" s="6">
        <v>3.0</v>
      </c>
      <c r="D6525" s="7" t="s">
        <v>11973</v>
      </c>
      <c r="E6525" s="8" t="str">
        <f>IFERROR(__xludf.DUMMYFUNCTION("googletranslate(D6525,""id"",""en"")"),"Pro and plural cons occurred when the existence of a policy ... but let's reflect together ... that this PPKM policy is solely for our security and safety too ... Don't worry about guys ...")</f>
        <v>Pro and plural cons occurred when the existence of a policy ... but let's reflect together ... that this PPKM policy is solely for our security and safety too ... Don't worry about guys ...</v>
      </c>
    </row>
    <row r="6526" ht="15.75" customHeight="1">
      <c r="A6526" s="2">
        <v>6529.0</v>
      </c>
      <c r="B6526" s="5" t="s">
        <v>11974</v>
      </c>
      <c r="C6526" s="6">
        <v>3.0</v>
      </c>
      <c r="D6526" s="9" t="s">
        <v>11975</v>
      </c>
      <c r="E6526" s="8" t="str">
        <f>IFERROR(__xludf.DUMMYFUNCTION("googletranslate(D6526,""id"",""en"")"),"We should realize that the PPKM policy is a manifestation of the government's departure of our safety and health ... let's always be aware of Copid ...")</f>
        <v>We should realize that the PPKM policy is a manifestation of the government's departure of our safety and health ... let's always be aware of Copid ...</v>
      </c>
    </row>
    <row r="6527" ht="15.75" customHeight="1">
      <c r="A6527" s="2">
        <v>6530.0</v>
      </c>
      <c r="B6527" s="5" t="s">
        <v>11976</v>
      </c>
      <c r="C6527" s="6">
        <v>3.0</v>
      </c>
      <c r="D6527" s="7" t="s">
        <v>11977</v>
      </c>
      <c r="E6527" s="8" t="str">
        <f>IFERROR(__xludf.DUMMYFUNCTION("googletranslate(D6527,""id"",""en"")"),"Opponent Kovid Resistant PPKM Rules, Discipline Prokes and Vaccinations")</f>
        <v>Opponent Kovid Resistant PPKM Rules, Discipline Prokes and Vaccinations</v>
      </c>
    </row>
    <row r="6528" ht="15.75" customHeight="1">
      <c r="A6528" s="2">
        <v>6531.0</v>
      </c>
      <c r="B6528" s="5" t="s">
        <v>11978</v>
      </c>
      <c r="C6528" s="6">
        <v>1.0</v>
      </c>
      <c r="D6528" s="7" t="s">
        <v>11979</v>
      </c>
      <c r="E6528" s="8" t="str">
        <f>IFERROR(__xludf.DUMMYFUNCTION("googletranslate(D6528,""id"",""en"")"),"Can Mr. Diirem but the livelihood of a lot of people borne ... Don't make the term run out of ppkm especially ...")</f>
        <v>Can Mr. Diirem but the livelihood of a lot of people borne ... Don't make the term run out of ppkm especially ...</v>
      </c>
    </row>
    <row r="6529" ht="15.75" customHeight="1">
      <c r="A6529" s="2">
        <v>6532.0</v>
      </c>
      <c r="B6529" s="5" t="s">
        <v>11980</v>
      </c>
      <c r="C6529" s="6">
        <v>3.0</v>
      </c>
      <c r="D6529" s="7" t="s">
        <v>11981</v>
      </c>
      <c r="E6529" s="8" t="str">
        <f>IFERROR(__xludf.DUMMYFUNCTION("googletranslate(D6529,""id"",""en"")"),"Let's obey and obey PPKM rules")</f>
        <v>Let's obey and obey PPKM rules</v>
      </c>
    </row>
    <row r="6530" ht="15.75" customHeight="1">
      <c r="A6530" s="2">
        <v>6533.0</v>
      </c>
      <c r="B6530" s="5" t="s">
        <v>11982</v>
      </c>
      <c r="C6530" s="6">
        <v>1.0</v>
      </c>
      <c r="D6530" s="10" t="s">
        <v>11982</v>
      </c>
      <c r="E6530" s="8" t="str">
        <f>IFERROR(__xludf.DUMMYFUNCTION("googletranslate(D6530,""id"",""en"")"),"PPKM Taikkk.")</f>
        <v>PPKM Taikkk.</v>
      </c>
    </row>
    <row r="6531" ht="15.75" customHeight="1">
      <c r="A6531" s="2">
        <v>6534.0</v>
      </c>
      <c r="B6531" s="5" t="s">
        <v>11983</v>
      </c>
      <c r="C6531" s="6">
        <v>1.0</v>
      </c>
      <c r="D6531" s="7" t="s">
        <v>11983</v>
      </c>
      <c r="E6531" s="8" t="str">
        <f>IFERROR(__xludf.DUMMYFUNCTION("googletranslate(D6531,""id"",""en"")"),"After returning from Warpat TRS along the road from Ciawi - the peak is stuck like that PPKM? !! where is it napped always full of gangerti si")</f>
        <v>After returning from Warpat TRS along the road from Ciawi - the peak is stuck like that PPKM? !! where is it napped always full of gangerti si</v>
      </c>
    </row>
    <row r="6532" ht="15.75" customHeight="1">
      <c r="A6532" s="2">
        <v>6535.0</v>
      </c>
      <c r="B6532" s="5" t="s">
        <v>11984</v>
      </c>
      <c r="C6532" s="6">
        <v>2.0</v>
      </c>
      <c r="D6532" s="9" t="s">
        <v>11985</v>
      </c>
      <c r="E6532" s="8" t="str">
        <f>IFERROR(__xludf.DUMMYFUNCTION("googletranslate(D6532,""id"",""en"")"),"Yes, right, semarang, if it's really hot, it can't be opposite, the more coffee is now. Tetep can play anyway but later when the PPKM is already checked down hehe, the important thing is the complete travel requirement, not saggy of the prokes")</f>
        <v>Yes, right, semarang, if it's really hot, it can't be opposite, the more coffee is now. Tetep can play anyway but later when the PPKM is already checked down hehe, the important thing is the complete travel requirement, not saggy of the prokes</v>
      </c>
    </row>
    <row r="6533" ht="15.75" customHeight="1">
      <c r="A6533" s="2">
        <v>6536.0</v>
      </c>
      <c r="B6533" s="5" t="s">
        <v>11986</v>
      </c>
      <c r="C6533" s="6">
        <v>3.0</v>
      </c>
      <c r="D6533" s="9" t="s">
        <v>11987</v>
      </c>
      <c r="E6533" s="8" t="str">
        <f>IFERROR(__xludf.DUMMYFUNCTION("googletranslate(D6533,""id"",""en"")"),", PPKM and vaccination is the government's efforts to press the rates of couplets. Let's help nakes by joining the vaccine and obey Prokes M")</f>
        <v>, PPKM and vaccination is the government's efforts to press the rates of couplets. Let's help nakes by joining the vaccine and obey Prokes M</v>
      </c>
    </row>
    <row r="6534" ht="15.75" customHeight="1">
      <c r="A6534" s="2">
        <v>6537.0</v>
      </c>
      <c r="B6534" s="5" t="s">
        <v>11988</v>
      </c>
      <c r="C6534" s="6">
        <v>2.0</v>
      </c>
      <c r="D6534" s="7" t="s">
        <v>11989</v>
      </c>
      <c r="E6534" s="8" t="str">
        <f>IFERROR(__xludf.DUMMYFUNCTION("googletranslate(D6534,""id"",""en"")"),"My feelings for PPKM will be extended (hmm)")</f>
        <v>My feelings for PPKM will be extended (hmm)</v>
      </c>
    </row>
    <row r="6535" ht="15.75" customHeight="1">
      <c r="A6535" s="2">
        <v>6538.0</v>
      </c>
      <c r="B6535" s="5" t="s">
        <v>11990</v>
      </c>
      <c r="C6535" s="6">
        <v>3.0</v>
      </c>
      <c r="D6535" s="9" t="s">
        <v>11991</v>
      </c>
      <c r="E6535" s="8" t="str">
        <f>IFERROR(__xludf.DUMMYFUNCTION("googletranslate(D6535,""id"",""en"")"),"Alhamdulillah..panjangan PPKM level turns out to give positive results. Namely the number of Covid-19 cases in Java and Bali has begun to run out. To obey the health protocol, my friend all in all the country.")</f>
        <v>Alhamdulillah..panjangan PPKM level turns out to give positive results. Namely the number of Covid-19 cases in Java and Bali has begun to run out. To obey the health protocol, my friend all in all the country.</v>
      </c>
    </row>
    <row r="6536" ht="15.75" customHeight="1">
      <c r="A6536" s="2">
        <v>6539.0</v>
      </c>
      <c r="B6536" s="5" t="s">
        <v>11992</v>
      </c>
      <c r="C6536" s="6">
        <v>1.0</v>
      </c>
      <c r="D6536" s="7" t="s">
        <v>11993</v>
      </c>
      <c r="E6536" s="8" t="str">
        <f>IFERROR(__xludf.DUMMYFUNCTION("googletranslate(D6536,""id"",""en"")"),"All this is the wrong PPKM that tells the distance of Niss")</f>
        <v>All this is the wrong PPKM that tells the distance of Niss</v>
      </c>
    </row>
    <row r="6537" ht="15.75" customHeight="1">
      <c r="A6537" s="2">
        <v>6540.0</v>
      </c>
      <c r="B6537" s="5" t="s">
        <v>11994</v>
      </c>
      <c r="C6537" s="6">
        <v>3.0</v>
      </c>
      <c r="D6537" s="7" t="s">
        <v>11995</v>
      </c>
      <c r="E6537" s="8" t="str">
        <f>IFERROR(__xludf.DUMMYFUNCTION("googletranslate(D6537,""id"",""en"")"),", Cat of PPKM, Reduce Mobility, Join Vaccines, Very Vabtu Volunteers and Nakes, Don't Add their Load. Use the price mask in harmony using a mask makes it fast dead")</f>
        <v>, Cat of PPKM, Reduce Mobility, Join Vaccines, Very Vabtu Volunteers and Nakes, Don't Add their Load. Use the price mask in harmony using a mask makes it fast dead</v>
      </c>
    </row>
    <row r="6538" ht="15.75" customHeight="1">
      <c r="A6538" s="2">
        <v>6541.0</v>
      </c>
      <c r="B6538" s="5" t="s">
        <v>11996</v>
      </c>
      <c r="C6538" s="6">
        <v>2.0</v>
      </c>
      <c r="D6538" s="7" t="s">
        <v>11997</v>
      </c>
      <c r="E6538" s="8" t="str">
        <f>IFERROR(__xludf.DUMMYFUNCTION("googletranslate(D6538,""id"",""en"")"),"Vacation after PPKM? Staycation? Buy cakes for yourself? or buy the one to fit the budget")</f>
        <v>Vacation after PPKM? Staycation? Buy cakes for yourself? or buy the one to fit the budget</v>
      </c>
    </row>
    <row r="6539" ht="15.75" customHeight="1">
      <c r="A6539" s="2">
        <v>6542.0</v>
      </c>
      <c r="B6539" s="5" t="s">
        <v>11998</v>
      </c>
      <c r="C6539" s="6">
        <v>2.0</v>
      </c>
      <c r="D6539" s="7" t="s">
        <v>11999</v>
      </c>
      <c r="E6539" s="8" t="str">
        <f>IFERROR(__xludf.DUMMYFUNCTION("googletranslate(D6539,""id"",""en"")"),"Oiya abisnya ppkm kek cokicoki, long and laaaamaaa")</f>
        <v>Oiya abisnya ppkm kek cokicoki, long and laaaamaaa</v>
      </c>
    </row>
    <row r="6540" ht="15.75" customHeight="1">
      <c r="A6540" s="2">
        <v>6543.0</v>
      </c>
      <c r="B6540" s="5" t="s">
        <v>12000</v>
      </c>
      <c r="C6540" s="6">
        <v>2.0</v>
      </c>
      <c r="D6540" s="7" t="s">
        <v>12001</v>
      </c>
      <c r="E6540" s="8" t="str">
        <f>IFERROR(__xludf.DUMMYFUNCTION("googletranslate(D6540,""id"",""en"")"),"There is also the term PPKM in China ??")</f>
        <v>There is also the term PPKM in China ??</v>
      </c>
    </row>
    <row r="6541" ht="15.75" customHeight="1">
      <c r="A6541" s="2">
        <v>6544.0</v>
      </c>
      <c r="B6541" s="5" t="s">
        <v>12002</v>
      </c>
      <c r="C6541" s="6">
        <v>1.0</v>
      </c>
      <c r="D6541" s="7" t="s">
        <v>12003</v>
      </c>
      <c r="E6541" s="8" t="str">
        <f>IFERROR(__xludf.DUMMYFUNCTION("googletranslate(D6541,""id"",""en"")"),"Worried because of fear of extended PPKM.")</f>
        <v>Worried because of fear of extended PPKM.</v>
      </c>
    </row>
    <row r="6542" ht="15.75" customHeight="1">
      <c r="A6542" s="2">
        <v>6545.0</v>
      </c>
      <c r="B6542" s="5" t="s">
        <v>12004</v>
      </c>
      <c r="C6542" s="6">
        <v>2.0</v>
      </c>
      <c r="D6542" s="9" t="s">
        <v>12005</v>
      </c>
      <c r="E6542" s="8" t="str">
        <f>IFERROR(__xludf.DUMMYFUNCTION("googletranslate(D6542,""id"",""en"")"),"WKKKKK, he said, waiting for the PPKM to finish it, it's not good if it's dibjkussss")</f>
        <v>WKKKKK, he said, waiting for the PPKM to finish it, it's not good if it's dibjkussss</v>
      </c>
    </row>
    <row r="6543" ht="15.75" customHeight="1">
      <c r="A6543" s="2">
        <v>6546.0</v>
      </c>
      <c r="B6543" s="5" t="s">
        <v>12006</v>
      </c>
      <c r="C6543" s="6">
        <v>2.0</v>
      </c>
      <c r="D6543" s="9" t="s">
        <v>12007</v>
      </c>
      <c r="E6543" s="8" t="str">
        <f>IFERROR(__xludf.DUMMYFUNCTION("googletranslate(D6543,""id"",""en"")"),"No kis because ppkm so never gone away")</f>
        <v>No kis because ppkm so never gone away</v>
      </c>
    </row>
    <row r="6544" ht="15.75" customHeight="1">
      <c r="A6544" s="2">
        <v>6547.0</v>
      </c>
      <c r="B6544" s="5" t="s">
        <v>12008</v>
      </c>
      <c r="C6544" s="6">
        <v>1.0</v>
      </c>
      <c r="D6544" s="7" t="s">
        <v>12008</v>
      </c>
      <c r="E6544" s="8" t="str">
        <f>IFERROR(__xludf.DUMMYFUNCTION("googletranslate(D6544,""id"",""en"")"),"Whispered to see you. SMG PPKM quickly finished.")</f>
        <v>Whispered to see you. SMG PPKM quickly finished.</v>
      </c>
    </row>
    <row r="6545" ht="15.75" customHeight="1">
      <c r="A6545" s="2">
        <v>6548.0</v>
      </c>
      <c r="B6545" s="5" t="s">
        <v>12009</v>
      </c>
      <c r="C6545" s="6">
        <v>2.0</v>
      </c>
      <c r="D6545" s="7" t="s">
        <v>12010</v>
      </c>
      <c r="E6545" s="8" t="str">
        <f>IFERROR(__xludf.DUMMYFUNCTION("googletranslate(D6545,""id"",""en"")"),"Gatau Sis, I hope it will run out to miss them")</f>
        <v>Gatau Sis, I hope it will run out to miss them</v>
      </c>
    </row>
    <row r="6546" ht="15.75" customHeight="1">
      <c r="A6546" s="2">
        <v>6549.0</v>
      </c>
      <c r="B6546" s="5" t="s">
        <v>12011</v>
      </c>
      <c r="C6546" s="6">
        <v>3.0</v>
      </c>
      <c r="D6546" s="7" t="s">
        <v>12012</v>
      </c>
      <c r="E6546" s="8" t="str">
        <f>IFERROR(__xludf.DUMMYFUNCTION("googletranslate(D6546,""id"",""en"")"),"Initial pandemic year until the first semester of the year, the policy of limiting community mobility began with the term PSBB in April to PPKM level and towards the end of July. Let's support the government's performance with prokes!")</f>
        <v>Initial pandemic year until the first semester of the year, the policy of limiting community mobility began with the term PSBB in April to PPKM level and towards the end of July. Let's support the government's performance with prokes!</v>
      </c>
    </row>
    <row r="6547" ht="15.75" customHeight="1">
      <c r="A6547" s="2">
        <v>6550.0</v>
      </c>
      <c r="B6547" s="5" t="s">
        <v>12013</v>
      </c>
      <c r="C6547" s="6">
        <v>3.0</v>
      </c>
      <c r="D6547" s="7" t="s">
        <v>12014</v>
      </c>
      <c r="E6547" s="8" t="str">
        <f>IFERROR(__xludf.DUMMYFUNCTION("googletranslate(D6547,""id"",""en"")"),"The PPKM policy which has been implemented as an effort to ensure the safety of the community amid a high increase in Covid-19 cases.")</f>
        <v>The PPKM policy which has been implemented as an effort to ensure the safety of the community amid a high increase in Covid-19 cases.</v>
      </c>
    </row>
    <row r="6548" ht="15.75" customHeight="1">
      <c r="A6548" s="2">
        <v>6551.0</v>
      </c>
      <c r="B6548" s="5" t="s">
        <v>12015</v>
      </c>
      <c r="C6548" s="6">
        <v>3.0</v>
      </c>
      <c r="D6548" s="7" t="s">
        <v>12016</v>
      </c>
      <c r="E6548" s="8" t="str">
        <f>IFERROR(__xludf.DUMMYFUNCTION("googletranslate(D6548,""id"",""en"")"),"The implementation and extension of the PPKM is the government's efforts and supported by all elements of the community to prevent and anticipate the spread of the Kovid virus")</f>
        <v>The implementation and extension of the PPKM is the government's efforts and supported by all elements of the community to prevent and anticipate the spread of the Kovid virus</v>
      </c>
    </row>
    <row r="6549" ht="15.75" customHeight="1">
      <c r="A6549" s="2">
        <v>6552.0</v>
      </c>
      <c r="B6549" s="5" t="s">
        <v>12017</v>
      </c>
      <c r="C6549" s="6">
        <v>3.0</v>
      </c>
      <c r="D6549" s="7" t="s">
        <v>12018</v>
      </c>
      <c r="E6549" s="8" t="str">
        <f>IFERROR(__xludf.DUMMYFUNCTION("googletranslate(D6549,""id"",""en"")"),"Let's take care of your health ... to be a health protocol discipline and do vaccinations ... so obey the PPKM rules for all our health and safety")</f>
        <v>Let's take care of your health ... to be a health protocol discipline and do vaccinations ... so obey the PPKM rules for all our health and safety</v>
      </c>
    </row>
    <row r="6550" ht="15.75" customHeight="1">
      <c r="A6550" s="2">
        <v>6553.0</v>
      </c>
      <c r="B6550" s="5" t="s">
        <v>12019</v>
      </c>
      <c r="C6550" s="6">
        <v>3.0</v>
      </c>
      <c r="D6550" s="7" t="s">
        <v>12020</v>
      </c>
      <c r="E6550" s="8" t="str">
        <f>IFERROR(__xludf.DUMMYFUNCTION("googletranslate(D6550,""id"",""en"")"),"By obeying Prokes and PPKM obedience and vaccinating the speed of the spread of Covid19 can be overcome.")</f>
        <v>By obeying Prokes and PPKM obedience and vaccinating the speed of the spread of Covid19 can be overcome.</v>
      </c>
    </row>
    <row r="6551" ht="15.75" customHeight="1">
      <c r="A6551" s="2">
        <v>6554.0</v>
      </c>
      <c r="B6551" s="5" t="s">
        <v>12021</v>
      </c>
      <c r="C6551" s="6">
        <v>3.0</v>
      </c>
      <c r="D6551" s="7" t="s">
        <v>12022</v>
      </c>
      <c r="E6551" s="8" t="str">
        <f>IFERROR(__xludf.DUMMYFUNCTION("googletranslate(D6551,""id"",""en"")"),"PPKM for Covid opponents, the country is present to protect the people from the pandemic disaster with accelerating vaccination pursuant to target herd immunity ...")</f>
        <v>PPKM for Covid opponents, the country is present to protect the people from the pandemic disaster with accelerating vaccination pursuant to target herd immunity ...</v>
      </c>
    </row>
    <row r="6552" ht="15.75" customHeight="1">
      <c r="A6552" s="2">
        <v>6555.0</v>
      </c>
      <c r="B6552" s="5" t="s">
        <v>12023</v>
      </c>
      <c r="C6552" s="6">
        <v>3.0</v>
      </c>
      <c r="D6552" s="7" t="s">
        <v>12024</v>
      </c>
      <c r="E6552" s="8" t="str">
        <f>IFERROR(__xludf.DUMMYFUNCTION("googletranslate(D6552,""id"",""en"")"),"PPKM Level, 4 is only for the safety of the community.")</f>
        <v>PPKM Level, 4 is only for the safety of the community.</v>
      </c>
    </row>
    <row r="6553" ht="15.75" customHeight="1">
      <c r="A6553" s="2">
        <v>6556.0</v>
      </c>
      <c r="B6553" s="5" t="s">
        <v>12025</v>
      </c>
      <c r="C6553" s="6">
        <v>3.0</v>
      </c>
      <c r="D6553" s="7" t="s">
        <v>12026</v>
      </c>
      <c r="E6553" s="8" t="str">
        <f>IFERROR(__xludf.DUMMYFUNCTION("googletranslate(D6553,""id"",""en"")"),"Kovid fell because PPKM level.")</f>
        <v>Kovid fell because PPKM level.</v>
      </c>
    </row>
    <row r="6554" ht="15.75" customHeight="1">
      <c r="A6554" s="2">
        <v>6557.0</v>
      </c>
      <c r="B6554" s="5" t="s">
        <v>12027</v>
      </c>
      <c r="C6554" s="6">
        <v>3.0</v>
      </c>
      <c r="D6554" s="7" t="s">
        <v>12028</v>
      </c>
      <c r="E6554" s="8" t="str">
        <f>IFERROR(__xludf.DUMMYFUNCTION("googletranslate(D6554,""id"",""en"")"),"Our awareness to obey the PPKM rule is the number one. The government cares, the people cares, Covid goes and does not come back again.")</f>
        <v>Our awareness to obey the PPKM rule is the number one. The government cares, the people cares, Covid goes and does not come back again.</v>
      </c>
    </row>
    <row r="6555" ht="15.75" customHeight="1">
      <c r="A6555" s="2">
        <v>6558.0</v>
      </c>
      <c r="B6555" s="5" t="s">
        <v>12029</v>
      </c>
      <c r="C6555" s="6">
        <v>3.0</v>
      </c>
      <c r="D6555" s="7" t="s">
        <v>12030</v>
      </c>
      <c r="E6555" s="8" t="str">
        <f>IFERROR(__xludf.DUMMYFUNCTION("googletranslate(D6555,""id"",""en"")"),"If it's not on the vaccination, of course, surely the Covid-19 Virus Delta variant is increasing and can not be controlled with all PPKM vaccination quickly spacing all")</f>
        <v>If it's not on the vaccination, of course, surely the Covid-19 Virus Delta variant is increasing and can not be controlled with all PPKM vaccination quickly spacing all</v>
      </c>
    </row>
    <row r="6556" ht="15.75" customHeight="1">
      <c r="A6556" s="2">
        <v>6559.0</v>
      </c>
      <c r="B6556" s="5" t="s">
        <v>12031</v>
      </c>
      <c r="C6556" s="6">
        <v>3.0</v>
      </c>
      <c r="D6556" s="9" t="s">
        <v>12032</v>
      </c>
      <c r="E6556" s="8" t="str">
        <f>IFERROR(__xludf.DUMMYFUNCTION("googletranslate(D6556,""id"",""en"")"),", Prokes N PPKM ADLH is an important solution against Kovid.")</f>
        <v>, Prokes N PPKM ADLH is an important solution against Kovid.</v>
      </c>
    </row>
    <row r="6557" ht="15.75" customHeight="1">
      <c r="A6557" s="2">
        <v>6560.0</v>
      </c>
      <c r="B6557" s="5" t="s">
        <v>12033</v>
      </c>
      <c r="C6557" s="6">
        <v>3.0</v>
      </c>
      <c r="D6557" s="7" t="s">
        <v>12034</v>
      </c>
      <c r="E6557" s="8" t="str">
        <f>IFERROR(__xludf.DUMMYFUNCTION("googletranslate(D6557,""id"",""en"")"),"PPKM is a form of government concern for public safety and health.")</f>
        <v>PPKM is a form of government concern for public safety and health.</v>
      </c>
    </row>
    <row r="6558" ht="15.75" customHeight="1">
      <c r="A6558" s="2">
        <v>6561.0</v>
      </c>
      <c r="B6558" s="5" t="s">
        <v>12035</v>
      </c>
      <c r="C6558" s="6">
        <v>3.0</v>
      </c>
      <c r="D6558" s="7" t="s">
        <v>12036</v>
      </c>
      <c r="E6558" s="8" t="str">
        <f>IFERROR(__xludf.DUMMYFUNCTION("googletranslate(D6558,""id"",""en"")"),"PPKM extension level considers various aspects to prevent the spread of kovid")</f>
        <v>PPKM extension level considers various aspects to prevent the spread of kovid</v>
      </c>
    </row>
    <row r="6559" ht="15.75" customHeight="1">
      <c r="A6559" s="2">
        <v>6562.0</v>
      </c>
      <c r="B6559" s="5" t="s">
        <v>12037</v>
      </c>
      <c r="C6559" s="6">
        <v>3.0</v>
      </c>
      <c r="D6559" s="7" t="s">
        <v>12038</v>
      </c>
      <c r="E6559" s="8" t="str">
        <f>IFERROR(__xludf.DUMMYFUNCTION("googletranslate(D6559,""id"",""en"")"),"PPKM forecession for prevention of Covid19 transmission.")</f>
        <v>PPKM forecession for prevention of Covid19 transmission.</v>
      </c>
    </row>
    <row r="6560" ht="15.75" customHeight="1">
      <c r="A6560" s="2">
        <v>6563.0</v>
      </c>
      <c r="B6560" s="5" t="s">
        <v>12039</v>
      </c>
      <c r="C6560" s="6">
        <v>2.0</v>
      </c>
      <c r="D6560" s="7" t="s">
        <v>12040</v>
      </c>
      <c r="E6560" s="8" t="str">
        <f>IFERROR(__xludf.DUMMYFUNCTION("googletranslate(D6560,""id"",""en"")"),"I don't know, I haven't done our PPKM to Bandung !!!")</f>
        <v>I don't know, I haven't done our PPKM to Bandung !!!</v>
      </c>
    </row>
    <row r="6561" ht="15.75" customHeight="1">
      <c r="A6561" s="2">
        <v>6564.0</v>
      </c>
      <c r="B6561" s="5" t="s">
        <v>12041</v>
      </c>
      <c r="C6561" s="6">
        <v>2.0</v>
      </c>
      <c r="D6561" s="7" t="s">
        <v>12042</v>
      </c>
      <c r="E6561" s="8" t="str">
        <f>IFERROR(__xludf.DUMMYFUNCTION("googletranslate(D6561,""id"",""en"")"),"Finished PPKM Amin.")</f>
        <v>Finished PPKM Amin.</v>
      </c>
    </row>
    <row r="6562" ht="15.75" customHeight="1">
      <c r="A6562" s="2">
        <v>6565.0</v>
      </c>
      <c r="B6562" s="5" t="s">
        <v>12043</v>
      </c>
      <c r="C6562" s="6">
        <v>1.0</v>
      </c>
      <c r="D6562" s="7" t="s">
        <v>12044</v>
      </c>
      <c r="E6562" s="8" t="str">
        <f>IFERROR(__xludf.DUMMYFUNCTION("googletranslate(D6562,""id"",""en"")"),"From the beginning of the PSBB, the hayuk calm followed. Bansos are corrupted, ookay is ready. At'ppkm, gaskeun is still patient. Love the increase in time, Hufttt Oklah buoss. Yesterday gave stone rice, bro, nich nich, now it's actually given the same ta"&amp;"i goverment ... Munyuk! Good morning")</f>
        <v>From the beginning of the PSBB, the hayuk calm followed. Bansos are corrupted, ookay is ready. At'ppkm, gaskeun is still patient. Love the increase in time, Hufttt Oklah buoss. Yesterday gave stone rice, bro, nich nich, now it's actually given the same tai goverment ... Munyuk! Good morning</v>
      </c>
    </row>
    <row r="6563" ht="15.75" customHeight="1">
      <c r="A6563" s="2">
        <v>6566.0</v>
      </c>
      <c r="B6563" s="5" t="s">
        <v>12045</v>
      </c>
      <c r="C6563" s="6">
        <v>2.0</v>
      </c>
      <c r="D6563" s="7" t="s">
        <v>12046</v>
      </c>
      <c r="E6563" s="8" t="str">
        <f>IFERROR(__xludf.DUMMYFUNCTION("googletranslate(D6563,""id"",""en"")"),"if it is continued again, his name will change PPKM Level Part")</f>
        <v>if it is continued again, his name will change PPKM Level Part</v>
      </c>
    </row>
    <row r="6564" ht="15.75" customHeight="1">
      <c r="A6564" s="2">
        <v>6567.0</v>
      </c>
      <c r="B6564" s="5" t="s">
        <v>12047</v>
      </c>
      <c r="C6564" s="6">
        <v>1.0</v>
      </c>
      <c r="D6564" s="9" t="s">
        <v>12048</v>
      </c>
      <c r="E6564" s="8" t="str">
        <f>IFERROR(__xludf.DUMMYFUNCTION("googletranslate(D6564,""id"",""en"")"),"The officers who raided small traders during PPKM always said running the rules. While the power of their power violates the rules. This is what makes people fed up!")</f>
        <v>The officers who raided small traders during PPKM always said running the rules. While the power of their power violates the rules. This is what makes people fed up!</v>
      </c>
    </row>
    <row r="6565" ht="15.75" customHeight="1">
      <c r="A6565" s="2">
        <v>6568.0</v>
      </c>
      <c r="B6565" s="5" t="s">
        <v>12049</v>
      </c>
      <c r="C6565" s="6">
        <v>1.0</v>
      </c>
      <c r="D6565" s="9" t="s">
        <v>12049</v>
      </c>
      <c r="E6565" s="8" t="str">
        <f>IFERROR(__xludf.DUMMYFUNCTION("googletranslate(D6565,""id"",""en"")"),"Really, if there is a PPKM on screaming, the PPKM is loose at the Gamake Mask -_- Go to the market already rich to the Hunger Games area")</f>
        <v>Really, if there is a PPKM on screaming, the PPKM is loose at the Gamake Mask -_- Go to the market already rich to the Hunger Games area</v>
      </c>
    </row>
    <row r="6566" ht="15.75" customHeight="1">
      <c r="A6566" s="2">
        <v>6569.0</v>
      </c>
      <c r="B6566" s="5" t="s">
        <v>12050</v>
      </c>
      <c r="C6566" s="6">
        <v>1.0</v>
      </c>
      <c r="D6566" s="7" t="s">
        <v>12051</v>
      </c>
      <c r="E6566" s="8" t="str">
        <f>IFERROR(__xludf.DUMMYFUNCTION("googletranslate(D6566,""id"",""en"")"),"If you can play guessing seems to continue. My area is PPKM Level in East Java. When the day-lunch warkop is still a normal open, there are no rules, right in the morning a lot of bouquets that don't use masks, the mosque is just a full jumatan ...")</f>
        <v>If you can play guessing seems to continue. My area is PPKM Level in East Java. When the day-lunch warkop is still a normal open, there are no rules, right in the morning a lot of bouquets that don't use masks, the mosque is just a full jumatan ...</v>
      </c>
    </row>
    <row r="6567" ht="15.75" customHeight="1">
      <c r="A6567" s="2">
        <v>6570.0</v>
      </c>
      <c r="B6567" s="5" t="s">
        <v>12052</v>
      </c>
      <c r="C6567" s="6">
        <v>1.0</v>
      </c>
      <c r="D6567" s="7" t="s">
        <v>12053</v>
      </c>
      <c r="E6567" s="8" t="str">
        <f>IFERROR(__xludf.DUMMYFUNCTION("googletranslate(D6567,""id"",""en"")"),"Apparatus runs PPKM Covid-19 protocol. Still spoiled, accept monthly salary. The government of euphoria, the growth of Eko Q2 / 2021 achieved%. But the people shouted at trouble to survive. How come it doesn't connect? This is similar to the Covid victim'"&amp;"s story decreases, but the dead remains high")</f>
        <v>Apparatus runs PPKM Covid-19 protocol. Still spoiled, accept monthly salary. The government of euphoria, the growth of Eko Q2 / 2021 achieved%. But the people shouted at trouble to survive. How come it doesn't connect? This is similar to the Covid victim's story decreases, but the dead remains high</v>
      </c>
    </row>
    <row r="6568" ht="15.75" customHeight="1">
      <c r="A6568" s="2">
        <v>6571.0</v>
      </c>
      <c r="B6568" s="5" t="s">
        <v>12054</v>
      </c>
      <c r="C6568" s="6">
        <v>1.0</v>
      </c>
      <c r="D6568" s="7" t="s">
        <v>12055</v>
      </c>
      <c r="E6568" s="8" t="str">
        <f>IFERROR(__xludf.DUMMYFUNCTION("googletranslate(D6568,""id"",""en"")"),"Even though the government has made a ban on the entry of foreigners, including foreign workers to Indonesia starting July along with the validity of PPKM")</f>
        <v>Even though the government has made a ban on the entry of foreigners, including foreign workers to Indonesia starting July along with the validity of PPKM</v>
      </c>
    </row>
    <row r="6569" ht="15.75" customHeight="1">
      <c r="A6569" s="2">
        <v>6572.0</v>
      </c>
      <c r="B6569" s="5" t="s">
        <v>12056</v>
      </c>
      <c r="C6569" s="6">
        <v>2.0</v>
      </c>
      <c r="D6569" s="7" t="s">
        <v>12057</v>
      </c>
      <c r="E6569" s="8" t="str">
        <f>IFERROR(__xludf.DUMMYFUNCTION("googletranslate(D6569,""id"",""en"")"),"Just sleep still ppkm")</f>
        <v>Just sleep still ppkm</v>
      </c>
    </row>
    <row r="6570" ht="15.75" customHeight="1">
      <c r="A6570" s="2">
        <v>6573.0</v>
      </c>
      <c r="B6570" s="5" t="s">
        <v>12058</v>
      </c>
      <c r="C6570" s="6">
        <v>3.0</v>
      </c>
      <c r="D6570" s="9" t="s">
        <v>12059</v>
      </c>
      <c r="E6570" s="8" t="str">
        <f>IFERROR(__xludf.DUMMYFUNCTION("googletranslate(D6570,""id"",""en"")"),"But the PPKM is quite effective, covid patients in my hospital are reduced far, now it is just an isolation room, the IGD is rare, the antigen swab with PCR to the Covid poly is also a little, let's get quick finished")</f>
        <v>But the PPKM is quite effective, covid patients in my hospital are reduced far, now it is just an isolation room, the IGD is rare, the antigen swab with PCR to the Covid poly is also a little, let's get quick finished</v>
      </c>
    </row>
    <row r="6571" ht="15.75" customHeight="1">
      <c r="A6571" s="2">
        <v>6574.0</v>
      </c>
      <c r="B6571" s="5" t="s">
        <v>12060</v>
      </c>
      <c r="C6571" s="6">
        <v>2.0</v>
      </c>
      <c r="D6571" s="9" t="s">
        <v>12061</v>
      </c>
      <c r="E6571" s="8" t="str">
        <f>IFERROR(__xludf.DUMMYFUNCTION("googletranslate(D6571,""id"",""en"")"),"Alhamdulillah, now if someone invites hanging out, have a reason for refusing. 'Right more ppkm'")</f>
        <v>Alhamdulillah, now if someone invites hanging out, have a reason for refusing. 'Right more ppkm'</v>
      </c>
    </row>
    <row r="6572" ht="15.75" customHeight="1">
      <c r="A6572" s="2">
        <v>6575.0</v>
      </c>
      <c r="B6572" s="5" t="s">
        <v>12062</v>
      </c>
      <c r="C6572" s="6">
        <v>1.0</v>
      </c>
      <c r="D6572" s="9" t="s">
        <v>12063</v>
      </c>
      <c r="E6572" s="8" t="str">
        <f>IFERROR(__xludf.DUMMYFUNCTION("googletranslate(D6572,""id"",""en"")"),"O Lord if the PPKM continues to be extended when I see the cinema just to watch BP The Movie. Huhuhu blends. Happy Birthday Paud Kuuuu's son.")</f>
        <v>O Lord if the PPKM continues to be extended when I see the cinema just to watch BP The Movie. Huhuhu blends. Happy Birthday Paud Kuuuu's son.</v>
      </c>
    </row>
    <row r="6573" ht="15.75" customHeight="1">
      <c r="A6573" s="2">
        <v>6576.0</v>
      </c>
      <c r="B6573" s="5" t="s">
        <v>12064</v>
      </c>
      <c r="C6573" s="6">
        <v>1.0</v>
      </c>
      <c r="D6573" s="7" t="s">
        <v>12065</v>
      </c>
      <c r="E6573" s="8" t="str">
        <f>IFERROR(__xludf.DUMMYFUNCTION("googletranslate(D6573,""id"",""en"")"),"PPKM rules that run can turn off their members' businesses.")</f>
        <v>PPKM rules that run can turn off their members' businesses.</v>
      </c>
    </row>
    <row r="6574" ht="15.75" customHeight="1">
      <c r="A6574" s="2">
        <v>6577.0</v>
      </c>
      <c r="B6574" s="5" t="s">
        <v>12066</v>
      </c>
      <c r="C6574" s="6">
        <v>2.0</v>
      </c>
      <c r="D6574" s="7" t="s">
        <v>12066</v>
      </c>
      <c r="E6574" s="8" t="str">
        <f>IFERROR(__xludf.DUMMYFUNCTION("googletranslate(D6574,""id"",""en"")"),"Hopefully the PPKM is not extended again, amiin")</f>
        <v>Hopefully the PPKM is not extended again, amiin</v>
      </c>
    </row>
    <row r="6575" ht="15.75" customHeight="1">
      <c r="A6575" s="2">
        <v>6578.0</v>
      </c>
      <c r="B6575" s="5" t="s">
        <v>12067</v>
      </c>
      <c r="C6575" s="6">
        <v>2.0</v>
      </c>
      <c r="D6575" s="7" t="s">
        <v>12067</v>
      </c>
      <c r="E6575" s="8" t="str">
        <f>IFERROR(__xludf.DUMMYFUNCTION("googletranslate(D6575,""id"",""en"")"),"The impact of the prolonged PPKM so many of the profession turned to the profession")</f>
        <v>The impact of the prolonged PPKM so many of the profession turned to the profession</v>
      </c>
    </row>
    <row r="6576" ht="15.75" customHeight="1">
      <c r="A6576" s="2">
        <v>6579.0</v>
      </c>
      <c r="B6576" s="5" t="s">
        <v>12068</v>
      </c>
      <c r="C6576" s="6">
        <v>2.0</v>
      </c>
      <c r="D6576" s="9" t="s">
        <v>12069</v>
      </c>
      <c r="E6576" s="8" t="str">
        <f>IFERROR(__xludf.DUMMYFUNCTION("googletranslate(D6576,""id"",""en"")"),"CW // salarywork! Gaes I have a nazar, if it receives the first salary wants a family treat. Well, bro, ppkm can't go everywhere, what is delicious to buy what can you eaten at home? Bdgt $ number $ AN BTW.")</f>
        <v>CW // salarywork! Gaes I have a nazar, if it receives the first salary wants a family treat. Well, bro, ppkm can't go everywhere, what is delicious to buy what can you eaten at home? Bdgt $ number $ AN BTW.</v>
      </c>
    </row>
    <row r="6577" ht="15.75" customHeight="1">
      <c r="A6577" s="2">
        <v>6580.0</v>
      </c>
      <c r="B6577" s="5" t="s">
        <v>12070</v>
      </c>
      <c r="C6577" s="6">
        <v>2.0</v>
      </c>
      <c r="D6577" s="7" t="s">
        <v>12071</v>
      </c>
      <c r="E6577" s="8" t="str">
        <f>IFERROR(__xludf.DUMMYFUNCTION("googletranslate(D6577,""id"",""en"")"),"hehe is difficult now I have met something like this since PPKM")</f>
        <v>hehe is difficult now I have met something like this since PPKM</v>
      </c>
    </row>
    <row r="6578" ht="15.75" customHeight="1">
      <c r="A6578" s="2">
        <v>6581.0</v>
      </c>
      <c r="B6578" s="5" t="s">
        <v>12072</v>
      </c>
      <c r="C6578" s="6">
        <v>2.0</v>
      </c>
      <c r="D6578" s="10" t="s">
        <v>4806</v>
      </c>
      <c r="E6578" s="8" t="str">
        <f>IFERROR(__xludf.DUMMYFUNCTION("googletranslate(D6578,""id"",""en"")"),"again PPKM.")</f>
        <v>again PPKM.</v>
      </c>
    </row>
    <row r="6579" ht="15.75" customHeight="1">
      <c r="A6579" s="2">
        <v>6582.0</v>
      </c>
      <c r="B6579" s="5" t="s">
        <v>12073</v>
      </c>
      <c r="C6579" s="6">
        <v>1.0</v>
      </c>
      <c r="D6579" s="7" t="s">
        <v>12074</v>
      </c>
      <c r="E6579" s="8" t="str">
        <f>IFERROR(__xludf.DUMMYFUNCTION("googletranslate(D6579,""id"",""en"")"),"Yes Kan PPKM Mrs. Afraid to want there is an insulation")</f>
        <v>Yes Kan PPKM Mrs. Afraid to want there is an insulation</v>
      </c>
    </row>
    <row r="6580" ht="15.75" customHeight="1">
      <c r="A6580" s="2">
        <v>6583.0</v>
      </c>
      <c r="B6580" s="5" t="s">
        <v>12075</v>
      </c>
      <c r="C6580" s="6">
        <v>2.0</v>
      </c>
      <c r="D6580" s="7" t="s">
        <v>12076</v>
      </c>
      <c r="E6580" s="8" t="str">
        <f>IFERROR(__xludf.DUMMYFUNCTION("googletranslate(D6580,""id"",""en"")"),"Beijing PPKM ?? Ga wrong writing mas tempo ??")</f>
        <v>Beijing PPKM ?? Ga wrong writing mas tempo ??</v>
      </c>
    </row>
    <row r="6581" ht="15.75" customHeight="1">
      <c r="A6581" s="2">
        <v>6584.0</v>
      </c>
      <c r="B6581" s="5" t="s">
        <v>12077</v>
      </c>
      <c r="C6581" s="6">
        <v>2.0</v>
      </c>
      <c r="D6581" s="7" t="s">
        <v>12078</v>
      </c>
      <c r="E6581" s="8" t="str">
        <f>IFERROR(__xludf.DUMMYFUNCTION("googletranslate(D6581,""id"",""en"")"),"Don't want to be a party pointer, but Penn ask, Jogja Gaada PPKM?")</f>
        <v>Don't want to be a party pointer, but Penn ask, Jogja Gaada PPKM?</v>
      </c>
    </row>
    <row r="6582" ht="15.75" customHeight="1">
      <c r="A6582" s="2">
        <v>6585.0</v>
      </c>
      <c r="B6582" s="5" t="s">
        <v>12079</v>
      </c>
      <c r="C6582" s="6">
        <v>2.0</v>
      </c>
      <c r="D6582" s="7" t="s">
        <v>12079</v>
      </c>
      <c r="E6582" s="8" t="str">
        <f>IFERROR(__xludf.DUMMYFUNCTION("googletranslate(D6582,""id"",""en"")"),"Braw! Dong Info UB Clinic Opens GA Working Day PPKM?")</f>
        <v>Braw! Dong Info UB Clinic Opens GA Working Day PPKM?</v>
      </c>
    </row>
    <row r="6583" ht="15.75" customHeight="1">
      <c r="A6583" s="2">
        <v>6586.0</v>
      </c>
      <c r="B6583" s="5" t="s">
        <v>12080</v>
      </c>
      <c r="C6583" s="6">
        <v>3.0</v>
      </c>
      <c r="D6583" s="7" t="s">
        <v>12081</v>
      </c>
      <c r="E6583" s="8" t="str">
        <f>IFERROR(__xludf.DUMMYFUNCTION("googletranslate(D6583,""id"",""en"")"),"Alhamdulillah Occupancy Hotel UDH headed for normal again. Who are confused about playing where to fit the PPKM Mending Staycation to the hotel all of all employees have been vaccinated prokes are also strict which must be safe and comfortable")</f>
        <v>Alhamdulillah Occupancy Hotel UDH headed for normal again. Who are confused about playing where to fit the PPKM Mending Staycation to the hotel all of all employees have been vaccinated prokes are also strict which must be safe and comfortable</v>
      </c>
    </row>
    <row r="6584" ht="15.75" customHeight="1">
      <c r="A6584" s="2">
        <v>6587.0</v>
      </c>
      <c r="B6584" s="5" t="s">
        <v>12082</v>
      </c>
      <c r="C6584" s="6">
        <v>2.0</v>
      </c>
      <c r="D6584" s="7" t="s">
        <v>12083</v>
      </c>
      <c r="E6584" s="8" t="str">
        <f>IFERROR(__xludf.DUMMYFUNCTION("googletranslate(D6584,""id"",""en"")"),"Bismillah, this morning it's window or run, just run away from the former PPKM / Experiments of Kepoin Experiments.")</f>
        <v>Bismillah, this morning it's window or run, just run away from the former PPKM / Experiments of Kepoin Experiments.</v>
      </c>
    </row>
    <row r="6585" ht="15.75" customHeight="1">
      <c r="A6585" s="2">
        <v>6588.0</v>
      </c>
      <c r="B6585" s="5" t="s">
        <v>12084</v>
      </c>
      <c r="C6585" s="6">
        <v>1.0</v>
      </c>
      <c r="D6585" s="9" t="s">
        <v>12085</v>
      </c>
      <c r="E6585" s="8" t="str">
        <f>IFERROR(__xludf.DUMMYFUNCTION("googletranslate(D6585,""id"",""en"")"),"Loss on postage ongkir klo ppkm just cut me? Usually the $ number is $ K")</f>
        <v>Loss on postage ongkir klo ppkm just cut me? Usually the $ number is $ K</v>
      </c>
    </row>
    <row r="6586" ht="15.75" customHeight="1">
      <c r="A6586" s="2">
        <v>6589.0</v>
      </c>
      <c r="B6586" s="5" t="s">
        <v>12086</v>
      </c>
      <c r="C6586" s="6">
        <v>2.0</v>
      </c>
      <c r="D6586" s="7" t="s">
        <v>12087</v>
      </c>
      <c r="E6586" s="8" t="str">
        <f>IFERROR(__xludf.DUMMYFUNCTION("googletranslate(D6586,""id"",""en"")"),"Can the ppkm be there?")</f>
        <v>Can the ppkm be there?</v>
      </c>
    </row>
    <row r="6587" ht="15.75" customHeight="1">
      <c r="A6587" s="2">
        <v>6590.0</v>
      </c>
      <c r="B6587" s="5" t="s">
        <v>12088</v>
      </c>
      <c r="C6587" s="6">
        <v>2.0</v>
      </c>
      <c r="D6587" s="7" t="s">
        <v>12089</v>
      </c>
      <c r="E6587" s="8" t="str">
        <f>IFERROR(__xludf.DUMMYFUNCTION("googletranslate(D6587,""id"",""en"")"),"Let's pray for ppkm tomorrow is not extended")</f>
        <v>Let's pray for ppkm tomorrow is not extended</v>
      </c>
    </row>
    <row r="6588" ht="15.75" customHeight="1">
      <c r="A6588" s="2">
        <v>6591.0</v>
      </c>
      <c r="B6588" s="5" t="s">
        <v>12090</v>
      </c>
      <c r="C6588" s="6">
        <v>2.0</v>
      </c>
      <c r="D6588" s="7" t="s">
        <v>12091</v>
      </c>
      <c r="E6588" s="8" t="str">
        <f>IFERROR(__xludf.DUMMYFUNCTION("googletranslate(D6588,""id"",""en"")"),"I think the PPKM is still continued ... yeah, sir?")</f>
        <v>I think the PPKM is still continued ... yeah, sir?</v>
      </c>
    </row>
    <row r="6589" ht="15.75" customHeight="1">
      <c r="A6589" s="2">
        <v>6592.0</v>
      </c>
      <c r="B6589" s="5" t="s">
        <v>12092</v>
      </c>
      <c r="C6589" s="6">
        <v>2.0</v>
      </c>
      <c r="D6589" s="7" t="s">
        <v>12093</v>
      </c>
      <c r="E6589" s="8" t="str">
        <f>IFERROR(__xludf.DUMMYFUNCTION("googletranslate(D6589,""id"",""en"")"),"PPKM is extended")</f>
        <v>PPKM is extended</v>
      </c>
    </row>
    <row r="6590" ht="15.75" customHeight="1">
      <c r="A6590" s="2">
        <v>6593.0</v>
      </c>
      <c r="B6590" s="5" t="s">
        <v>12094</v>
      </c>
      <c r="C6590" s="6">
        <v>2.0</v>
      </c>
      <c r="D6590" s="7" t="s">
        <v>12095</v>
      </c>
      <c r="E6590" s="8" t="str">
        <f>IFERROR(__xludf.DUMMYFUNCTION("googletranslate(D6590,""id"",""en"")"),"ka said to the president of the president of the ppkm, not long ""I want to watch")</f>
        <v>ka said to the president of the president of the ppkm, not long "I want to watch</v>
      </c>
    </row>
    <row r="6591" ht="15.75" customHeight="1">
      <c r="A6591" s="2">
        <v>6594.0</v>
      </c>
      <c r="B6591" s="5" t="s">
        <v>12096</v>
      </c>
      <c r="C6591" s="6">
        <v>2.0</v>
      </c>
      <c r="D6591" s="7" t="s">
        <v>12097</v>
      </c>
      <c r="E6591" s="8" t="str">
        <f>IFERROR(__xludf.DUMMYFUNCTION("googletranslate(D6591,""id"",""en"")"),"Are you sure the PPKM is not extended?")</f>
        <v>Are you sure the PPKM is not extended?</v>
      </c>
    </row>
    <row r="6592" ht="15.75" customHeight="1">
      <c r="A6592" s="2">
        <v>6595.0</v>
      </c>
      <c r="B6592" s="5" t="s">
        <v>12098</v>
      </c>
      <c r="C6592" s="6">
        <v>2.0</v>
      </c>
      <c r="D6592" s="7" t="s">
        <v>12098</v>
      </c>
      <c r="E6592" s="8" t="str">
        <f>IFERROR(__xludf.DUMMYFUNCTION("googletranslate(D6592,""id"",""en"")"),"Ready to Ready Announcement Extend PPKM Haha")</f>
        <v>Ready to Ready Announcement Extend PPKM Haha</v>
      </c>
    </row>
    <row r="6593" ht="15.75" customHeight="1">
      <c r="A6593" s="2">
        <v>6596.0</v>
      </c>
      <c r="B6593" s="5" t="s">
        <v>12099</v>
      </c>
      <c r="C6593" s="6">
        <v>1.0</v>
      </c>
      <c r="D6593" s="7" t="s">
        <v>12100</v>
      </c>
      <c r="E6593" s="8" t="str">
        <f>IFERROR(__xludf.DUMMYFUNCTION("googletranslate(D6593,""id"",""en"")"),"Already know the PPKM is still clustered, but it's actually their right, but what?")</f>
        <v>Already know the PPKM is still clustered, but it's actually their right, but what?</v>
      </c>
    </row>
    <row r="6594" ht="15.75" customHeight="1">
      <c r="A6594" s="2">
        <v>6597.0</v>
      </c>
      <c r="B6594" s="5" t="s">
        <v>12101</v>
      </c>
      <c r="C6594" s="6">
        <v>1.0</v>
      </c>
      <c r="D6594" s="7" t="s">
        <v>12102</v>
      </c>
      <c r="E6594" s="8" t="str">
        <f>IFERROR(__xludf.DUMMYFUNCTION("googletranslate(D6594,""id"",""en"")"),"Semu legislation = MENTRI instruction = PPKM now is all more afraid of policy regulations rather than the Constitution or Law")</f>
        <v>Semu legislation = MENTRI instruction = PPKM now is all more afraid of policy regulations rather than the Constitution or Law</v>
      </c>
    </row>
    <row r="6595" ht="15.75" customHeight="1">
      <c r="A6595" s="2">
        <v>6598.0</v>
      </c>
      <c r="B6595" s="5" t="s">
        <v>12103</v>
      </c>
      <c r="C6595" s="6">
        <v>1.0</v>
      </c>
      <c r="D6595" s="9" t="s">
        <v>12104</v>
      </c>
      <c r="E6595" s="8" t="str">
        <f>IFERROR(__xludf.DUMMYFUNCTION("googletranslate(D6595,""id"",""en"")"),"When PPKM Level &amp; Amp; 4 in End / Loosen ... which is definitely true there will be a revenge of the people to go through vibrant to entertainment &amp; amp; Tourism is unstoppable ... even though there is the rest of the Corona virus outbreak ... then there "&amp;"is the explosion of covid patients like atomic bombs ..pasti .. !!!")</f>
        <v>When PPKM Level &amp; Amp; 4 in End / Loosen ... which is definitely true there will be a revenge of the people to go through vibrant to entertainment &amp; amp; Tourism is unstoppable ... even though there is the rest of the Corona virus outbreak ... then there is the explosion of covid patients like atomic bombs ..pasti .. !!!</v>
      </c>
    </row>
    <row r="6596" ht="15.75" customHeight="1">
      <c r="A6596" s="2">
        <v>6599.0</v>
      </c>
      <c r="B6596" s="5" t="s">
        <v>12105</v>
      </c>
      <c r="C6596" s="6">
        <v>1.0</v>
      </c>
      <c r="D6596" s="9" t="s">
        <v>12106</v>
      </c>
      <c r="E6596" s="8" t="str">
        <f>IFERROR(__xludf.DUMMYFUNCTION("googletranslate(D6596,""id"",""en"")"),"LDR, PPKM, Love Languages ​​Physical Touch Mampus Gatu: ')")</f>
        <v>LDR, PPKM, Love Languages ​​Physical Touch Mampus Gatu: ')</v>
      </c>
    </row>
    <row r="6597" ht="15.75" customHeight="1">
      <c r="A6597" s="2">
        <v>6600.0</v>
      </c>
      <c r="B6597" s="5" t="s">
        <v>12107</v>
      </c>
      <c r="C6597" s="6">
        <v>1.0</v>
      </c>
      <c r="D6597" s="9" t="s">
        <v>12108</v>
      </c>
      <c r="E6597" s="8" t="str">
        <f>IFERROR(__xludf.DUMMYFUNCTION("googletranslate(D6597,""id"",""en"")"),"It is difficult, sir, PPKM there is no solution for the poor, small pedsgang. UDH is really because the economic level is kecik, unemployment everywhere, look for difficulties = crime increases")</f>
        <v>It is difficult, sir, PPKM there is no solution for the poor, small pedsgang. UDH is really because the economic level is kecik, unemployment everywhere, look for difficulties = crime increases</v>
      </c>
    </row>
    <row r="6598" ht="15.75" customHeight="1">
      <c r="A6598" s="2">
        <v>6601.0</v>
      </c>
      <c r="B6598" s="5" t="s">
        <v>12109</v>
      </c>
      <c r="C6598" s="6">
        <v>2.0</v>
      </c>
      <c r="D6598" s="7" t="s">
        <v>12110</v>
      </c>
      <c r="E6598" s="8" t="str">
        <f>IFERROR(__xludf.DUMMYFUNCTION("googletranslate(D6598,""id"",""en"")"),"Since the PPKM becomes the boarding house, so it's just gemes clothes")</f>
        <v>Since the PPKM becomes the boarding house, so it's just gemes clothes</v>
      </c>
    </row>
    <row r="6599" ht="15.75" customHeight="1">
      <c r="A6599" s="2">
        <v>6602.0</v>
      </c>
      <c r="B6599" s="5" t="s">
        <v>12111</v>
      </c>
      <c r="C6599" s="6">
        <v>2.0</v>
      </c>
      <c r="D6599" s="7" t="s">
        <v>12112</v>
      </c>
      <c r="E6599" s="8" t="str">
        <f>IFERROR(__xludf.DUMMYFUNCTION("googletranslate(D6599,""id"",""en"")"),"After just PPKM mening, where is it quite a minute")</f>
        <v>After just PPKM mening, where is it quite a minute</v>
      </c>
    </row>
    <row r="6600" ht="15.75" customHeight="1">
      <c r="A6600" s="2">
        <v>6603.0</v>
      </c>
      <c r="B6600" s="5" t="s">
        <v>12113</v>
      </c>
      <c r="C6600" s="6">
        <v>1.0</v>
      </c>
      <c r="D6600" s="7" t="s">
        <v>12114</v>
      </c>
      <c r="E6600" s="8" t="str">
        <f>IFERROR(__xludf.DUMMYFUNCTION("googletranslate(D6600,""id"",""en"")"),"ppkm edition ... sell all existing assets for the smooth running ...")</f>
        <v>ppkm edition ... sell all existing assets for the smooth running ...</v>
      </c>
    </row>
    <row r="6601" ht="15.75" customHeight="1">
      <c r="A6601" s="2">
        <v>6604.0</v>
      </c>
      <c r="B6601" s="5" t="s">
        <v>12115</v>
      </c>
      <c r="C6601" s="6">
        <v>1.0</v>
      </c>
      <c r="D6601" s="7" t="s">
        <v>12116</v>
      </c>
      <c r="E6601" s="8" t="str">
        <f>IFERROR(__xludf.DUMMYFUNCTION("googletranslate(D6601,""id"",""en"")"),"Don't let PPKM extend LG Dong Pliisss")</f>
        <v>Don't let PPKM extend LG Dong Pliisss</v>
      </c>
    </row>
    <row r="6602" ht="15.75" customHeight="1">
      <c r="A6602" s="2">
        <v>6605.0</v>
      </c>
      <c r="B6602" s="5" t="s">
        <v>12117</v>
      </c>
      <c r="C6602" s="6">
        <v>2.0</v>
      </c>
      <c r="D6602" s="7" t="s">
        <v>12117</v>
      </c>
      <c r="E6602" s="8" t="str">
        <f>IFERROR(__xludf.DUMMYFUNCTION("googletranslate(D6602,""id"",""en"")"),"PPKM Mengikil a week a week, suddenly it's just a year")</f>
        <v>PPKM Mengikil a week a week, suddenly it's just a year</v>
      </c>
    </row>
    <row r="6603" ht="15.75" customHeight="1">
      <c r="A6603" s="2">
        <v>6606.0</v>
      </c>
      <c r="B6603" s="5" t="s">
        <v>12118</v>
      </c>
      <c r="C6603" s="6">
        <v>1.0</v>
      </c>
      <c r="D6603" s="9" t="s">
        <v>12119</v>
      </c>
      <c r="E6603" s="8" t="str">
        <f>IFERROR(__xludf.DUMMYFUNCTION("googletranslate(D6603,""id"",""en"")"),"Jdi lazy ngapa why klo klo ppkm mulu, wants to nugas at home just to be badmood")</f>
        <v>Jdi lazy ngapa why klo klo ppkm mulu, wants to nugas at home just to be badmood</v>
      </c>
    </row>
    <row r="6604" ht="15.75" customHeight="1">
      <c r="A6604" s="2">
        <v>6607.0</v>
      </c>
      <c r="B6604" s="5" t="s">
        <v>12120</v>
      </c>
      <c r="C6604" s="6">
        <v>1.0</v>
      </c>
      <c r="D6604" s="9" t="s">
        <v>12121</v>
      </c>
      <c r="E6604" s="8" t="str">
        <f>IFERROR(__xludf.DUMMYFUNCTION("googletranslate(D6604,""id"",""en"")"),"Dear ... Mr. / Mrs. DPRI. The people have been saturated with PPKM always extended continuously, the people have given up and surrendered and the people's economy was destroyed and the people's immune to weakness because of the Biyaya Bat then, child scho"&amp;"ol payment, payment of electricity and payment of pedals")</f>
        <v>Dear ... Mr. / Mrs. DPRI. The people have been saturated with PPKM always extended continuously, the people have given up and surrendered and the people's economy was destroyed and the people's immune to weakness because of the Biyaya Bat then, child school payment, payment of electricity and payment of pedals</v>
      </c>
    </row>
    <row r="6605" ht="15.75" customHeight="1">
      <c r="A6605" s="2">
        <v>6608.0</v>
      </c>
      <c r="B6605" s="5" t="s">
        <v>12122</v>
      </c>
      <c r="C6605" s="6">
        <v>1.0</v>
      </c>
      <c r="D6605" s="9" t="s">
        <v>12123</v>
      </c>
      <c r="E6605" s="8" t="str">
        <f>IFERROR(__xludf.DUMMYFUNCTION("googletranslate(D6605,""id"",""en"")"),"Last week to bekasi from Jakarta it didn't know the ppkm ... just normal the streets ...")</f>
        <v>Last week to bekasi from Jakarta it didn't know the ppkm ... just normal the streets ...</v>
      </c>
    </row>
    <row r="6606" ht="15.75" customHeight="1">
      <c r="A6606" s="2">
        <v>6609.0</v>
      </c>
      <c r="B6606" s="5" t="s">
        <v>12124</v>
      </c>
      <c r="C6606" s="6">
        <v>1.0</v>
      </c>
      <c r="D6606" s="9" t="s">
        <v>12125</v>
      </c>
      <c r="E6606" s="8" t="str">
        <f>IFERROR(__xludf.DUMMYFUNCTION("googletranslate(D6606,""id"",""en"")"),"Not finished, what is the arm of the PPKM Mulu arghhhhhhhhhhhhhhhhhhhh")</f>
        <v>Not finished, what is the arm of the PPKM Mulu arghhhhhhhhhhhhhhhhhhhh</v>
      </c>
    </row>
    <row r="6607" ht="15.75" customHeight="1">
      <c r="A6607" s="2">
        <v>6610.0</v>
      </c>
      <c r="B6607" s="5" t="s">
        <v>12126</v>
      </c>
      <c r="C6607" s="6">
        <v>3.0</v>
      </c>
      <c r="D6607" s="7" t="s">
        <v>12126</v>
      </c>
      <c r="E6607" s="8" t="str">
        <f>IFERROR(__xludf.DUMMYFUNCTION("googletranslate(D6607,""id"",""en"")"),"There was fortunately PPKM, Kmren afternoon JJS to Malioboro. Really clean, there's no garbage. The house is calm")</f>
        <v>There was fortunately PPKM, Kmren afternoon JJS to Malioboro. Really clean, there's no garbage. The house is calm</v>
      </c>
    </row>
    <row r="6608" ht="15.75" customHeight="1">
      <c r="A6608" s="2">
        <v>6611.0</v>
      </c>
      <c r="B6608" s="5" t="s">
        <v>12127</v>
      </c>
      <c r="C6608" s="6">
        <v>2.0</v>
      </c>
      <c r="D6608" s="7" t="s">
        <v>12128</v>
      </c>
      <c r="E6608" s="8" t="str">
        <f>IFERROR(__xludf.DUMMYFUNCTION("googletranslate(D6608,""id"",""en"")"),"abis ppkm the rich is five years with blackpink")</f>
        <v>abis ppkm the rich is five years with blackpink</v>
      </c>
    </row>
    <row r="6609" ht="15.75" customHeight="1">
      <c r="A6609" s="2">
        <v>6612.0</v>
      </c>
      <c r="B6609" s="5" t="s">
        <v>12129</v>
      </c>
      <c r="C6609" s="6">
        <v>3.0</v>
      </c>
      <c r="D6609" s="9" t="s">
        <v>12130</v>
      </c>
      <c r="E6609" s="8" t="str">
        <f>IFERROR(__xludf.DUMMYFUNCTION("googletranslate(D6609,""id"",""en"")"),"Yes, Sis Chitas was very helped by a gaapalagi at the time of PPKM ... the point is the spirit continues ... all I did for the sake of the happiness of the accompaniment of the good needs, God willing, it is made easy. Enough Love Sis Chita")</f>
        <v>Yes, Sis Chitas was very helped by a gaapalagi at the time of PPKM ... the point is the spirit continues ... all I did for the sake of the happiness of the accompaniment of the good needs, God willing, it is made easy. Enough Love Sis Chita</v>
      </c>
    </row>
    <row r="6610" ht="15.75" customHeight="1">
      <c r="A6610" s="2">
        <v>6613.0</v>
      </c>
      <c r="B6610" s="5" t="s">
        <v>12131</v>
      </c>
      <c r="C6610" s="6">
        <v>2.0</v>
      </c>
      <c r="D6610" s="7" t="s">
        <v>12132</v>
      </c>
      <c r="E6610" s="8" t="str">
        <f>IFERROR(__xludf.DUMMYFUNCTION("googletranslate(D6610,""id"",""en"")"),"It's been a long time not self reward with a mall alone, when is the PPKM complete?")</f>
        <v>It's been a long time not self reward with a mall alone, when is the PPKM complete?</v>
      </c>
    </row>
    <row r="6611" ht="15.75" customHeight="1">
      <c r="A6611" s="2">
        <v>6614.0</v>
      </c>
      <c r="B6611" s="5" t="s">
        <v>12133</v>
      </c>
      <c r="C6611" s="6">
        <v>2.0</v>
      </c>
      <c r="D6611" s="9" t="s">
        <v>12133</v>
      </c>
      <c r="E6611" s="8" t="str">
        <f>IFERROR(__xludf.DUMMYFUNCTION("googletranslate(D6611,""id"",""en"")"),"Activities at PPKM Love Pets, Mute2 D Rmh ... if first Mute Martar at Mall Love Pets.")</f>
        <v>Activities at PPKM Love Pets, Mute2 D Rmh ... if first Mute Martar at Mall Love Pets.</v>
      </c>
    </row>
    <row r="6612" ht="15.75" customHeight="1">
      <c r="A6612" s="2">
        <v>6615.0</v>
      </c>
      <c r="B6612" s="5" t="s">
        <v>12134</v>
      </c>
      <c r="C6612" s="6">
        <v>1.0</v>
      </c>
      <c r="D6612" s="7" t="s">
        <v>12135</v>
      </c>
      <c r="E6612" s="8" t="str">
        <f>IFERROR(__xludf.DUMMYFUNCTION("googletranslate(D6612,""id"",""en"")"),"I've got up early then get a notif wa, ""km holiday y fer still ppkm""")</f>
        <v>I've got up early then get a notif wa, "km holiday y fer still ppkm"</v>
      </c>
    </row>
    <row r="6613" ht="15.75" customHeight="1">
      <c r="A6613" s="2">
        <v>6616.0</v>
      </c>
      <c r="B6613" s="5" t="s">
        <v>12136</v>
      </c>
      <c r="C6613" s="6">
        <v>1.0</v>
      </c>
      <c r="D6613" s="9" t="s">
        <v>12137</v>
      </c>
      <c r="E6613" s="8" t="str">
        <f>IFERROR(__xludf.DUMMYFUNCTION("googletranslate(D6613,""id"",""en"")"),"The invitation invitation of the PPKM is only valid for the people of Indonesia if it is from outside the space you can enter it")</f>
        <v>The invitation invitation of the PPKM is only valid for the people of Indonesia if it is from outside the space you can enter it</v>
      </c>
    </row>
    <row r="6614" ht="15.75" customHeight="1">
      <c r="A6614" s="2">
        <v>6617.0</v>
      </c>
      <c r="B6614" s="5" t="s">
        <v>12138</v>
      </c>
      <c r="C6614" s="6">
        <v>2.0</v>
      </c>
      <c r="D6614" s="7" t="s">
        <v>12139</v>
      </c>
      <c r="E6614" s="8" t="str">
        <f>IFERROR(__xludf.DUMMYFUNCTION("googletranslate(D6614,""id"",""en"")"),"Min During the PPKM Samsat ITC Outlet Kebon Kalapa operates normally?")</f>
        <v>Min During the PPKM Samsat ITC Outlet Kebon Kalapa operates normally?</v>
      </c>
    </row>
    <row r="6615" ht="15.75" customHeight="1">
      <c r="A6615" s="2">
        <v>6618.0</v>
      </c>
      <c r="B6615" s="5" t="s">
        <v>12140</v>
      </c>
      <c r="C6615" s="6">
        <v>1.0</v>
      </c>
      <c r="D6615" s="9" t="s">
        <v>12141</v>
      </c>
      <c r="E6615" s="8" t="str">
        <f>IFERROR(__xludf.DUMMYFUNCTION("googletranslate(D6615,""id"",""en"")"),"In the criticism of the PPKM demo but do not give a solution. This is our solution. Cut your salary, what are the MPR members,% to help balance the costs needed by Pandemic.")</f>
        <v>In the criticism of the PPKM demo but do not give a solution. This is our solution. Cut your salary, what are the MPR members,% to help balance the costs needed by Pandemic.</v>
      </c>
    </row>
    <row r="6616" ht="15.75" customHeight="1">
      <c r="A6616" s="2">
        <v>6619.0</v>
      </c>
      <c r="B6616" s="5" t="s">
        <v>12142</v>
      </c>
      <c r="C6616" s="6">
        <v>2.0</v>
      </c>
      <c r="D6616" s="7" t="s">
        <v>12143</v>
      </c>
      <c r="E6616" s="8" t="str">
        <f>IFERROR(__xludf.DUMMYFUNCTION("googletranslate(D6616,""id"",""en"")"),"Enough street PPKM is closed. Your heart shouldn't be closed for me. So ndut.")</f>
        <v>Enough street PPKM is closed. Your heart shouldn't be closed for me. So ndut.</v>
      </c>
    </row>
    <row r="6617" ht="15.75" customHeight="1">
      <c r="A6617" s="2">
        <v>6620.0</v>
      </c>
      <c r="B6617" s="5" t="s">
        <v>12144</v>
      </c>
      <c r="C6617" s="6">
        <v>2.0</v>
      </c>
      <c r="D6617" s="7" t="s">
        <v>12145</v>
      </c>
      <c r="E6617" s="8" t="str">
        <f>IFERROR(__xludf.DUMMYFUNCTION("googletranslate(D6617,""id"",""en"")"),"der keun ka bandung bro beres ppkm")</f>
        <v>der keun ka bandung bro beres ppkm</v>
      </c>
    </row>
    <row r="6618" ht="15.75" customHeight="1">
      <c r="A6618" s="2">
        <v>6621.0</v>
      </c>
      <c r="B6618" s="5" t="s">
        <v>12146</v>
      </c>
      <c r="C6618" s="6">
        <v>2.0</v>
      </c>
      <c r="D6618" s="9" t="s">
        <v>12146</v>
      </c>
      <c r="E6618" s="8" t="str">
        <f>IFERROR(__xludf.DUMMYFUNCTION("googletranslate(D6618,""id"",""en"")"),"ppkm extended lg gasi? Want to cus to Hybe Cave")</f>
        <v>ppkm extended lg gasi? Want to cus to Hybe Cave</v>
      </c>
    </row>
    <row r="6619" ht="15.75" customHeight="1">
      <c r="A6619" s="2">
        <v>6622.0</v>
      </c>
      <c r="B6619" s="5" t="s">
        <v>12147</v>
      </c>
      <c r="C6619" s="6">
        <v>1.0</v>
      </c>
      <c r="D6619" s="9" t="s">
        <v>12148</v>
      </c>
      <c r="E6619" s="8" t="str">
        <f>IFERROR(__xludf.DUMMYFUNCTION("googletranslate(D6619,""id"",""en"")"),"Ppkm level4 extended no longer? How come the feeling of the cave will extend until the date is continued again that's the poverty and our trouble")</f>
        <v>Ppkm level4 extended no longer? How come the feeling of the cave will extend until the date is continued again that's the poverty and our trouble</v>
      </c>
    </row>
    <row r="6620" ht="15.75" customHeight="1">
      <c r="A6620" s="2">
        <v>6623.0</v>
      </c>
      <c r="B6620" s="5" t="s">
        <v>12149</v>
      </c>
      <c r="C6620" s="6">
        <v>1.0</v>
      </c>
      <c r="D6620" s="7" t="s">
        <v>12149</v>
      </c>
      <c r="E6620" s="8" t="str">
        <f>IFERROR(__xludf.DUMMYFUNCTION("googletranslate(D6620,""id"",""en"")"),"KPN The PPKM is not extended to stress know")</f>
        <v>KPN The PPKM is not extended to stress know</v>
      </c>
    </row>
    <row r="6621" ht="15.75" customHeight="1">
      <c r="A6621" s="2">
        <v>6624.0</v>
      </c>
      <c r="B6621" s="5" t="s">
        <v>12150</v>
      </c>
      <c r="C6621" s="6">
        <v>2.0</v>
      </c>
      <c r="D6621" s="7" t="s">
        <v>12151</v>
      </c>
      <c r="E6621" s="8" t="str">
        <f>IFERROR(__xludf.DUMMYFUNCTION("googletranslate(D6621,""id"",""en"")"),"Ppkm (morning you are sweet)")</f>
        <v>Ppkm (morning you are sweet)</v>
      </c>
    </row>
    <row r="6622" ht="15.75" customHeight="1">
      <c r="A6622" s="2">
        <v>6625.0</v>
      </c>
      <c r="B6622" s="5" t="s">
        <v>12152</v>
      </c>
      <c r="C6622" s="6">
        <v>2.0</v>
      </c>
      <c r="D6622" s="7" t="s">
        <v>12153</v>
      </c>
      <c r="E6622" s="8" t="str">
        <f>IFERROR(__xludf.DUMMYFUNCTION("googletranslate(D6622,""id"",""en"")"),"Hopefully the PPKM is not extended")</f>
        <v>Hopefully the PPKM is not extended</v>
      </c>
    </row>
    <row r="6623" ht="15.75" customHeight="1">
      <c r="A6623" s="2">
        <v>6626.0</v>
      </c>
      <c r="B6623" s="5" t="s">
        <v>12154</v>
      </c>
      <c r="C6623" s="6">
        <v>1.0</v>
      </c>
      <c r="D6623" s="7" t="s">
        <v>12155</v>
      </c>
      <c r="E6623" s="8" t="str">
        <f>IFERROR(__xludf.DUMMYFUNCTION("googletranslate(D6623,""id"",""en"")"),"Sdh dated, renewed again.")</f>
        <v>Sdh dated, renewed again.</v>
      </c>
    </row>
    <row r="6624" ht="15.75" customHeight="1">
      <c r="A6624" s="2">
        <v>6627.0</v>
      </c>
      <c r="B6624" s="5" t="s">
        <v>12156</v>
      </c>
      <c r="C6624" s="6">
        <v>1.0</v>
      </c>
      <c r="D6624" s="7" t="s">
        <v>12156</v>
      </c>
      <c r="E6624" s="8" t="str">
        <f>IFERROR(__xludf.DUMMYFUNCTION("googletranslate(D6624,""id"",""en"")"),"Crying on Monday is when the PPKM is a lot of tacters at the Multitrip station, the GDA SALDO Emoney ilang: "") Ah, it's a beautiful Monday")</f>
        <v>Crying on Monday is when the PPKM is a lot of tacters at the Multitrip station, the GDA SALDO Emoney ilang: ") Ah, it's a beautiful Monday</v>
      </c>
    </row>
    <row r="6625" ht="15.75" customHeight="1">
      <c r="A6625" s="2">
        <v>6628.0</v>
      </c>
      <c r="B6625" s="5" t="s">
        <v>12157</v>
      </c>
      <c r="C6625" s="6">
        <v>1.0</v>
      </c>
      <c r="D6625" s="9" t="s">
        <v>12158</v>
      </c>
      <c r="E6625" s="8" t="str">
        <f>IFERROR(__xludf.DUMMYFUNCTION("googletranslate(D6625,""id"",""en"")"),"What is the function on the PPKM if the outside can still be in ,,,,, dalatan ..")</f>
        <v>What is the function on the PPKM if the outside can still be in ,,,,, dalatan ..</v>
      </c>
    </row>
    <row r="6626" ht="15.75" customHeight="1">
      <c r="A6626" s="2">
        <v>6629.0</v>
      </c>
      <c r="B6626" s="5" t="s">
        <v>12159</v>
      </c>
      <c r="C6626" s="6">
        <v>1.0</v>
      </c>
      <c r="D6626" s="9" t="s">
        <v>12160</v>
      </c>
      <c r="E6626" s="8" t="str">
        <f>IFERROR(__xludf.DUMMYFUNCTION("googletranslate(D6626,""id"",""en"")"),"Good morning, the last day of the PPKM extension, Feeling I was extended again because the number of Covid Daily MSH case was high. Ppkm ado, because on the streets I see the car &amp; amp; motorcycle is crowded, the insulation point is only his tent, the roa"&amp;"d barrier is shifted by a little spy bs")</f>
        <v>Good morning, the last day of the PPKM extension, Feeling I was extended again because the number of Covid Daily MSH case was high. Ppkm ado, because on the streets I see the car &amp; amp; motorcycle is crowded, the insulation point is only his tent, the road barrier is shifted by a little spy bs</v>
      </c>
    </row>
    <row r="6627" ht="15.75" customHeight="1">
      <c r="A6627" s="2">
        <v>6630.0</v>
      </c>
      <c r="B6627" s="5" t="s">
        <v>12161</v>
      </c>
      <c r="C6627" s="6">
        <v>2.0</v>
      </c>
      <c r="D6627" s="7" t="s">
        <v>12162</v>
      </c>
      <c r="E6627" s="8" t="str">
        <f>IFERROR(__xludf.DUMMYFUNCTION("googletranslate(D6627,""id"",""en"")"),"This is really an extended PPKM again?")</f>
        <v>This is really an extended PPKM again?</v>
      </c>
    </row>
    <row r="6628" ht="15.75" customHeight="1">
      <c r="A6628" s="2">
        <v>6631.0</v>
      </c>
      <c r="B6628" s="5" t="s">
        <v>12163</v>
      </c>
      <c r="C6628" s="6">
        <v>2.0</v>
      </c>
      <c r="D6628" s="7" t="s">
        <v>12163</v>
      </c>
      <c r="E6628" s="8" t="str">
        <f>IFERROR(__xludf.DUMMYFUNCTION("googletranslate(D6628,""id"",""en"")"),"It's been Monday anymore, BTW PPKM Apakabar huh? What's up?")</f>
        <v>It's been Monday anymore, BTW PPKM Apakabar huh? What's up?</v>
      </c>
    </row>
    <row r="6629" ht="15.75" customHeight="1">
      <c r="A6629" s="2">
        <v>6632.0</v>
      </c>
      <c r="B6629" s="5" t="s">
        <v>12164</v>
      </c>
      <c r="C6629" s="6">
        <v>2.0</v>
      </c>
      <c r="D6629" s="7" t="s">
        <v>12164</v>
      </c>
      <c r="E6629" s="8" t="str">
        <f>IFERROR(__xludf.DUMMYFUNCTION("googletranslate(D6629,""id"",""en"")"),"Is tomorrow there will be another PPKM announcement to be extended?")</f>
        <v>Is tomorrow there will be another PPKM announcement to be extended?</v>
      </c>
    </row>
    <row r="6630" ht="15.75" customHeight="1">
      <c r="A6630" s="2">
        <v>6633.0</v>
      </c>
      <c r="B6630" s="5" t="s">
        <v>12165</v>
      </c>
      <c r="C6630" s="6">
        <v>1.0</v>
      </c>
      <c r="D6630" s="9" t="s">
        <v>12166</v>
      </c>
      <c r="E6630" s="8" t="str">
        <f>IFERROR(__xludf.DUMMYFUNCTION("googletranslate(D6630,""id"",""en"")"),"Get worse regime, the use of situations that are always utilized and in existence, and always make up, really want to be miserable to the common people, and without the solution to overcome the Effect of the PPKM which is extended, ... how come the people"&amp;", it's time to fight fools and impoverishment this")</f>
        <v>Get worse regime, the use of situations that are always utilized and in existence, and always make up, really want to be miserable to the common people, and without the solution to overcome the Effect of the PPKM which is extended, ... how come the people, it's time to fight fools and impoverishment this</v>
      </c>
    </row>
    <row r="6631" ht="15.75" customHeight="1">
      <c r="A6631" s="2">
        <v>6634.0</v>
      </c>
      <c r="B6631" s="5" t="s">
        <v>12167</v>
      </c>
      <c r="C6631" s="6">
        <v>1.0</v>
      </c>
      <c r="D6631" s="9" t="s">
        <v>12168</v>
      </c>
      <c r="E6631" s="8" t="str">
        <f>IFERROR(__xludf.DUMMYFUNCTION("googletranslate(D6631,""id"",""en"")"),"I want to be a Pro Player Game Division Zuma sir. Helpful because it's been sick of PPKM!")</f>
        <v>I want to be a Pro Player Game Division Zuma sir. Helpful because it's been sick of PPKM!</v>
      </c>
    </row>
    <row r="6632" ht="15.75" customHeight="1">
      <c r="A6632" s="2">
        <v>6635.0</v>
      </c>
      <c r="B6632" s="5" t="s">
        <v>12169</v>
      </c>
      <c r="C6632" s="6">
        <v>1.0</v>
      </c>
      <c r="D6632" s="7" t="s">
        <v>12169</v>
      </c>
      <c r="E6632" s="8" t="str">
        <f>IFERROR(__xludf.DUMMYFUNCTION("googletranslate(D6632,""id"",""en"")"),"Duh geli bgt sm covidiottt can no need to walk or not rich gini !!!")</f>
        <v>Duh geli bgt sm covidiottt can no need to walk or not rich gini !!!</v>
      </c>
    </row>
    <row r="6633" ht="15.75" customHeight="1">
      <c r="A6633" s="2">
        <v>6636.0</v>
      </c>
      <c r="B6633" s="5" t="s">
        <v>12170</v>
      </c>
      <c r="C6633" s="6">
        <v>1.0</v>
      </c>
      <c r="D6633" s="9" t="s">
        <v>12171</v>
      </c>
      <c r="E6633" s="8" t="str">
        <f>IFERROR(__xludf.DUMMYFUNCTION("googletranslate(D6633,""id"",""en"")"),"In developed countries, one of the standards for maintaining food security is a chef or food maker using masks &amp; amp; Cap to cover the head. This standard Basic. If all sellers of warteg, street vendors, restaurants in Indonesia implement this PPKM need n"&amp;"ot be done.")</f>
        <v>In developed countries, one of the standards for maintaining food security is a chef or food maker using masks &amp; amp; Cap to cover the head. This standard Basic. If all sellers of warteg, street vendors, restaurants in Indonesia implement this PPKM need not be done.</v>
      </c>
    </row>
    <row r="6634" ht="15.75" customHeight="1">
      <c r="A6634" s="2">
        <v>6637.0</v>
      </c>
      <c r="B6634" s="5" t="s">
        <v>12172</v>
      </c>
      <c r="C6634" s="6">
        <v>2.0</v>
      </c>
      <c r="D6634" s="7" t="s">
        <v>12173</v>
      </c>
      <c r="E6634" s="8" t="str">
        <f>IFERROR(__xludf.DUMMYFUNCTION("googletranslate(D6634,""id"",""en"")"),"Just a way closed when your heart's ppkm don't")</f>
        <v>Just a way closed when your heart's ppkm don't</v>
      </c>
    </row>
    <row r="6635" ht="15.75" customHeight="1">
      <c r="A6635" s="2">
        <v>6638.0</v>
      </c>
      <c r="B6635" s="5" t="s">
        <v>12174</v>
      </c>
      <c r="C6635" s="6">
        <v>1.0</v>
      </c>
      <c r="D6635" s="7" t="s">
        <v>12174</v>
      </c>
      <c r="E6635" s="8" t="str">
        <f>IFERROR(__xludf.DUMMYFUNCTION("googletranslate(D6635,""id"",""en"")"),"ppkm ngahan yuuuu plis bangett already cape at home already mumet at home")</f>
        <v>ppkm ngahan yuuuu plis bangett already cape at home already mumet at home</v>
      </c>
    </row>
    <row r="6636" ht="15.75" customHeight="1">
      <c r="A6636" s="2">
        <v>6639.0</v>
      </c>
      <c r="B6636" s="5" t="s">
        <v>12175</v>
      </c>
      <c r="C6636" s="6">
        <v>2.0</v>
      </c>
      <c r="D6636" s="7" t="s">
        <v>12176</v>
      </c>
      <c r="E6636" s="8" t="str">
        <f>IFERROR(__xludf.DUMMYFUNCTION("googletranslate(D6636,""id"",""en"")"),"masi ppkm")</f>
        <v>masi ppkm</v>
      </c>
    </row>
    <row r="6637" ht="15.75" customHeight="1">
      <c r="A6637" s="2">
        <v>6640.0</v>
      </c>
      <c r="B6637" s="5" t="s">
        <v>12177</v>
      </c>
      <c r="C6637" s="6">
        <v>3.0</v>
      </c>
      <c r="D6637" s="7" t="s">
        <v>12178</v>
      </c>
      <c r="E6637" s="8" t="str">
        <f>IFERROR(__xludf.DUMMYFUNCTION("googletranslate(D6637,""id"",""en"")"),"Ooops hahhaini the story is again ppkm well keep the distance wkwkwk")</f>
        <v>Ooops hahhaini the story is again ppkm well keep the distance wkwkwk</v>
      </c>
    </row>
    <row r="6638" ht="15.75" customHeight="1">
      <c r="A6638" s="2">
        <v>6641.0</v>
      </c>
      <c r="B6638" s="5" t="s">
        <v>12179</v>
      </c>
      <c r="C6638" s="6">
        <v>3.0</v>
      </c>
      <c r="D6638" s="7" t="s">
        <v>12180</v>
      </c>
      <c r="E6638" s="8" t="str">
        <f>IFERROR(__xludf.DUMMYFUNCTION("googletranslate(D6638,""id"",""en"")"),"The people must obey PPKM !!")</f>
        <v>The people must obey PPKM !!</v>
      </c>
    </row>
    <row r="6639" ht="15.75" customHeight="1">
      <c r="A6639" s="2">
        <v>6642.0</v>
      </c>
      <c r="B6639" s="5" t="s">
        <v>12181</v>
      </c>
      <c r="C6639" s="6">
        <v>1.0</v>
      </c>
      <c r="D6639" s="9" t="s">
        <v>12182</v>
      </c>
      <c r="E6639" s="8" t="str">
        <f>IFERROR(__xludf.DUMMYFUNCTION("googletranslate(D6639,""id"",""en"")"),"PPKM extended. There is no priority scale to give assistance to the people. Even if there is a help that has come down, it's only a few who accept it or not evenly. Just silence the mouth of the residents who protested because of help that didn't go down.")</f>
        <v>PPKM extended. There is no priority scale to give assistance to the people. Even if there is a help that has come down, it's only a few who accept it or not evenly. Just silence the mouth of the residents who protested because of help that didn't go down.</v>
      </c>
    </row>
    <row r="6640" ht="15.75" customHeight="1">
      <c r="A6640" s="2">
        <v>6643.0</v>
      </c>
      <c r="B6640" s="5" t="s">
        <v>12183</v>
      </c>
      <c r="C6640" s="6">
        <v>2.0</v>
      </c>
      <c r="D6640" s="7" t="s">
        <v>12184</v>
      </c>
      <c r="E6640" s="8" t="str">
        <f>IFERROR(__xludf.DUMMYFUNCTION("googletranslate(D6640,""id"",""en"")"),"Ppkmpas have you avoided")</f>
        <v>Ppkmpas have you avoided</v>
      </c>
    </row>
    <row r="6641" ht="15.75" customHeight="1">
      <c r="A6641" s="2">
        <v>6644.0</v>
      </c>
      <c r="B6641" s="5" t="s">
        <v>12185</v>
      </c>
      <c r="C6641" s="6">
        <v>2.0</v>
      </c>
      <c r="D6641" s="7" t="s">
        <v>12186</v>
      </c>
      <c r="E6641" s="8" t="str">
        <f>IFERROR(__xludf.DUMMYFUNCTION("googletranslate(D6641,""id"",""en"")"),"Like his PPKM will be extended until August ~")</f>
        <v>Like his PPKM will be extended until August ~</v>
      </c>
    </row>
    <row r="6642" ht="15.75" customHeight="1">
      <c r="A6642" s="2">
        <v>6645.0</v>
      </c>
      <c r="B6642" s="5" t="s">
        <v>12187</v>
      </c>
      <c r="C6642" s="6">
        <v>2.0</v>
      </c>
      <c r="D6642" s="7" t="s">
        <v>12187</v>
      </c>
      <c r="E6642" s="8" t="str">
        <f>IFERROR(__xludf.DUMMYFUNCTION("googletranslate(D6642,""id"",""en"")"),"Paris Gaada PPKM.")</f>
        <v>Paris Gaada PPKM.</v>
      </c>
    </row>
    <row r="6643" ht="15.75" customHeight="1">
      <c r="A6643" s="2">
        <v>6646.0</v>
      </c>
      <c r="B6643" s="5" t="s">
        <v>12188</v>
      </c>
      <c r="C6643" s="6">
        <v>1.0</v>
      </c>
      <c r="D6643" s="7" t="s">
        <v>12189</v>
      </c>
      <c r="E6643" s="8" t="str">
        <f>IFERROR(__xludf.DUMMYFUNCTION("googletranslate(D6643,""id"",""en"")"),"Chinese TKA Can Enter Wandering at PPKM with the reason they have KITA, the Indonesian people themselves cannot move even as the nation's owner and state. This is a government or invaders?")</f>
        <v>Chinese TKA Can Enter Wandering at PPKM with the reason they have KITA, the Indonesian people themselves cannot move even as the nation's owner and state. This is a government or invaders?</v>
      </c>
    </row>
    <row r="6644" ht="15.75" customHeight="1">
      <c r="A6644" s="2">
        <v>6647.0</v>
      </c>
      <c r="B6644" s="5" t="s">
        <v>12190</v>
      </c>
      <c r="C6644" s="6">
        <v>1.0</v>
      </c>
      <c r="D6644" s="9" t="s">
        <v>12191</v>
      </c>
      <c r="E6644" s="8" t="str">
        <f>IFERROR(__xludf.DUMMYFUNCTION("googletranslate(D6644,""id"",""en"")"),"If the PPKM is extended, August becomes free?")</f>
        <v>If the PPKM is extended, August becomes free?</v>
      </c>
    </row>
    <row r="6645" ht="15.75" customHeight="1">
      <c r="A6645" s="2">
        <v>6648.0</v>
      </c>
      <c r="B6645" s="5" t="s">
        <v>12192</v>
      </c>
      <c r="C6645" s="6">
        <v>2.0</v>
      </c>
      <c r="D6645" s="7" t="s">
        <v>12193</v>
      </c>
      <c r="E6645" s="8" t="str">
        <f>IFERROR(__xludf.DUMMYFUNCTION("googletranslate(D6645,""id"",""en"")"),"We see if ppkm today will be extended again or not")</f>
        <v>We see if ppkm today will be extended again or not</v>
      </c>
    </row>
    <row r="6646" ht="15.75" customHeight="1">
      <c r="A6646" s="2">
        <v>6649.0</v>
      </c>
      <c r="B6646" s="5" t="s">
        <v>12194</v>
      </c>
      <c r="C6646" s="6">
        <v>1.0</v>
      </c>
      <c r="D6646" s="9" t="s">
        <v>12195</v>
      </c>
      <c r="E6646" s="8" t="str">
        <f>IFERROR(__xludf.DUMMYFUNCTION("googletranslate(D6646,""id"",""en"")"),"Bank bnn pandaan-jatim, for playannn hrus dtng dtng hr, pgi pgi bankbni queue is close to playann cs, ap sprti ni strtginy spy msyrkat can't take money dbank, prailrn money dbank sngja dquiru dquaan, ppkm yes ppkm or not Gini2 Amat")</f>
        <v>Bank bnn pandaan-jatim, for playannn hrus dtng dtng hr, pgi pgi bankbni queue is close to playann cs, ap sprti ni strtginy spy msyrkat can't take money dbank, prailrn money dbank sngja dquiru dquaan, ppkm yes ppkm or not Gini2 Amat</v>
      </c>
    </row>
    <row r="6647" ht="15.75" customHeight="1">
      <c r="A6647" s="2">
        <v>6650.0</v>
      </c>
      <c r="B6647" s="5" t="s">
        <v>12196</v>
      </c>
      <c r="C6647" s="6">
        <v>1.0</v>
      </c>
      <c r="D6647" s="9" t="s">
        <v>12196</v>
      </c>
      <c r="E6647" s="8" t="str">
        <f>IFERROR(__xludf.DUMMYFUNCTION("googletranslate(D6647,""id"",""en"")"),"Wishku Today, PPKM DESTRATED CLOCK CAN SAMPE THE COROR OFF")</f>
        <v>Wishku Today, PPKM DESTRATED CLOCK CAN SAMPE THE COROR OFF</v>
      </c>
    </row>
    <row r="6648" ht="15.75" customHeight="1">
      <c r="A6648" s="2">
        <v>6651.0</v>
      </c>
      <c r="B6648" s="5" t="s">
        <v>12197</v>
      </c>
      <c r="C6648" s="6">
        <v>2.0</v>
      </c>
      <c r="D6648" s="7" t="s">
        <v>12197</v>
      </c>
      <c r="E6648" s="8" t="str">
        <f>IFERROR(__xludf.DUMMYFUNCTION("googletranslate(D6648,""id"",""en"")"),"Ppkm extended again or not?")</f>
        <v>Ppkm extended again or not?</v>
      </c>
    </row>
    <row r="6649" ht="15.75" customHeight="1">
      <c r="A6649" s="2">
        <v>6652.0</v>
      </c>
      <c r="B6649" s="5" t="s">
        <v>12198</v>
      </c>
      <c r="C6649" s="6">
        <v>1.0</v>
      </c>
      <c r="D6649" s="7" t="s">
        <v>12199</v>
      </c>
      <c r="E6649" s="8" t="str">
        <f>IFERROR(__xludf.DUMMYFUNCTION("googletranslate(D6649,""id"",""en"")"),"(PPKM): Government stage mode category ... Mr. Jokowi &amp; amp; Luhut ... Piye Iki ..")</f>
        <v>(PPKM): Government stage mode category ... Mr. Jokowi &amp; amp; Luhut ... Piye Iki ..</v>
      </c>
    </row>
    <row r="6650" ht="15.75" customHeight="1">
      <c r="A6650" s="2">
        <v>6653.0</v>
      </c>
      <c r="B6650" s="5" t="s">
        <v>12200</v>
      </c>
      <c r="C6650" s="6">
        <v>2.0</v>
      </c>
      <c r="D6650" s="10" t="s">
        <v>12201</v>
      </c>
      <c r="E6650" s="8" t="str">
        <f>IFERROR(__xludf.DUMMYFUNCTION("googletranslate(D6650,""id"",""en"")"),"LG PPKM Beb.")</f>
        <v>LG PPKM Beb.</v>
      </c>
    </row>
    <row r="6651" ht="15.75" customHeight="1">
      <c r="A6651" s="2">
        <v>6654.0</v>
      </c>
      <c r="B6651" s="5" t="s">
        <v>12202</v>
      </c>
      <c r="C6651" s="6">
        <v>1.0</v>
      </c>
      <c r="D6651" s="9" t="s">
        <v>12203</v>
      </c>
      <c r="E6651" s="8" t="str">
        <f>IFERROR(__xludf.DUMMYFUNCTION("googletranslate(D6651,""id"",""en"")"),"Yes yet, yesterday a fixed PPKM was also still closed, just a dadmasman around Saparua, opened")</f>
        <v>Yes yet, yesterday a fixed PPKM was also still closed, just a dadmasman around Saparua, opened</v>
      </c>
    </row>
    <row r="6652" ht="15.75" customHeight="1">
      <c r="A6652" s="2">
        <v>6655.0</v>
      </c>
      <c r="B6652" s="5" t="s">
        <v>12204</v>
      </c>
      <c r="C6652" s="6">
        <v>2.0</v>
      </c>
      <c r="D6652" s="9" t="s">
        <v>12205</v>
      </c>
      <c r="E6652" s="8" t="str">
        <f>IFERROR(__xludf.DUMMYFUNCTION("googletranslate(D6652,""id"",""en"")"),"August, the last day of PPKM Level (if it's not extended) Final Match Cr + Vaccine vs Antigen")</f>
        <v>August, the last day of PPKM Level (if it's not extended) Final Match Cr + Vaccine vs Antigen</v>
      </c>
    </row>
    <row r="6653" ht="15.75" customHeight="1">
      <c r="A6653" s="2">
        <v>6656.0</v>
      </c>
      <c r="B6653" s="5" t="s">
        <v>12206</v>
      </c>
      <c r="C6653" s="6">
        <v>1.0</v>
      </c>
      <c r="D6653" s="7" t="s">
        <v>12207</v>
      </c>
      <c r="E6653" s="8" t="str">
        <f>IFERROR(__xludf.DUMMYFUNCTION("googletranslate(D6653,""id"",""en"")"),"Good morning from me who was dizzy and was ready to receive the Kabar PPKM extended again.")</f>
        <v>Good morning from me who was dizzy and was ready to receive the Kabar PPKM extended again.</v>
      </c>
    </row>
    <row r="6654" ht="15.75" customHeight="1">
      <c r="A6654" s="2">
        <v>6657.0</v>
      </c>
      <c r="B6654" s="5" t="s">
        <v>12208</v>
      </c>
      <c r="C6654" s="6">
        <v>2.0</v>
      </c>
      <c r="D6654" s="7" t="s">
        <v>12209</v>
      </c>
      <c r="E6654" s="8" t="str">
        <f>IFERROR(__xludf.DUMMYFUNCTION("googletranslate(D6654,""id"",""en"")"),"Assallamuallaikummate Morning Guys! Today is Monday August is the last day of the PPKM level guessing, let's extend what? A. Extended RTB. T i d a k lk [give comments guys]")</f>
        <v>Assallamuallaikummate Morning Guys! Today is Monday August is the last day of the PPKM level guessing, let's extend what? A. Extended RTB. T i d a k lk [give comments guys]</v>
      </c>
    </row>
    <row r="6655" ht="15.75" customHeight="1">
      <c r="A6655" s="2">
        <v>6658.0</v>
      </c>
      <c r="B6655" s="5" t="s">
        <v>12210</v>
      </c>
      <c r="C6655" s="6">
        <v>2.0</v>
      </c>
      <c r="D6655" s="10" t="s">
        <v>12211</v>
      </c>
      <c r="E6655" s="8" t="str">
        <f>IFERROR(__xludf.DUMMYFUNCTION("googletranslate(D6655,""id"",""en"")"),"Ppkm nih.")</f>
        <v>Ppkm nih.</v>
      </c>
    </row>
    <row r="6656" ht="15.75" customHeight="1">
      <c r="A6656" s="2">
        <v>6659.0</v>
      </c>
      <c r="B6656" s="5" t="s">
        <v>12212</v>
      </c>
      <c r="C6656" s="6">
        <v>1.0</v>
      </c>
      <c r="D6656" s="7" t="s">
        <v>12213</v>
      </c>
      <c r="E6656" s="8" t="str">
        <f>IFERROR(__xludf.DUMMYFUNCTION("googletranslate(D6656,""id"",""en"")"),"The China Way Overcomes Pandemic with a Billion Resident, every resident of Swab Test Antigen once a week, if positive is immediately quarantined by the government. Is this more effective DOK DRPD finances covid patients and Economic PPKM weakening.")</f>
        <v>The China Way Overcomes Pandemic with a Billion Resident, every resident of Swab Test Antigen once a week, if positive is immediately quarantined by the government. Is this more effective DOK DRPD finances covid patients and Economic PPKM weakening.</v>
      </c>
    </row>
    <row r="6657" ht="15.75" customHeight="1">
      <c r="A6657" s="2">
        <v>6660.0</v>
      </c>
      <c r="B6657" s="5" t="s">
        <v>12214</v>
      </c>
      <c r="C6657" s="6">
        <v>1.0</v>
      </c>
      <c r="D6657" s="7" t="s">
        <v>12215</v>
      </c>
      <c r="E6657" s="8" t="str">
        <f>IFERROR(__xludf.DUMMYFUNCTION("googletranslate(D6657,""id"",""en"")"),"Wait for the extended ppkm or kaga, it actually plays")</f>
        <v>Wait for the extended ppkm or kaga, it actually plays</v>
      </c>
    </row>
    <row r="6658" ht="15.75" customHeight="1">
      <c r="A6658" s="2">
        <v>6661.0</v>
      </c>
      <c r="B6658" s="5" t="s">
        <v>12216</v>
      </c>
      <c r="C6658" s="6">
        <v>3.0</v>
      </c>
      <c r="D6658" s="7" t="s">
        <v>12217</v>
      </c>
      <c r="E6658" s="8" t="str">
        <f>IFERROR(__xludf.DUMMYFUNCTION("googletranslate(D6658,""id"",""en"")"),"Donations and distribution of tofu-tempeh for the community in a difficult village &amp; amp; There is no income during PPKM / Covid19")</f>
        <v>Donations and distribution of tofu-tempeh for the community in a difficult village &amp; amp; There is no income during PPKM / Covid19</v>
      </c>
    </row>
    <row r="6659" ht="15.75" customHeight="1">
      <c r="A6659" s="2">
        <v>6662.0</v>
      </c>
      <c r="B6659" s="5" t="s">
        <v>12218</v>
      </c>
      <c r="C6659" s="6">
        <v>2.0</v>
      </c>
      <c r="D6659" s="9" t="s">
        <v>12219</v>
      </c>
      <c r="E6659" s="8" t="str">
        <f>IFERROR(__xludf.DUMMYFUNCTION("googletranslate(D6659,""id"",""en"")"),"ok if it's not ppkm to mcd together y")</f>
        <v>ok if it's not ppkm to mcd together y</v>
      </c>
    </row>
    <row r="6660" ht="15.75" customHeight="1">
      <c r="A6660" s="2">
        <v>6663.0</v>
      </c>
      <c r="B6660" s="5" t="s">
        <v>12220</v>
      </c>
      <c r="C6660" s="6">
        <v>1.0</v>
      </c>
      <c r="D6660" s="9" t="s">
        <v>12221</v>
      </c>
      <c r="E6660" s="8" t="str">
        <f>IFERROR(__xludf.DUMMYFUNCTION("googletranslate(D6660,""id"",""en"")"),"If the covid pandemic is not over, how long does PPKM intercourse? While most entrepreneurs and street vendors and the people have started to scream. Do you try to live side by side with covid or consider covid with ordinary viruses (colds etc.) will be a"&amp;" solution?")</f>
        <v>If the covid pandemic is not over, how long does PPKM intercourse? While most entrepreneurs and street vendors and the people have started to scream. Do you try to live side by side with covid or consider covid with ordinary viruses (colds etc.) will be a solution?</v>
      </c>
    </row>
    <row r="6661" ht="15.75" customHeight="1">
      <c r="A6661" s="2">
        <v>6664.0</v>
      </c>
      <c r="B6661" s="5" t="s">
        <v>12222</v>
      </c>
      <c r="C6661" s="6">
        <v>2.0</v>
      </c>
      <c r="D6661" s="7" t="s">
        <v>12222</v>
      </c>
      <c r="E6661" s="8" t="str">
        <f>IFERROR(__xludf.DUMMYFUNCTION("googletranslate(D6661,""id"",""en"")"),"PPKM extended again, bro?")</f>
        <v>PPKM extended again, bro?</v>
      </c>
    </row>
    <row r="6662" ht="15.75" customHeight="1">
      <c r="A6662" s="2">
        <v>6665.0</v>
      </c>
      <c r="B6662" s="5" t="s">
        <v>12223</v>
      </c>
      <c r="C6662" s="6">
        <v>2.0</v>
      </c>
      <c r="D6662" s="9" t="s">
        <v>12224</v>
      </c>
      <c r="E6662" s="8" t="str">
        <f>IFERROR(__xludf.DUMMYFUNCTION("googletranslate(D6662,""id"",""en"")"),"If there's no PPKM")</f>
        <v>If there's no PPKM</v>
      </c>
    </row>
    <row r="6663" ht="15.75" customHeight="1">
      <c r="A6663" s="2">
        <v>6666.0</v>
      </c>
      <c r="B6663" s="5" t="s">
        <v>12225</v>
      </c>
      <c r="C6663" s="6">
        <v>1.0</v>
      </c>
      <c r="D6663" s="7" t="s">
        <v>12226</v>
      </c>
      <c r="E6663" s="8" t="str">
        <f>IFERROR(__xludf.DUMMYFUNCTION("googletranslate(D6663,""id"",""en"")"),"Just want to go home as soon as you gather again with my mother and loved ones. Woy come on until when else has a ppkm niiiii")</f>
        <v>Just want to go home as soon as you gather again with my mother and loved ones. Woy come on until when else has a ppkm niiiii</v>
      </c>
    </row>
    <row r="6664" ht="15.75" customHeight="1">
      <c r="A6664" s="2">
        <v>6667.0</v>
      </c>
      <c r="B6664" s="5" t="s">
        <v>12227</v>
      </c>
      <c r="C6664" s="6">
        <v>1.0</v>
      </c>
      <c r="D6664" s="7" t="s">
        <v>12228</v>
      </c>
      <c r="E6664" s="8" t="str">
        <f>IFERROR(__xludf.DUMMYFUNCTION("googletranslate(D6664,""id"",""en"")"),"When I got here, God PPKM Mulu")</f>
        <v>When I got here, God PPKM Mulu</v>
      </c>
    </row>
    <row r="6665" ht="15.75" customHeight="1">
      <c r="A6665" s="2">
        <v>6668.0</v>
      </c>
      <c r="B6665" s="5" t="s">
        <v>12229</v>
      </c>
      <c r="C6665" s="6">
        <v>1.0</v>
      </c>
      <c r="D6665" s="7" t="s">
        <v>12230</v>
      </c>
      <c r="E6665" s="8" t="str">
        <f>IFERROR(__xludf.DUMMYFUNCTION("googletranslate(D6665,""id"",""en"")"),"Now many middle classes turn into ""lower classes"". Effort where E works is very much affected by PPKM, Bansos RA form. MUSMETH")</f>
        <v>Now many middle classes turn into "lower classes". Effort where E works is very much affected by PPKM, Bansos RA form. MUSMETH</v>
      </c>
    </row>
    <row r="6666" ht="15.75" customHeight="1">
      <c r="A6666" s="2">
        <v>6669.0</v>
      </c>
      <c r="B6666" s="5" t="s">
        <v>12231</v>
      </c>
      <c r="C6666" s="6">
        <v>1.0</v>
      </c>
      <c r="D6666" s="7" t="s">
        <v>12231</v>
      </c>
      <c r="E6666" s="8" t="str">
        <f>IFERROR(__xludf.DUMMYFUNCTION("googletranslate(D6666,""id"",""en"")"),"This is really the morning ppkm, I want to find milk, it's hard")</f>
        <v>This is really the morning ppkm, I want to find milk, it's hard</v>
      </c>
    </row>
    <row r="6667" ht="15.75" customHeight="1">
      <c r="A6667" s="2">
        <v>6670.0</v>
      </c>
      <c r="B6667" s="5" t="s">
        <v>12232</v>
      </c>
      <c r="C6667" s="6">
        <v>2.0</v>
      </c>
      <c r="D6667" s="7" t="s">
        <v>12232</v>
      </c>
      <c r="E6667" s="8" t="str">
        <f>IFERROR(__xludf.DUMMYFUNCTION("googletranslate(D6667,""id"",""en"")"),"Waiting for the government to extend PPKM")</f>
        <v>Waiting for the government to extend PPKM</v>
      </c>
    </row>
    <row r="6668" ht="15.75" customHeight="1">
      <c r="A6668" s="2">
        <v>6671.0</v>
      </c>
      <c r="B6668" s="5" t="s">
        <v>12233</v>
      </c>
      <c r="C6668" s="6">
        <v>3.0</v>
      </c>
      <c r="D6668" s="7" t="s">
        <v>12234</v>
      </c>
      <c r="E6668" s="8" t="str">
        <f>IFERROR(__xludf.DUMMYFUNCTION("googletranslate(D6668,""id"",""en"")"),"I don't feel like it's already on, what can PPKM be extended ??? Pray that the best is the best")</f>
        <v>I don't feel like it's already on, what can PPKM be extended ??? Pray that the best is the best</v>
      </c>
    </row>
    <row r="6669" ht="15.75" customHeight="1">
      <c r="A6669" s="2">
        <v>6672.0</v>
      </c>
      <c r="B6669" s="5" t="s">
        <v>12235</v>
      </c>
      <c r="C6669" s="6">
        <v>2.0</v>
      </c>
      <c r="D6669" s="7" t="s">
        <v>12236</v>
      </c>
      <c r="E6669" s="8" t="str">
        <f>IFERROR(__xludf.DUMMYFUNCTION("googletranslate(D6669,""id"",""en"")"),"good morning, hopefully this Monday is the last Monday ppkm")</f>
        <v>good morning, hopefully this Monday is the last Monday ppkm</v>
      </c>
    </row>
    <row r="6670" ht="15.75" customHeight="1">
      <c r="A6670" s="2">
        <v>6673.0</v>
      </c>
      <c r="B6670" s="5" t="s">
        <v>12237</v>
      </c>
      <c r="C6670" s="6">
        <v>1.0</v>
      </c>
      <c r="D6670" s="7" t="s">
        <v>12238</v>
      </c>
      <c r="E6670" s="8" t="str">
        <f>IFERROR(__xludf.DUMMYFUNCTION("googletranslate(D6670,""id"",""en"")"),"Kangen Bgt Misa without PPKM or social distance. It's been a month of ngelintanin Mass Livestreaming in the church, it feels like it's really quiet. But be grateful that I can fight God in the middle of a pandemic.")</f>
        <v>Kangen Bgt Misa without PPKM or social distance. It's been a month of ngelintanin Mass Livestreaming in the church, it feels like it's really quiet. But be grateful that I can fight God in the middle of a pandemic.</v>
      </c>
    </row>
    <row r="6671" ht="15.75" customHeight="1">
      <c r="A6671" s="2">
        <v>6674.0</v>
      </c>
      <c r="B6671" s="5" t="s">
        <v>12239</v>
      </c>
      <c r="C6671" s="6">
        <v>1.0</v>
      </c>
      <c r="D6671" s="7" t="s">
        <v>12240</v>
      </c>
      <c r="E6671" s="8" t="str">
        <f>IFERROR(__xludf.DUMMYFUNCTION("googletranslate(D6671,""id"",""en"")"),"Hadeh, Want to KPN PPKM finished")</f>
        <v>Hadeh, Want to KPN PPKM finished</v>
      </c>
    </row>
    <row r="6672" ht="15.75" customHeight="1">
      <c r="A6672" s="2">
        <v>6675.0</v>
      </c>
      <c r="B6672" s="5" t="s">
        <v>12241</v>
      </c>
      <c r="C6672" s="6">
        <v>2.0</v>
      </c>
      <c r="D6672" s="7" t="s">
        <v>12242</v>
      </c>
      <c r="E6672" s="8" t="str">
        <f>IFERROR(__xludf.DUMMYFUNCTION("googletranslate(D6672,""id"",""en"")"),"Via DM Mbak Yu Effects PPKM")</f>
        <v>Via DM Mbak Yu Effects PPKM</v>
      </c>
    </row>
    <row r="6673" ht="15.75" customHeight="1">
      <c r="A6673" s="2">
        <v>6676.0</v>
      </c>
      <c r="B6673" s="5" t="s">
        <v>12243</v>
      </c>
      <c r="C6673" s="6">
        <v>1.0</v>
      </c>
      <c r="D6673" s="9" t="s">
        <v>12244</v>
      </c>
      <c r="E6673" s="8" t="str">
        <f>IFERROR(__xludf.DUMMYFUNCTION("googletranslate(D6673,""id"",""en"")"),"It's good to be the chairman of the MPR of the Halu regime so on the demo of the people asking for a solution ... what are you doing high school high school. Mo Mo continued? Asked the President?")</f>
        <v>It's good to be the chairman of the MPR of the Halu regime so on the demo of the people asking for a solution ... what are you doing high school high school. Mo Mo continued? Asked the President?</v>
      </c>
    </row>
    <row r="6674" ht="15.75" customHeight="1">
      <c r="A6674" s="2">
        <v>6677.0</v>
      </c>
      <c r="B6674" s="5" t="s">
        <v>12245</v>
      </c>
      <c r="C6674" s="6">
        <v>2.0</v>
      </c>
      <c r="D6674" s="7" t="s">
        <v>12245</v>
      </c>
      <c r="E6674" s="8" t="str">
        <f>IFERROR(__xludf.DUMMYFUNCTION("googletranslate(D6674,""id"",""en"")"),"Batam PPKM ends today (?)")</f>
        <v>Batam PPKM ends today (?)</v>
      </c>
    </row>
    <row r="6675" ht="15.75" customHeight="1">
      <c r="A6675" s="2">
        <v>6678.0</v>
      </c>
      <c r="B6675" s="5" t="s">
        <v>12246</v>
      </c>
      <c r="C6675" s="6">
        <v>1.0</v>
      </c>
      <c r="D6675" s="9" t="s">
        <v>12247</v>
      </c>
      <c r="E6675" s="8" t="str">
        <f>IFERROR(__xludf.DUMMYFUNCTION("googletranslate(D6675,""id"",""en"")"),"It's up to what song but plis ajakin they play games like in the competition, more ppkm and miss the competition, see the game playing the game so for missing this embarrass, I'm really sii, Mian Mintoo")</f>
        <v>It's up to what song but plis ajakin they play games like in the competition, more ppkm and miss the competition, see the game playing the game so for missing this embarrass, I'm really sii, Mian Mintoo</v>
      </c>
    </row>
    <row r="6676" ht="15.75" customHeight="1">
      <c r="A6676" s="2">
        <v>6679.0</v>
      </c>
      <c r="B6676" s="5" t="s">
        <v>12248</v>
      </c>
      <c r="C6676" s="6">
        <v>1.0</v>
      </c>
      <c r="D6676" s="7" t="s">
        <v>12249</v>
      </c>
      <c r="E6676" s="8" t="str">
        <f>IFERROR(__xludf.DUMMYFUNCTION("googletranslate(D6676,""id"",""en"")"),"Haduuu PPKM Drivethru Gase")</f>
        <v>Haduuu PPKM Drivethru Gase</v>
      </c>
    </row>
    <row r="6677" ht="15.75" customHeight="1">
      <c r="A6677" s="2">
        <v>6680.0</v>
      </c>
      <c r="B6677" s="5" t="s">
        <v>12250</v>
      </c>
      <c r="C6677" s="6">
        <v>1.0</v>
      </c>
      <c r="D6677" s="9" t="s">
        <v>12251</v>
      </c>
      <c r="E6677" s="8" t="str">
        <f>IFERROR(__xludf.DUMMYFUNCTION("googletranslate(D6677,""id"",""en"")"),"Already morning. Still you might hope: ') hopefully the PPKM decision is not extended. How to need a wallet and ATM I need to eat")</f>
        <v>Already morning. Still you might hope: ') hopefully the PPKM decision is not extended. How to need a wallet and ATM I need to eat</v>
      </c>
    </row>
    <row r="6678" ht="15.75" customHeight="1">
      <c r="A6678" s="2">
        <v>6681.0</v>
      </c>
      <c r="B6678" s="5" t="s">
        <v>12252</v>
      </c>
      <c r="C6678" s="6">
        <v>1.0</v>
      </c>
      <c r="D6678" s="9" t="s">
        <v>12253</v>
      </c>
      <c r="E6678" s="8" t="str">
        <f>IFERROR(__xludf.DUMMYFUNCTION("googletranslate(D6678,""id"",""en"")"),"honest yeah, bro, bro, we're like that, we've been bored at the house, like every time you're doing TB, ""see Tmn Up Story / SW to the cafe / gathering, but it's not a prize, I swear the sake of anything for anything this is bro, what is this br ppkm anji"&amp;"r Such Pny brain is used")</f>
        <v>honest yeah, bro, bro, we're like that, we've been bored at the house, like every time you're doing TB, "see Tmn Up Story / SW to the cafe / gathering, but it's not a prize, I swear the sake of anything for anything this is bro, what is this br ppkm anjir Such Pny brain is used</v>
      </c>
    </row>
    <row r="6679" ht="15.75" customHeight="1">
      <c r="A6679" s="2">
        <v>6682.0</v>
      </c>
      <c r="B6679" s="5" t="s">
        <v>12254</v>
      </c>
      <c r="C6679" s="6">
        <v>1.0</v>
      </c>
      <c r="D6679" s="9" t="s">
        <v>12255</v>
      </c>
      <c r="E6679" s="8" t="str">
        <f>IFERROR(__xludf.DUMMYFUNCTION("googletranslate(D6679,""id"",""en"")"),"There is more information about the entry of foreigners to Indonesia in the period of PPKM and the prohibition of foreigners may not enter Indonesia ... Why is the Lay community given a polemic like this again ... Pak dizzy is wiser and hears the people o"&amp;"f the owner of the power ... please pack sir")</f>
        <v>There is more information about the entry of foreigners to Indonesia in the period of PPKM and the prohibition of foreigners may not enter Indonesia ... Why is the Lay community given a polemic like this again ... Pak dizzy is wiser and hears the people of the owner of the power ... please pack sir</v>
      </c>
    </row>
    <row r="6680" ht="15.75" customHeight="1">
      <c r="A6680" s="2">
        <v>6683.0</v>
      </c>
      <c r="B6680" s="5" t="s">
        <v>12256</v>
      </c>
      <c r="C6680" s="6">
        <v>1.0</v>
      </c>
      <c r="D6680" s="9" t="s">
        <v>12257</v>
      </c>
      <c r="E6680" s="8" t="str">
        <f>IFERROR(__xludf.DUMMYFUNCTION("googletranslate(D6680,""id"",""en"")"),"We violate the rules, bravely or not? Don't need to wait for this BGST PPKM to pass? Dare not miss?")</f>
        <v>We violate the rules, bravely or not? Don't need to wait for this BGST PPKM to pass? Dare not miss?</v>
      </c>
    </row>
    <row r="6681" ht="15.75" customHeight="1">
      <c r="A6681" s="2">
        <v>6684.0</v>
      </c>
      <c r="B6681" s="5" t="s">
        <v>12258</v>
      </c>
      <c r="C6681" s="6">
        <v>1.0</v>
      </c>
      <c r="D6681" s="9" t="s">
        <v>12259</v>
      </c>
      <c r="E6681" s="8" t="str">
        <f>IFERROR(__xludf.DUMMYFUNCTION("googletranslate(D6681,""id"",""en"")"),"What solution does the regime have a block? That's the Chinese WN entered when the PPKM level where your voice is stupid?")</f>
        <v>What solution does the regime have a block? That's the Chinese WN entered when the PPKM level where your voice is stupid?</v>
      </c>
    </row>
    <row r="6682" ht="15.75" customHeight="1">
      <c r="A6682" s="2">
        <v>6685.0</v>
      </c>
      <c r="B6682" s="5" t="s">
        <v>12260</v>
      </c>
      <c r="C6682" s="6">
        <v>1.0</v>
      </c>
      <c r="D6682" s="9" t="s">
        <v>12261</v>
      </c>
      <c r="E6682" s="8" t="str">
        <f>IFERROR(__xludf.DUMMYFUNCTION("googletranslate(D6682,""id"",""en"")"),"Get! Nak Unils ask me. I want to go back to the book to the library but yesterday I can't enter because the portal is closed on PPKM, if today it's been able to return a Blm book? Want to take care of the free letter for the library for the kompre")</f>
        <v>Get! Nak Unils ask me. I want to go back to the book to the library but yesterday I can't enter because the portal is closed on PPKM, if today it's been able to return a Blm book? Want to take care of the free letter for the library for the kompre</v>
      </c>
    </row>
    <row r="6683" ht="15.75" customHeight="1">
      <c r="A6683" s="2">
        <v>6686.0</v>
      </c>
      <c r="B6683" s="5" t="s">
        <v>12262</v>
      </c>
      <c r="C6683" s="6">
        <v>2.0</v>
      </c>
      <c r="D6683" s="7" t="s">
        <v>12263</v>
      </c>
      <c r="E6683" s="8" t="str">
        <f>IFERROR(__xludf.DUMMYFUNCTION("googletranslate(D6683,""id"",""en"")"),"Today the last ppkm ........................................... he said")</f>
        <v>Today the last ppkm ........................................... he said</v>
      </c>
    </row>
    <row r="6684" ht="15.75" customHeight="1">
      <c r="A6684" s="2">
        <v>6687.0</v>
      </c>
      <c r="B6684" s="5" t="s">
        <v>12264</v>
      </c>
      <c r="C6684" s="6">
        <v>2.0</v>
      </c>
      <c r="D6684" s="7" t="s">
        <v>12265</v>
      </c>
      <c r="E6684" s="8" t="str">
        <f>IFERROR(__xludf.DUMMYFUNCTION("googletranslate(D6684,""id"",""en"")"),"Hoo yeah, still ppkm haha ​​yaa")</f>
        <v>Hoo yeah, still ppkm haha ​​yaa</v>
      </c>
    </row>
    <row r="6685" ht="15.75" customHeight="1">
      <c r="A6685" s="2">
        <v>6688.0</v>
      </c>
      <c r="B6685" s="5" t="s">
        <v>12266</v>
      </c>
      <c r="C6685" s="6">
        <v>1.0</v>
      </c>
      <c r="D6685" s="7" t="s">
        <v>12267</v>
      </c>
      <c r="E6685" s="8" t="str">
        <f>IFERROR(__xludf.DUMMYFUNCTION("googletranslate(D6685,""id"",""en"")"),"Survey wants PPKM level")</f>
        <v>Survey wants PPKM level</v>
      </c>
    </row>
    <row r="6686" ht="15.75" customHeight="1">
      <c r="A6686" s="2">
        <v>6689.0</v>
      </c>
      <c r="B6686" s="5" t="s">
        <v>12268</v>
      </c>
      <c r="C6686" s="6">
        <v>2.0</v>
      </c>
      <c r="D6686" s="7" t="s">
        <v>12268</v>
      </c>
      <c r="E6686" s="8" t="str">
        <f>IFERROR(__xludf.DUMMYFUNCTION("googletranslate(D6686,""id"",""en"")"),"Still ppkm or not?")</f>
        <v>Still ppkm or not?</v>
      </c>
    </row>
    <row r="6687" ht="15.75" customHeight="1">
      <c r="A6687" s="2">
        <v>6690.0</v>
      </c>
      <c r="B6687" s="5" t="s">
        <v>12269</v>
      </c>
      <c r="C6687" s="6">
        <v>1.0</v>
      </c>
      <c r="D6687" s="7" t="s">
        <v>12270</v>
      </c>
      <c r="E6687" s="8" t="str">
        <f>IFERROR(__xludf.DUMMYFUNCTION("googletranslate(D6687,""id"",""en"")"),"He said PPKM, how come foreigners can enter? Residents themselves are difficult everywhere")</f>
        <v>He said PPKM, how come foreigners can enter? Residents themselves are difficult everywhere</v>
      </c>
    </row>
    <row r="6688" ht="15.75" customHeight="1">
      <c r="A6688" s="2">
        <v>6691.0</v>
      </c>
      <c r="B6688" s="5" t="s">
        <v>12271</v>
      </c>
      <c r="C6688" s="6">
        <v>1.0</v>
      </c>
      <c r="D6688" s="7" t="s">
        <v>12272</v>
      </c>
      <c r="E6688" s="8" t="str">
        <f>IFERROR(__xludf.DUMMYFUNCTION("googletranslate(D6688,""id"",""en"")"),"The chairman must you protest China to enter Indonesia when the PPKM where the people themselves are in such a way if they break, where is your heart and brain save?")</f>
        <v>The chairman must you protest China to enter Indonesia when the PPKM where the people themselves are in such a way if they break, where is your heart and brain save?</v>
      </c>
    </row>
    <row r="6689" ht="15.75" customHeight="1">
      <c r="A6689" s="2">
        <v>6692.0</v>
      </c>
      <c r="B6689" s="5" t="s">
        <v>12273</v>
      </c>
      <c r="C6689" s="6">
        <v>1.0</v>
      </c>
      <c r="D6689" s="9" t="s">
        <v>12273</v>
      </c>
      <c r="E6689" s="8" t="str">
        <f>IFERROR(__xludf.DUMMYFUNCTION("googletranslate(D6689,""id"",""en"")"),"the end if the ppkm is extended again I can go home")</f>
        <v>the end if the ppkm is extended again I can go home</v>
      </c>
    </row>
    <row r="6690" ht="15.75" customHeight="1">
      <c r="A6690" s="2">
        <v>6693.0</v>
      </c>
      <c r="B6690" s="5" t="s">
        <v>12274</v>
      </c>
      <c r="C6690" s="6">
        <v>2.0</v>
      </c>
      <c r="D6690" s="7" t="s">
        <v>12275</v>
      </c>
      <c r="E6690" s="8" t="str">
        <f>IFERROR(__xludf.DUMMYFUNCTION("googletranslate(D6690,""id"",""en"")"),"What is the right PPKM is extended or not? Extended or not?")</f>
        <v>What is the right PPKM is extended or not? Extended or not?</v>
      </c>
    </row>
    <row r="6691" ht="15.75" customHeight="1">
      <c r="A6691" s="2">
        <v>6694.0</v>
      </c>
      <c r="B6691" s="5" t="s">
        <v>12276</v>
      </c>
      <c r="C6691" s="6">
        <v>2.0</v>
      </c>
      <c r="D6691" s="7" t="s">
        <v>12276</v>
      </c>
      <c r="E6691" s="8" t="str">
        <f>IFERROR(__xludf.DUMMYFUNCTION("googletranslate(D6691,""id"",""en"")"),"PPKM extended so ppkmmmmmmmmmmmmmmmmmmmmmmmmmmmmmmmmmmmmmmmmmmmmmmmmmmmmmmmmmmmmmmmmmmmmmmmmmmmmmmmmmmm")</f>
        <v>PPKM extended so ppkmmmmmmmmmmmmmmmmmmmmmmmmmmmmmmmmmmmmmmmmmmmmmmmmmmmmmmmmmmmmmmmmmmmmmmmmmmmmmmmmmmm</v>
      </c>
    </row>
    <row r="6692" ht="15.75" customHeight="1">
      <c r="A6692" s="2">
        <v>6695.0</v>
      </c>
      <c r="B6692" s="5" t="s">
        <v>12277</v>
      </c>
      <c r="C6692" s="6">
        <v>1.0</v>
      </c>
      <c r="D6692" s="7" t="s">
        <v>12278</v>
      </c>
      <c r="E6692" s="8" t="str">
        <f>IFERROR(__xludf.DUMMYFUNCTION("googletranslate(D6692,""id"",""en"")"),"hope today the last PPKM, I've played it, bicens one and a half months at home")</f>
        <v>hope today the last PPKM, I've played it, bicens one and a half months at home</v>
      </c>
    </row>
    <row r="6693" ht="15.75" customHeight="1">
      <c r="A6693" s="2">
        <v>6696.0</v>
      </c>
      <c r="B6693" s="5" t="s">
        <v>12279</v>
      </c>
      <c r="C6693" s="6">
        <v>2.0</v>
      </c>
      <c r="D6693" s="9" t="s">
        <v>12280</v>
      </c>
      <c r="E6693" s="8" t="str">
        <f>IFERROR(__xludf.DUMMYFUNCTION("googletranslate(D6693,""id"",""en"")"),"Hilal hasn't seen it yet? Ppkm extended again or not?")</f>
        <v>Hilal hasn't seen it yet? Ppkm extended again or not?</v>
      </c>
    </row>
    <row r="6694" ht="15.75" customHeight="1">
      <c r="A6694" s="2">
        <v>6697.0</v>
      </c>
      <c r="B6694" s="5" t="s">
        <v>12281</v>
      </c>
      <c r="C6694" s="6">
        <v>1.0</v>
      </c>
      <c r="D6694" s="7" t="s">
        <v>12282</v>
      </c>
      <c r="E6694" s="8" t="str">
        <f>IFERROR(__xludf.DUMMYFUNCTION("googletranslate(D6694,""id"",""en"")"),"PPKM doesn't give you a matter of considering the people to load, but for a horde, you can go on. Procurement of laptops ... ??")</f>
        <v>PPKM doesn't give you a matter of considering the people to load, but for a horde, you can go on. Procurement of laptops ... ??</v>
      </c>
    </row>
    <row r="6695" ht="15.75" customHeight="1">
      <c r="A6695" s="2">
        <v>6698.0</v>
      </c>
      <c r="B6695" s="5" t="s">
        <v>12283</v>
      </c>
      <c r="C6695" s="6">
        <v>2.0</v>
      </c>
      <c r="D6695" s="7" t="s">
        <v>12284</v>
      </c>
      <c r="E6695" s="8" t="str">
        <f>IFERROR(__xludf.DUMMYFUNCTION("googletranslate(D6695,""id"",""en"")"),"Cakeeep ... like kukisss ... uh .. mensyen this word ... aaah ... use a ppkm ppkm deh yak")</f>
        <v>Cakeeep ... like kukisss ... uh .. mensyen this word ... aaah ... use a ppkm ppkm deh yak</v>
      </c>
    </row>
    <row r="6696" ht="15.75" customHeight="1">
      <c r="A6696" s="2">
        <v>6699.0</v>
      </c>
      <c r="B6696" s="5" t="s">
        <v>12285</v>
      </c>
      <c r="C6696" s="6">
        <v>2.0</v>
      </c>
      <c r="D6696" s="7" t="s">
        <v>12286</v>
      </c>
      <c r="E6696" s="8" t="str">
        <f>IFERROR(__xludf.DUMMYFUNCTION("googletranslate(D6696,""id"",""en"")"),"Ppkm just at home making bored and bete? Let's join in mango2poker yuk idnpoker site which is certainly gacor link:")</f>
        <v>Ppkm just at home making bored and bete? Let's join in mango2poker yuk idnpoker site which is certainly gacor link:</v>
      </c>
    </row>
    <row r="6697" ht="15.75" customHeight="1">
      <c r="A6697" s="2">
        <v>6700.0</v>
      </c>
      <c r="B6697" s="5" t="s">
        <v>12287</v>
      </c>
      <c r="C6697" s="6">
        <v>1.0</v>
      </c>
      <c r="D6697" s="7" t="s">
        <v>12287</v>
      </c>
      <c r="E6697" s="8" t="str">
        <f>IFERROR(__xludf.DUMMYFUNCTION("googletranslate(D6697,""id"",""en"")"),"We should be grateful to have human resources such as Mr. Luhut who are very multitalentous in all levels of the section, starting at the Minister of Engineering, PPKM coordinator, the steering rescue of the national priority lake, to Chinese TKA. Bismill"&amp;"ah commissioner of Warteg Maritime!")</f>
        <v>We should be grateful to have human resources such as Mr. Luhut who are very multitalentous in all levels of the section, starting at the Minister of Engineering, PPKM coordinator, the steering rescue of the national priority lake, to Chinese TKA. Bismillah commissioner of Warteg Maritime!</v>
      </c>
    </row>
    <row r="6698" ht="15.75" customHeight="1">
      <c r="A6698" s="2">
        <v>6701.0</v>
      </c>
      <c r="B6698" s="5" t="s">
        <v>12288</v>
      </c>
      <c r="C6698" s="6">
        <v>2.0</v>
      </c>
      <c r="D6698" s="7" t="s">
        <v>12289</v>
      </c>
      <c r="E6698" s="8" t="str">
        <f>IFERROR(__xludf.DUMMYFUNCTION("googletranslate(D6698,""id"",""en"")"),"Already dated August Mr. Dhe wants to extend the PPKM again or not? Stop")</f>
        <v>Already dated August Mr. Dhe wants to extend the PPKM again or not? Stop</v>
      </c>
    </row>
    <row r="6699" ht="15.75" customHeight="1">
      <c r="A6699" s="2">
        <v>6702.0</v>
      </c>
      <c r="B6699" s="5" t="s">
        <v>12290</v>
      </c>
      <c r="C6699" s="6">
        <v>2.0</v>
      </c>
      <c r="D6699" s="9" t="s">
        <v>12291</v>
      </c>
      <c r="E6699" s="8" t="str">
        <f>IFERROR(__xludf.DUMMYFUNCTION("googletranslate(D6699,""id"",""en"")"),"The more PPKM is increasingly conscious if life is not about a friend's case, it will gradually be useful for him, he will leave you.")</f>
        <v>The more PPKM is increasingly conscious if life is not about a friend's case, it will gradually be useful for him, he will leave you.</v>
      </c>
    </row>
    <row r="6700" ht="15.75" customHeight="1">
      <c r="A6700" s="2">
        <v>6703.0</v>
      </c>
      <c r="B6700" s="5" t="s">
        <v>12292</v>
      </c>
      <c r="C6700" s="6">
        <v>2.0</v>
      </c>
      <c r="D6700" s="7" t="s">
        <v>12292</v>
      </c>
      <c r="E6700" s="8" t="str">
        <f>IFERROR(__xludf.DUMMYFUNCTION("googletranslate(D6700,""id"",""en"")"),"Info extends Gaes PPKM")</f>
        <v>Info extends Gaes PPKM</v>
      </c>
    </row>
    <row r="6701" ht="15.75" customHeight="1">
      <c r="A6701" s="2">
        <v>6704.0</v>
      </c>
      <c r="B6701" s="5" t="s">
        <v>12293</v>
      </c>
      <c r="C6701" s="6">
        <v>2.0</v>
      </c>
      <c r="D6701" s="7" t="s">
        <v>12294</v>
      </c>
      <c r="E6701" s="8" t="str">
        <f>IFERROR(__xludf.DUMMYFUNCTION("googletranslate(D6701,""id"",""en"")"),"Ppkm will be extended or not")</f>
        <v>Ppkm will be extended or not</v>
      </c>
    </row>
    <row r="6702" ht="15.75" customHeight="1">
      <c r="A6702" s="2">
        <v>6705.0</v>
      </c>
      <c r="B6702" s="5" t="s">
        <v>12295</v>
      </c>
      <c r="C6702" s="6">
        <v>2.0</v>
      </c>
      <c r="D6702" s="7" t="s">
        <v>12295</v>
      </c>
      <c r="E6702" s="8" t="str">
        <f>IFERROR(__xludf.DUMMYFUNCTION("googletranslate(D6702,""id"",""en"")"),"Is it still PPKM?")</f>
        <v>Is it still PPKM?</v>
      </c>
    </row>
    <row r="6703" ht="15.75" customHeight="1">
      <c r="A6703" s="2">
        <v>6706.0</v>
      </c>
      <c r="B6703" s="5" t="s">
        <v>12296</v>
      </c>
      <c r="C6703" s="6">
        <v>1.0</v>
      </c>
      <c r="D6703" s="7" t="s">
        <v>12297</v>
      </c>
      <c r="E6703" s="8" t="str">
        <f>IFERROR(__xludf.DUMMYFUNCTION("googletranslate(D6703,""id"",""en"")"),"It's better to be colonized by a foreign nation, it is clear, the skin color is different from the language ... the current appares, congratulations on the PPKM,")</f>
        <v>It's better to be colonized by a foreign nation, it is clear, the skin color is different from the language ... the current appares, congratulations on the PPKM,</v>
      </c>
    </row>
    <row r="6704" ht="15.75" customHeight="1">
      <c r="A6704" s="2">
        <v>6707.0</v>
      </c>
      <c r="B6704" s="5" t="s">
        <v>12298</v>
      </c>
      <c r="C6704" s="6">
        <v>1.0</v>
      </c>
      <c r="D6704" s="9" t="s">
        <v>12299</v>
      </c>
      <c r="E6704" s="8" t="str">
        <f>IFERROR(__xludf.DUMMYFUNCTION("googletranslate(D6704,""id"",""en"")"),"Then what is the action, while the Indonesian people told to remain at home ... Is this a special strategy, that the PPKM made China freely entered the beloved earth?!?!")</f>
        <v>Then what is the action, while the Indonesian people told to remain at home ... Is this a special strategy, that the PPKM made China freely entered the beloved earth?!?!</v>
      </c>
    </row>
    <row r="6705" ht="15.75" customHeight="1">
      <c r="A6705" s="2">
        <v>6708.0</v>
      </c>
      <c r="B6705" s="5" t="s">
        <v>12300</v>
      </c>
      <c r="C6705" s="6">
        <v>2.0</v>
      </c>
      <c r="D6705" s="7" t="s">
        <v>12301</v>
      </c>
      <c r="E6705" s="8" t="str">
        <f>IFERROR(__xludf.DUMMYFUNCTION("googletranslate(D6705,""id"",""en"")"),"time to see PPKM is extended or not")</f>
        <v>time to see PPKM is extended or not</v>
      </c>
    </row>
    <row r="6706" ht="15.75" customHeight="1">
      <c r="A6706" s="2">
        <v>6709.0</v>
      </c>
      <c r="B6706" s="5" t="s">
        <v>12302</v>
      </c>
      <c r="C6706" s="6">
        <v>2.0</v>
      </c>
      <c r="D6706" s="7" t="s">
        <v>12303</v>
      </c>
      <c r="E6706" s="8" t="str">
        <f>IFERROR(__xludf.DUMMYFUNCTION("googletranslate(D6706,""id"",""en"")"),"Ppkm d take over atw no huh?")</f>
        <v>Ppkm d take over atw no huh?</v>
      </c>
    </row>
    <row r="6707" ht="15.75" customHeight="1">
      <c r="A6707" s="2">
        <v>6710.0</v>
      </c>
      <c r="B6707" s="5" t="s">
        <v>12304</v>
      </c>
      <c r="C6707" s="6">
        <v>1.0</v>
      </c>
      <c r="D6707" s="7" t="s">
        <v>12304</v>
      </c>
      <c r="E6707" s="8" t="str">
        <f>IFERROR(__xludf.DUMMYFUNCTION("googletranslate(D6707,""id"",""en"")"),"After w seeing anjir selebgram2 on the streets, it's already gini yaampon")</f>
        <v>After w seeing anjir selebgram2 on the streets, it's already gini yaampon</v>
      </c>
    </row>
    <row r="6708" ht="15.75" customHeight="1">
      <c r="A6708" s="2">
        <v>6711.0</v>
      </c>
      <c r="B6708" s="5" t="s">
        <v>12305</v>
      </c>
      <c r="C6708" s="6">
        <v>2.0</v>
      </c>
      <c r="D6708" s="7" t="s">
        <v>12306</v>
      </c>
      <c r="E6708" s="8" t="str">
        <f>IFERROR(__xludf.DUMMYFUNCTION("googletranslate(D6708,""id"",""en"")"),"Riding a bus after shubuh. Magelang Temanggung. Quiet. My only passenger and driver. PPKM continued Monggo ... I was pulled out, please say the driver ... Zinc was important, while prokes ...")</f>
        <v>Riding a bus after shubuh. Magelang Temanggung. Quiet. My only passenger and driver. PPKM continued Monggo ... I was pulled out, please say the driver ... Zinc was important, while prokes ...</v>
      </c>
    </row>
    <row r="6709" ht="15.75" customHeight="1">
      <c r="A6709" s="2">
        <v>6712.0</v>
      </c>
      <c r="B6709" s="5" t="s">
        <v>12307</v>
      </c>
      <c r="C6709" s="6">
        <v>2.0</v>
      </c>
      <c r="D6709" s="7" t="s">
        <v>12308</v>
      </c>
      <c r="E6709" s="8" t="str">
        <f>IFERROR(__xludf.DUMMYFUNCTION("googletranslate(D6709,""id"",""en"")"),"Waiting for the decision of the PPKM stage to be announced in the morning, noon or night, it's already like waiting for Bedug Maghrib to break the fast")</f>
        <v>Waiting for the decision of the PPKM stage to be announced in the morning, noon or night, it's already like waiting for Bedug Maghrib to break the fast</v>
      </c>
    </row>
    <row r="6710" ht="15.75" customHeight="1">
      <c r="A6710" s="2">
        <v>6713.0</v>
      </c>
      <c r="B6710" s="5" t="s">
        <v>12309</v>
      </c>
      <c r="C6710" s="6">
        <v>1.0</v>
      </c>
      <c r="D6710" s="7" t="s">
        <v>12310</v>
      </c>
      <c r="E6710" s="8" t="str">
        <f>IFERROR(__xludf.DUMMYFUNCTION("googletranslate(D6710,""id"",""en"")"),"The area of ​​PPKM, the community is limited to activities, eh Pakwali Bukittinggi is cool to collect nga using a mask. Nga daddy, later if the high case number can be wrong with the people of Sahaja")</f>
        <v>The area of ​​PPKM, the community is limited to activities, eh Pakwali Bukittinggi is cool to collect nga using a mask. Nga daddy, later if the high case number can be wrong with the people of Sahaja</v>
      </c>
    </row>
    <row r="6711" ht="15.75" customHeight="1">
      <c r="A6711" s="2">
        <v>6714.0</v>
      </c>
      <c r="B6711" s="5" t="s">
        <v>12311</v>
      </c>
      <c r="C6711" s="6">
        <v>1.0</v>
      </c>
      <c r="D6711" s="9" t="s">
        <v>12311</v>
      </c>
      <c r="E6711" s="8" t="str">
        <f>IFERROR(__xludf.DUMMYFUNCTION("googletranslate(D6711,""id"",""en"")"),"PPKM continues, I will continue to continue. mengapek")</f>
        <v>PPKM continues, I will continue to continue. mengapek</v>
      </c>
    </row>
    <row r="6712" ht="15.75" customHeight="1">
      <c r="A6712" s="2">
        <v>6715.0</v>
      </c>
      <c r="B6712" s="5" t="s">
        <v>12312</v>
      </c>
      <c r="C6712" s="6">
        <v>2.0</v>
      </c>
      <c r="D6712" s="7" t="s">
        <v>12312</v>
      </c>
      <c r="E6712" s="8" t="str">
        <f>IFERROR(__xludf.DUMMYFUNCTION("googletranslate(D6712,""id"",""en"")"),"PPKM Extends LG Gasi?")</f>
        <v>PPKM Extends LG Gasi?</v>
      </c>
    </row>
    <row r="6713" ht="15.75" customHeight="1">
      <c r="A6713" s="2">
        <v>6716.0</v>
      </c>
      <c r="B6713" s="5" t="s">
        <v>12313</v>
      </c>
      <c r="C6713" s="6">
        <v>1.0</v>
      </c>
      <c r="D6713" s="7" t="s">
        <v>12314</v>
      </c>
      <c r="E6713" s="8" t="str">
        <f>IFERROR(__xludf.DUMMYFUNCTION("googletranslate(D6713,""id"",""en"")"),"""PPKM, the application of Lockdown Ala Capitalism"" One year more Covid-19 virus has hit the world, including the world's largest Muslim population. But until now, VIR")</f>
        <v>"PPKM, the application of Lockdown Ala Capitalism" One year more Covid-19 virus has hit the world, including the world's largest Muslim population. But until now, VIR</v>
      </c>
    </row>
    <row r="6714" ht="15.75" customHeight="1">
      <c r="A6714" s="2">
        <v>6717.0</v>
      </c>
      <c r="B6714" s="5" t="s">
        <v>12315</v>
      </c>
      <c r="C6714" s="6">
        <v>1.0</v>
      </c>
      <c r="D6714" s="7" t="s">
        <v>12316</v>
      </c>
      <c r="E6714" s="8" t="str">
        <f>IFERROR(__xludf.DUMMYFUNCTION("googletranslate(D6714,""id"",""en"")"),"Is it tar if you get pregnant, continue to breed? It doesn't finish this pandemic. PPKM slowly we die")</f>
        <v>Is it tar if you get pregnant, continue to breed? It doesn't finish this pandemic. PPKM slowly we die</v>
      </c>
    </row>
    <row r="6715" ht="15.75" customHeight="1">
      <c r="A6715" s="2">
        <v>6718.0</v>
      </c>
      <c r="B6715" s="5" t="s">
        <v>12317</v>
      </c>
      <c r="C6715" s="6">
        <v>2.0</v>
      </c>
      <c r="D6715" s="7" t="s">
        <v>12318</v>
      </c>
      <c r="E6715" s="8" t="str">
        <f>IFERROR(__xludf.DUMMYFUNCTION("googletranslate(D6715,""id"",""en"")"),"Good morning, people who are waiting for the results of PPKM")</f>
        <v>Good morning, people who are waiting for the results of PPKM</v>
      </c>
    </row>
    <row r="6716" ht="15.75" customHeight="1">
      <c r="A6716" s="2">
        <v>6719.0</v>
      </c>
      <c r="B6716" s="5" t="s">
        <v>12319</v>
      </c>
      <c r="C6716" s="6">
        <v>2.0</v>
      </c>
      <c r="D6716" s="7" t="s">
        <v>12320</v>
      </c>
      <c r="E6716" s="8" t="str">
        <f>IFERROR(__xludf.DUMMYFUNCTION("googletranslate(D6716,""id"",""en"")"),"Oo jd target ppkm is vaccination anyway")</f>
        <v>Oo jd target ppkm is vaccination anyway</v>
      </c>
    </row>
    <row r="6717" ht="15.75" customHeight="1">
      <c r="A6717" s="2">
        <v>6720.0</v>
      </c>
      <c r="B6717" s="5" t="s">
        <v>12321</v>
      </c>
      <c r="C6717" s="6">
        <v>2.0</v>
      </c>
      <c r="D6717" s="7" t="s">
        <v>12322</v>
      </c>
      <c r="E6717" s="8" t="str">
        <f>IFERROR(__xludf.DUMMYFUNCTION("googletranslate(D6717,""id"",""en"")"),"PPKM is not extended")</f>
        <v>PPKM is not extended</v>
      </c>
    </row>
    <row r="6718" ht="15.75" customHeight="1">
      <c r="A6718" s="2">
        <v>6721.0</v>
      </c>
      <c r="B6718" s="5" t="s">
        <v>12323</v>
      </c>
      <c r="C6718" s="6">
        <v>1.0</v>
      </c>
      <c r="D6718" s="7" t="s">
        <v>12324</v>
      </c>
      <c r="E6718" s="8" t="str">
        <f>IFERROR(__xludf.DUMMYFUNCTION("googletranslate(D6718,""id"",""en"")"),"Disguise ppkm? Hahaha")</f>
        <v>Disguise ppkm? Hahaha</v>
      </c>
    </row>
    <row r="6719" ht="15.75" customHeight="1">
      <c r="A6719" s="2">
        <v>6722.0</v>
      </c>
      <c r="B6719" s="5" t="s">
        <v>12325</v>
      </c>
      <c r="C6719" s="6">
        <v>1.0</v>
      </c>
      <c r="D6719" s="10" t="s">
        <v>12326</v>
      </c>
      <c r="E6719" s="8" t="str">
        <f>IFERROR(__xludf.DUMMYFUNCTION("googletranslate(D6719,""id"",""en"")"),"Ga exclaim, PPKM")</f>
        <v>Ga exclaim, PPKM</v>
      </c>
    </row>
    <row r="6720" ht="15.75" customHeight="1">
      <c r="A6720" s="2">
        <v>6723.0</v>
      </c>
      <c r="B6720" s="5" t="s">
        <v>12327</v>
      </c>
      <c r="C6720" s="6">
        <v>2.0</v>
      </c>
      <c r="D6720" s="7" t="s">
        <v>12327</v>
      </c>
      <c r="E6720" s="8" t="str">
        <f>IFERROR(__xludf.DUMMYFUNCTION("googletranslate(D6720,""id"",""en"")"),"Ppkm ... what do you extend ???")</f>
        <v>Ppkm ... what do you extend ???</v>
      </c>
    </row>
    <row r="6721" ht="15.75" customHeight="1">
      <c r="A6721" s="2">
        <v>6724.0</v>
      </c>
      <c r="B6721" s="5" t="s">
        <v>12328</v>
      </c>
      <c r="C6721" s="6">
        <v>1.0</v>
      </c>
      <c r="D6721" s="7" t="s">
        <v>12329</v>
      </c>
      <c r="E6721" s="8" t="str">
        <f>IFERROR(__xludf.DUMMYFUNCTION("googletranslate(D6721,""id"",""en"")"),"Yes, gegara ppkm ya ka")</f>
        <v>Yes, gegara ppkm ya ka</v>
      </c>
    </row>
    <row r="6722" ht="15.75" customHeight="1">
      <c r="A6722" s="2">
        <v>6725.0</v>
      </c>
      <c r="B6722" s="5" t="s">
        <v>12330</v>
      </c>
      <c r="C6722" s="6">
        <v>2.0</v>
      </c>
      <c r="D6722" s="9" t="s">
        <v>12330</v>
      </c>
      <c r="E6722" s="8" t="str">
        <f>IFERROR(__xludf.DUMMYFUNCTION("googletranslate(D6722,""id"",""en"")"),"Approximately the PPKM is extended? w want to come out want to eat well")</f>
        <v>Approximately the PPKM is extended? w want to come out want to eat well</v>
      </c>
    </row>
    <row r="6723" ht="15.75" customHeight="1">
      <c r="A6723" s="2">
        <v>6726.0</v>
      </c>
      <c r="B6723" s="5" t="s">
        <v>12331</v>
      </c>
      <c r="C6723" s="6">
        <v>2.0</v>
      </c>
      <c r="D6723" s="7" t="s">
        <v>12331</v>
      </c>
      <c r="E6723" s="8" t="str">
        <f>IFERROR(__xludf.DUMMYFUNCTION("googletranslate(D6723,""id"",""en"")"),"PPKM is extended until next week .Sung aseli wkwk")</f>
        <v>PPKM is extended until next week .Sung aseli wkwk</v>
      </c>
    </row>
    <row r="6724" ht="15.75" customHeight="1">
      <c r="A6724" s="2">
        <v>6727.0</v>
      </c>
      <c r="B6724" s="5" t="s">
        <v>12332</v>
      </c>
      <c r="C6724" s="6">
        <v>2.0</v>
      </c>
      <c r="D6724" s="7" t="s">
        <v>12333</v>
      </c>
      <c r="E6724" s="8" t="str">
        <f>IFERROR(__xludf.DUMMYFUNCTION("googletranslate(D6724,""id"",""en"")"),"If the PPKM is extended, use a bikini.")</f>
        <v>If the PPKM is extended, use a bikini.</v>
      </c>
    </row>
    <row r="6725" ht="15.75" customHeight="1">
      <c r="A6725" s="2">
        <v>6728.0</v>
      </c>
      <c r="B6725" s="5" t="s">
        <v>12334</v>
      </c>
      <c r="C6725" s="6">
        <v>2.0</v>
      </c>
      <c r="D6725" s="7" t="s">
        <v>12335</v>
      </c>
      <c r="E6725" s="8" t="str">
        <f>IFERROR(__xludf.DUMMYFUNCTION("googletranslate(D6725,""id"",""en"")"),"Ndak may be emotional this morning, want a vaccine to. Ready for PPKM: Slowly we slowly stretch. Eat and sleep HBS vaccines today.")</f>
        <v>Ndak may be emotional this morning, want a vaccine to. Ready for PPKM: Slowly we slowly stretch. Eat and sleep HBS vaccines today.</v>
      </c>
    </row>
    <row r="6726" ht="15.75" customHeight="1">
      <c r="A6726" s="2">
        <v>6729.0</v>
      </c>
      <c r="B6726" s="5" t="s">
        <v>12336</v>
      </c>
      <c r="C6726" s="6">
        <v>2.0</v>
      </c>
      <c r="D6726" s="7" t="s">
        <v>12337</v>
      </c>
      <c r="E6726" s="8" t="str">
        <f>IFERROR(__xludf.DUMMYFUNCTION("googletranslate(D6726,""id"",""en"")"),"Not but PPKN eh PPKM level. Even though the PMP should (Moral Education of Pancasila)")</f>
        <v>Not but PPKN eh PPKM level. Even though the PMP should (Moral Education of Pancasila)</v>
      </c>
    </row>
    <row r="6727" ht="15.75" customHeight="1">
      <c r="A6727" s="2">
        <v>6730.0</v>
      </c>
      <c r="B6727" s="5" t="s">
        <v>12338</v>
      </c>
      <c r="C6727" s="6">
        <v>1.0</v>
      </c>
      <c r="D6727" s="9" t="s">
        <v>12339</v>
      </c>
      <c r="E6727" s="8" t="str">
        <f>IFERROR(__xludf.DUMMYFUNCTION("googletranslate(D6727,""id"",""en"")"),"We give solutions ... please continue the PPKM but the love of the people to eat a per day, not per kk, per month, not evenly distributed, lid border, evaluation of vaccination programs, you can walk out the country can install billboards, can wake up thi"&amp;"s, cook it or not Have money for people ashamed !!")</f>
        <v>We give solutions ... please continue the PPKM but the love of the people to eat a per day, not per kk, per month, not evenly distributed, lid border, evaluation of vaccination programs, you can walk out the country can install billboards, can wake up this, cook it or not Have money for people ashamed !!</v>
      </c>
    </row>
    <row r="6728" ht="15.75" customHeight="1">
      <c r="A6728" s="2">
        <v>6731.0</v>
      </c>
      <c r="B6728" s="5" t="s">
        <v>12340</v>
      </c>
      <c r="C6728" s="6">
        <v>1.0</v>
      </c>
      <c r="D6728" s="7" t="s">
        <v>12341</v>
      </c>
      <c r="E6728" s="8" t="str">
        <f>IFERROR(__xludf.DUMMYFUNCTION("googletranslate(D6728,""id"",""en"")"),"The rich activity has started normal. Already bored with label ppkm.cm economy just improved")</f>
        <v>The rich activity has started normal. Already bored with label ppkm.cm economy just improved</v>
      </c>
    </row>
    <row r="6729" ht="15.75" customHeight="1">
      <c r="A6729" s="2">
        <v>6732.0</v>
      </c>
      <c r="B6729" s="5" t="s">
        <v>12342</v>
      </c>
      <c r="C6729" s="6">
        <v>2.0</v>
      </c>
      <c r="D6729" s="7" t="s">
        <v>12343</v>
      </c>
      <c r="E6729" s="8" t="str">
        <f>IFERROR(__xludf.DUMMYFUNCTION("googletranslate(D6729,""id"",""en"")"),"Virtual, finished PPKM meet me. Ak is again ngidang.")</f>
        <v>Virtual, finished PPKM meet me. Ak is again ngidang.</v>
      </c>
    </row>
    <row r="6730" ht="15.75" customHeight="1">
      <c r="A6730" s="2">
        <v>6733.0</v>
      </c>
      <c r="B6730" s="5" t="s">
        <v>12344</v>
      </c>
      <c r="C6730" s="6">
        <v>2.0</v>
      </c>
      <c r="D6730" s="7" t="s">
        <v>12345</v>
      </c>
      <c r="E6730" s="8" t="str">
        <f>IFERROR(__xludf.DUMMYFUNCTION("googletranslate(D6730,""id"",""en"")"),"Hr, the usual Monday PPKM (early morning gets stuck) well the risk of staying in the city every day PPKM (go home getting stuck) PPKM Joecowe is news today ??")</f>
        <v>Hr, the usual Monday PPKM (early morning gets stuck) well the risk of staying in the city every day PPKM (go home getting stuck) PPKM Joecowe is news today ??</v>
      </c>
    </row>
    <row r="6731" ht="15.75" customHeight="1">
      <c r="A6731" s="2">
        <v>6734.0</v>
      </c>
      <c r="B6731" s="5" t="s">
        <v>12346</v>
      </c>
      <c r="C6731" s="6">
        <v>2.0</v>
      </c>
      <c r="D6731" s="7" t="s">
        <v>12347</v>
      </c>
      <c r="E6731" s="8" t="str">
        <f>IFERROR(__xludf.DUMMYFUNCTION("googletranslate(D6731,""id"",""en"")"),"In the morning ... Elfriend the last day of the PPKM (Gataau extended or not) how did you do? Stay strong, or a little worried especially if you look at WA. Well talking about wa, you turn on the check mark of two blue (message read) or not? Share d here "&amp;"and amp; Firda")</f>
        <v>In the morning ... Elfriend the last day of the PPKM (Gataau extended or not) how did you do? Stay strong, or a little worried especially if you look at WA. Well talking about wa, you turn on the check mark of two blue (message read) or not? Share d here and amp; Firda</v>
      </c>
    </row>
    <row r="6732" ht="15.75" customHeight="1">
      <c r="A6732" s="2">
        <v>6735.0</v>
      </c>
      <c r="B6732" s="5" t="s">
        <v>12348</v>
      </c>
      <c r="C6732" s="6">
        <v>2.0</v>
      </c>
      <c r="D6732" s="7" t="s">
        <v>12349</v>
      </c>
      <c r="E6732" s="8" t="str">
        <f>IFERROR(__xludf.DUMMYFUNCTION("googletranslate(D6732,""id"",""en"")"),"I want PPKM finished but Gamau to the office")</f>
        <v>I want PPKM finished but Gamau to the office</v>
      </c>
    </row>
    <row r="6733" ht="15.75" customHeight="1">
      <c r="A6733" s="2">
        <v>6736.0</v>
      </c>
      <c r="B6733" s="5" t="s">
        <v>12350</v>
      </c>
      <c r="C6733" s="6">
        <v>2.0</v>
      </c>
      <c r="D6733" s="9" t="s">
        <v>12351</v>
      </c>
      <c r="E6733" s="8" t="str">
        <f>IFERROR(__xludf.DUMMYFUNCTION("googletranslate(D6733,""id"",""en"")"),"It doesn't change you ye wkwkwkkw yukkk kl dah ppkm finished")</f>
        <v>It doesn't change you ye wkwkwkkw yukkk kl dah ppkm finished</v>
      </c>
    </row>
    <row r="6734" ht="15.75" customHeight="1">
      <c r="A6734" s="2">
        <v>6737.0</v>
      </c>
      <c r="B6734" s="5" t="s">
        <v>12352</v>
      </c>
      <c r="C6734" s="6">
        <v>1.0</v>
      </c>
      <c r="D6734" s="9" t="s">
        <v>12353</v>
      </c>
      <c r="E6734" s="8" t="str">
        <f>IFERROR(__xludf.DUMMYFUNCTION("googletranslate(D6734,""id"",""en"")"),"Woi sir, please check it. Laoli said, WNA was prohibited from entering during PPKM. Why still enter? Do you want to protect the people?")</f>
        <v>Woi sir, please check it. Laoli said, WNA was prohibited from entering during PPKM. Why still enter? Do you want to protect the people?</v>
      </c>
    </row>
    <row r="6735" ht="15.75" customHeight="1">
      <c r="A6735" s="2">
        <v>6738.0</v>
      </c>
      <c r="B6735" s="5" t="s">
        <v>12354</v>
      </c>
      <c r="C6735" s="6">
        <v>1.0</v>
      </c>
      <c r="D6735" s="9" t="s">
        <v>12355</v>
      </c>
      <c r="E6735" s="8" t="str">
        <f>IFERROR(__xludf.DUMMYFUNCTION("googletranslate(D6735,""id"",""en"")"),"if it's right before the PPKM which is open just the food is the same as the Guardian")</f>
        <v>if it's right before the PPKM which is open just the food is the same as the Guardian</v>
      </c>
    </row>
    <row r="6736" ht="15.75" customHeight="1">
      <c r="A6736" s="2">
        <v>6739.0</v>
      </c>
      <c r="B6736" s="5" t="s">
        <v>12356</v>
      </c>
      <c r="C6736" s="6">
        <v>2.0</v>
      </c>
      <c r="D6736" s="7" t="s">
        <v>12356</v>
      </c>
      <c r="E6736" s="8" t="str">
        <f>IFERROR(__xludf.DUMMYFUNCTION("googletranslate(D6736,""id"",""en"")"),"Bismillah PPKM last day.")</f>
        <v>Bismillah PPKM last day.</v>
      </c>
    </row>
    <row r="6737" ht="15.75" customHeight="1">
      <c r="A6737" s="2">
        <v>6740.0</v>
      </c>
      <c r="B6737" s="5" t="s">
        <v>12357</v>
      </c>
      <c r="C6737" s="6">
        <v>1.0</v>
      </c>
      <c r="D6737" s="9" t="s">
        <v>12358</v>
      </c>
      <c r="E6737" s="8" t="str">
        <f>IFERROR(__xludf.DUMMYFUNCTION("googletranslate(D6737,""id"",""en"")"),"I hope PPKM may be able to loose levels so that the FKUB proker teaches offline roads on August. Uh but how come it's like Pupusmeski the level of KBM yo is now online")</f>
        <v>I hope PPKM may be able to loose levels so that the FKUB proker teaches offline roads on August. Uh but how come it's like Pupusmeski the level of KBM yo is now online</v>
      </c>
    </row>
    <row r="6738" ht="15.75" customHeight="1">
      <c r="A6738" s="2">
        <v>6741.0</v>
      </c>
      <c r="B6738" s="5" t="s">
        <v>12359</v>
      </c>
      <c r="C6738" s="6">
        <v>1.0</v>
      </c>
      <c r="D6738" s="7" t="s">
        <v>12360</v>
      </c>
      <c r="E6738" s="8" t="str">
        <f>IFERROR(__xludf.DUMMYFUNCTION("googletranslate(D6738,""id"",""en"")"),"This is noh stressed because of the ppkm")</f>
        <v>This is noh stressed because of the ppkm</v>
      </c>
    </row>
    <row r="6739" ht="15.75" customHeight="1">
      <c r="A6739" s="2">
        <v>6742.0</v>
      </c>
      <c r="B6739" s="5" t="s">
        <v>12361</v>
      </c>
      <c r="C6739" s="6">
        <v>1.0</v>
      </c>
      <c r="D6739" s="9" t="s">
        <v>12362</v>
      </c>
      <c r="E6739" s="8" t="str">
        <f>IFERROR(__xludf.DUMMYFUNCTION("googletranslate(D6739,""id"",""en"")"),"I want to meet friends, you can not use it, bro")</f>
        <v>I want to meet friends, you can not use it, bro</v>
      </c>
    </row>
    <row r="6740" ht="15.75" customHeight="1">
      <c r="A6740" s="2">
        <v>6743.0</v>
      </c>
      <c r="B6740" s="5" t="s">
        <v>12363</v>
      </c>
      <c r="C6740" s="6">
        <v>1.0</v>
      </c>
      <c r="D6740" s="9" t="s">
        <v>12364</v>
      </c>
      <c r="E6740" s="8" t="str">
        <f>IFERROR(__xludf.DUMMYFUNCTION("googletranslate(D6740,""id"",""en"")"),"Even the EPKM problem is not effective. Meme, change. E Gajelas Policy, Gaonok Solution, Mek Intelled, Tied, Forced, Evicted, Dibubarno, But Gaonok Sing Solution Right. Wong Yowes began to get sebel, snailed.")</f>
        <v>Even the EPKM problem is not effective. Meme, change. E Gajelas Policy, Gaonok Solution, Mek Intelled, Tied, Forced, Evicted, Dibubarno, But Gaonok Sing Solution Right. Wong Yowes began to get sebel, snailed.</v>
      </c>
    </row>
    <row r="6741" ht="15.75" customHeight="1">
      <c r="A6741" s="2">
        <v>6744.0</v>
      </c>
      <c r="B6741" s="5" t="s">
        <v>12365</v>
      </c>
      <c r="C6741" s="6">
        <v>2.0</v>
      </c>
      <c r="D6741" s="7" t="s">
        <v>12366</v>
      </c>
      <c r="E6741" s="8" t="str">
        <f>IFERROR(__xludf.DUMMYFUNCTION("googletranslate(D6741,""id"",""en"")"),"Waiting for the extension of the PPKM and the revision of the rules who knows there is something interesting like eating in a minute, hehe")</f>
        <v>Waiting for the extension of the PPKM and the revision of the rules who knows there is something interesting like eating in a minute, hehe</v>
      </c>
    </row>
    <row r="6742" ht="15.75" customHeight="1">
      <c r="A6742" s="2">
        <v>6745.0</v>
      </c>
      <c r="B6742" s="5" t="s">
        <v>12367</v>
      </c>
      <c r="C6742" s="6">
        <v>1.0</v>
      </c>
      <c r="D6742" s="9" t="s">
        <v>12368</v>
      </c>
      <c r="E6742" s="8" t="str">
        <f>IFERROR(__xludf.DUMMYFUNCTION("googletranslate(D6742,""id"",""en"")"),"GOBLOK.Rakyat is limited in such a way that with PPKM etc., the smntra of China is given a red carpet, PDHL PPKM said, he said. 62 Dlu is not just this friend ...")</f>
        <v>GOBLOK.Rakyat is limited in such a way that with PPKM etc., the smntra of China is given a red carpet, PDHL PPKM said, he said. 62 Dlu is not just this friend ...</v>
      </c>
    </row>
    <row r="6743" ht="15.75" customHeight="1">
      <c r="A6743" s="2">
        <v>6746.0</v>
      </c>
      <c r="B6743" s="5" t="s">
        <v>12369</v>
      </c>
      <c r="C6743" s="6">
        <v>2.0</v>
      </c>
      <c r="D6743" s="7" t="s">
        <v>12370</v>
      </c>
      <c r="E6743" s="8" t="str">
        <f>IFERROR(__xludf.DUMMYFUNCTION("googletranslate(D6743,""id"",""en"")"),"PPKM Level Bang.")</f>
        <v>PPKM Level Bang.</v>
      </c>
    </row>
    <row r="6744" ht="15.75" customHeight="1">
      <c r="A6744" s="2">
        <v>6747.0</v>
      </c>
      <c r="B6744" s="5" t="s">
        <v>12371</v>
      </c>
      <c r="C6744" s="6">
        <v>2.0</v>
      </c>
      <c r="D6744" s="7" t="s">
        <v>12371</v>
      </c>
      <c r="E6744" s="8" t="str">
        <f>IFERROR(__xludf.DUMMYFUNCTION("googletranslate(D6744,""id"",""en"")"),"ppkm will be extended anymore")</f>
        <v>ppkm will be extended anymore</v>
      </c>
    </row>
    <row r="6745" ht="15.75" customHeight="1">
      <c r="A6745" s="2">
        <v>6748.0</v>
      </c>
      <c r="B6745" s="5" t="s">
        <v>12372</v>
      </c>
      <c r="C6745" s="6">
        <v>2.0</v>
      </c>
      <c r="D6745" s="9" t="s">
        <v>12373</v>
      </c>
      <c r="E6745" s="8" t="str">
        <f>IFERROR(__xludf.DUMMYFUNCTION("googletranslate(D6745,""id"",""en"")"),"This PPKM wants to extend if you want to be extended until when")</f>
        <v>This PPKM wants to extend if you want to be extended until when</v>
      </c>
    </row>
    <row r="6746" ht="15.75" customHeight="1">
      <c r="A6746" s="2">
        <v>6749.0</v>
      </c>
      <c r="B6746" s="5" t="s">
        <v>12374</v>
      </c>
      <c r="C6746" s="6">
        <v>2.0</v>
      </c>
      <c r="D6746" s="7" t="s">
        <v>12374</v>
      </c>
      <c r="E6746" s="8" t="str">
        <f>IFERROR(__xludf.DUMMYFUNCTION("googletranslate(D6746,""id"",""en"")"),"Want to use the term ppkm especially for tomorrow wkwkwk")</f>
        <v>Want to use the term ppkm especially for tomorrow wkwkwk</v>
      </c>
    </row>
    <row r="6747" ht="15.75" customHeight="1">
      <c r="A6747" s="2">
        <v>6750.0</v>
      </c>
      <c r="B6747" s="5" t="s">
        <v>12375</v>
      </c>
      <c r="C6747" s="6">
        <v>2.0</v>
      </c>
      <c r="D6747" s="7" t="s">
        <v>12375</v>
      </c>
      <c r="E6747" s="8" t="str">
        <f>IFERROR(__xludf.DUMMYFUNCTION("googletranslate(D6747,""id"",""en"")"),"Ppkm extends not")</f>
        <v>Ppkm extends not</v>
      </c>
    </row>
    <row r="6748" ht="15.75" customHeight="1">
      <c r="A6748" s="2">
        <v>6751.0</v>
      </c>
      <c r="B6748" s="5" t="s">
        <v>12376</v>
      </c>
      <c r="C6748" s="6">
        <v>1.0</v>
      </c>
      <c r="D6748" s="9" t="s">
        <v>12377</v>
      </c>
      <c r="E6748" s="8" t="str">
        <f>IFERROR(__xludf.DUMMYFUNCTION("googletranslate(D6748,""id"",""en"")"),"Even though the date / 7 says if 'TKA was prohibited from entering during the PPKM'.lah, last Saturday on Saturday / 8 still PPKM. How come Chinese can enter? The reason is already permitted, it's already checked, it's already a protections of Blablatiklu"&amp;"bla. It can't be really trusted by this regime.")</f>
        <v>Even though the date / 7 says if 'TKA was prohibited from entering during the PPKM'.lah, last Saturday on Saturday / 8 still PPKM. How come Chinese can enter? The reason is already permitted, it's already checked, it's already a protections of Blablatiklubla. It can't be really trusted by this regime.</v>
      </c>
    </row>
    <row r="6749" ht="15.75" customHeight="1">
      <c r="A6749" s="2">
        <v>6752.0</v>
      </c>
      <c r="B6749" s="5" t="s">
        <v>12378</v>
      </c>
      <c r="C6749" s="6">
        <v>2.0</v>
      </c>
      <c r="D6749" s="9" t="s">
        <v>12379</v>
      </c>
      <c r="E6749" s="8" t="str">
        <f>IFERROR(__xludf.DUMMYFUNCTION("googletranslate(D6749,""id"",""en"")"),"please pack the ppkm jngn extending continues later yak")</f>
        <v>please pack the ppkm jngn extending continues later yak</v>
      </c>
    </row>
    <row r="6750" ht="15.75" customHeight="1">
      <c r="A6750" s="2">
        <v>6753.0</v>
      </c>
      <c r="B6750" s="5" t="s">
        <v>12380</v>
      </c>
      <c r="C6750" s="6">
        <v>2.0</v>
      </c>
      <c r="D6750" s="7" t="s">
        <v>12381</v>
      </c>
      <c r="E6750" s="8" t="str">
        <f>IFERROR(__xludf.DUMMYFUNCTION("googletranslate(D6750,""id"",""en"")"),"The fate of the PPKM should be according to netizen ...? Which Vote has helped RT")</f>
        <v>The fate of the PPKM should be according to netizen ...? Which Vote has helped RT</v>
      </c>
    </row>
    <row r="6751" ht="15.75" customHeight="1">
      <c r="A6751" s="2">
        <v>6754.0</v>
      </c>
      <c r="B6751" s="5" t="s">
        <v>12382</v>
      </c>
      <c r="C6751" s="6">
        <v>2.0</v>
      </c>
      <c r="D6751" s="7" t="s">
        <v>12382</v>
      </c>
      <c r="E6751" s="8" t="str">
        <f>IFERROR(__xludf.DUMMYFUNCTION("googletranslate(D6751,""id"",""en"")"),"We see today's last or renewed PPKM.")</f>
        <v>We see today's last or renewed PPKM.</v>
      </c>
    </row>
    <row r="6752" ht="15.75" customHeight="1">
      <c r="A6752" s="2">
        <v>6755.0</v>
      </c>
      <c r="B6752" s="5" t="s">
        <v>12383</v>
      </c>
      <c r="C6752" s="6">
        <v>2.0</v>
      </c>
      <c r="D6752" s="7" t="s">
        <v>12383</v>
      </c>
      <c r="E6752" s="8" t="str">
        <f>IFERROR(__xludf.DUMMYFUNCTION("googletranslate(D6752,""id"",""en"")"),"Does PPKM end?")</f>
        <v>Does PPKM end?</v>
      </c>
    </row>
    <row r="6753" ht="15.75" customHeight="1">
      <c r="A6753" s="2">
        <v>6756.0</v>
      </c>
      <c r="B6753" s="5" t="s">
        <v>12384</v>
      </c>
      <c r="C6753" s="6">
        <v>1.0</v>
      </c>
      <c r="D6753" s="7" t="s">
        <v>12385</v>
      </c>
      <c r="E6753" s="8" t="str">
        <f>IFERROR(__xludf.DUMMYFUNCTION("googletranslate(D6753,""id"",""en"")"),"JOG PROBOLINGGO FOR TETEP RAME, Mask Rarely SIK Nganggo, PPKM RA Affected, Sangar Tenan Regency E")</f>
        <v>JOG PROBOLINGGO FOR TETEP RAME, Mask Rarely SIK Nganggo, PPKM RA Affected, Sangar Tenan Regency E</v>
      </c>
    </row>
    <row r="6754" ht="15.75" customHeight="1">
      <c r="A6754" s="2">
        <v>6757.0</v>
      </c>
      <c r="B6754" s="5" t="s">
        <v>12386</v>
      </c>
      <c r="C6754" s="6">
        <v>1.0</v>
      </c>
      <c r="D6754" s="7" t="s">
        <v>12387</v>
      </c>
      <c r="E6754" s="8" t="str">
        <f>IFERROR(__xludf.DUMMYFUNCTION("googletranslate(D6754,""id"",""en"")"),"Lockdown is pseudo, there are very spicy ppkm level ppkm to bolsters there is no end bang ..")</f>
        <v>Lockdown is pseudo, there are very spicy ppkm level ppkm to bolsters there is no end bang ..</v>
      </c>
    </row>
    <row r="6755" ht="15.75" customHeight="1">
      <c r="A6755" s="2">
        <v>6758.0</v>
      </c>
      <c r="B6755" s="5" t="s">
        <v>12388</v>
      </c>
      <c r="C6755" s="6">
        <v>2.0</v>
      </c>
      <c r="D6755" s="7" t="s">
        <v>12389</v>
      </c>
      <c r="E6755" s="8" t="str">
        <f>IFERROR(__xludf.DUMMYFUNCTION("googletranslate(D6755,""id"",""en"")"),"Where is the correlation of the PPKM level still running.")</f>
        <v>Where is the correlation of the PPKM level still running.</v>
      </c>
    </row>
    <row r="6756" ht="15.75" customHeight="1">
      <c r="A6756" s="2">
        <v>6759.0</v>
      </c>
      <c r="B6756" s="5" t="s">
        <v>12390</v>
      </c>
      <c r="C6756" s="6">
        <v>1.0</v>
      </c>
      <c r="D6756" s="7" t="s">
        <v>12391</v>
      </c>
      <c r="E6756" s="8" t="str">
        <f>IFERROR(__xludf.DUMMYFUNCTION("googletranslate(D6756,""id"",""en"")"),"Ppkm can't meet")</f>
        <v>Ppkm can't meet</v>
      </c>
    </row>
    <row r="6757" ht="15.75" customHeight="1">
      <c r="A6757" s="2">
        <v>6760.0</v>
      </c>
      <c r="B6757" s="5" t="s">
        <v>12392</v>
      </c>
      <c r="C6757" s="6">
        <v>1.0</v>
      </c>
      <c r="D6757" s="9" t="s">
        <v>12393</v>
      </c>
      <c r="E6757" s="8" t="str">
        <f>IFERROR(__xludf.DUMMYFUNCTION("googletranslate(D6757,""id"",""en"")"),"Today the last ppkm he said, just watch it if it extended again")</f>
        <v>Today the last ppkm he said, just watch it if it extended again</v>
      </c>
    </row>
    <row r="6758" ht="15.75" customHeight="1">
      <c r="A6758" s="2">
        <v>6761.0</v>
      </c>
      <c r="B6758" s="5" t="s">
        <v>12394</v>
      </c>
      <c r="C6758" s="6">
        <v>1.0</v>
      </c>
      <c r="D6758" s="9" t="s">
        <v>12395</v>
      </c>
      <c r="E6758" s="8" t="str">
        <f>IFERROR(__xludf.DUMMYFUNCTION("googletranslate(D6758,""id"",""en"")"),"Want to Jogja Murky Mulu GRGM Mulu. Just look at malem also extended again")</f>
        <v>Want to Jogja Murky Mulu GRGM Mulu. Just look at malem also extended again</v>
      </c>
    </row>
    <row r="6759" ht="15.75" customHeight="1">
      <c r="A6759" s="2">
        <v>6762.0</v>
      </c>
      <c r="B6759" s="5" t="s">
        <v>12396</v>
      </c>
      <c r="C6759" s="6">
        <v>3.0</v>
      </c>
      <c r="D6759" s="9" t="s">
        <v>12397</v>
      </c>
      <c r="E6759" s="8" t="str">
        <f>IFERROR(__xludf.DUMMYFUNCTION("googletranslate(D6759,""id"",""en"")"),"Before the PPKM touched the numbers until the percent, now it goes down to percent!")</f>
        <v>Before the PPKM touched the numbers until the percent, now it goes down to percent!</v>
      </c>
    </row>
    <row r="6760" ht="15.75" customHeight="1">
      <c r="A6760" s="2">
        <v>6763.0</v>
      </c>
      <c r="B6760" s="5" t="s">
        <v>12398</v>
      </c>
      <c r="C6760" s="6">
        <v>1.0</v>
      </c>
      <c r="D6760" s="7" t="s">
        <v>12399</v>
      </c>
      <c r="E6760" s="8" t="str">
        <f>IFERROR(__xludf.DUMMYFUNCTION("googletranslate(D6760,""id"",""en"")"),"Since the PPKM decreased dramatically Mbak Yu ... I count the people .tp is not a team of me who buried")</f>
        <v>Since the PPKM decreased dramatically Mbak Yu ... I count the people .tp is not a team of me who buried</v>
      </c>
    </row>
    <row r="6761" ht="15.75" customHeight="1">
      <c r="A6761" s="2">
        <v>6764.0</v>
      </c>
      <c r="B6761" s="5" t="s">
        <v>12400</v>
      </c>
      <c r="C6761" s="6">
        <v>2.0</v>
      </c>
      <c r="D6761" s="7" t="s">
        <v>12400</v>
      </c>
      <c r="E6761" s="8" t="str">
        <f>IFERROR(__xludf.DUMMYFUNCTION("googletranslate(D6761,""id"",""en"")"),"hopefully the ppkm is not extended again")</f>
        <v>hopefully the ppkm is not extended again</v>
      </c>
    </row>
    <row r="6762" ht="15.75" customHeight="1">
      <c r="A6762" s="2">
        <v>6765.0</v>
      </c>
      <c r="B6762" s="5" t="s">
        <v>12401</v>
      </c>
      <c r="C6762" s="6">
        <v>2.0</v>
      </c>
      <c r="D6762" s="7" t="s">
        <v>12402</v>
      </c>
      <c r="E6762" s="8" t="str">
        <f>IFERROR(__xludf.DUMMYFUNCTION("googletranslate(D6762,""id"",""en"")"),"But it doesn't even affect me, I want a ppkm, as long as there is a copid I'm just at home")</f>
        <v>But it doesn't even affect me, I want a ppkm, as long as there is a copid I'm just at home</v>
      </c>
    </row>
    <row r="6763" ht="15.75" customHeight="1">
      <c r="A6763" s="2">
        <v>6766.0</v>
      </c>
      <c r="B6763" s="5" t="s">
        <v>12403</v>
      </c>
      <c r="C6763" s="6">
        <v>1.0</v>
      </c>
      <c r="D6763" s="7" t="s">
        <v>12404</v>
      </c>
      <c r="E6763" s="8" t="str">
        <f>IFERROR(__xludf.DUMMYFUNCTION("googletranslate(D6763,""id"",""en"")"),"mostly make this team, mutually change the type of PPKM name but the results are still zonk")</f>
        <v>mostly make this team, mutually change the type of PPKM name but the results are still zonk</v>
      </c>
    </row>
    <row r="6764" ht="15.75" customHeight="1">
      <c r="A6764" s="2">
        <v>6767.0</v>
      </c>
      <c r="B6764" s="5" t="s">
        <v>12405</v>
      </c>
      <c r="C6764" s="6">
        <v>2.0</v>
      </c>
      <c r="D6764" s="9" t="s">
        <v>12406</v>
      </c>
      <c r="E6764" s="8" t="str">
        <f>IFERROR(__xludf.DUMMYFUNCTION("googletranslate(D6764,""id"",""en"")"),"Msh ppkm ka, mkn porridge minutes not ckup it can blister if the mkn hot hot porridge")</f>
        <v>Msh ppkm ka, mkn porridge minutes not ckup it can blister if the mkn hot hot porridge</v>
      </c>
    </row>
    <row r="6765" ht="15.75" customHeight="1">
      <c r="A6765" s="2">
        <v>6768.0</v>
      </c>
      <c r="B6765" s="5" t="s">
        <v>12407</v>
      </c>
      <c r="C6765" s="6">
        <v>2.0</v>
      </c>
      <c r="D6765" s="9" t="s">
        <v>12407</v>
      </c>
      <c r="E6765" s="8" t="str">
        <f>IFERROR(__xludf.DUMMYFUNCTION("googletranslate(D6765,""id"",""en"")"),"This is the last ppkm huh? (If so it's hell)")</f>
        <v>This is the last ppkm huh? (If so it's hell)</v>
      </c>
    </row>
    <row r="6766" ht="15.75" customHeight="1">
      <c r="A6766" s="2">
        <v>6769.0</v>
      </c>
      <c r="B6766" s="5" t="s">
        <v>12408</v>
      </c>
      <c r="C6766" s="6">
        <v>1.0</v>
      </c>
      <c r="D6766" s="9" t="s">
        <v>12408</v>
      </c>
      <c r="E6766" s="8" t="str">
        <f>IFERROR(__xludf.DUMMYFUNCTION("googletranslate(D6766,""id"",""en"")"),"After that he left. And from afar there is a homeless already old tp bule, like the grandmother. He looked plasticized and the same outlet guard was immediately given all the foods that had the little kid. It's really strange, my dream already goes intern"&amp;"ational because of the case of PPKM.")</f>
        <v>After that he left. And from afar there is a homeless already old tp bule, like the grandmother. He looked plasticized and the same outlet guard was immediately given all the foods that had the little kid. It's really strange, my dream already goes international because of the case of PPKM.</v>
      </c>
    </row>
    <row r="6767" ht="15.75" customHeight="1">
      <c r="A6767" s="2">
        <v>6770.0</v>
      </c>
      <c r="B6767" s="5" t="s">
        <v>12409</v>
      </c>
      <c r="C6767" s="6">
        <v>2.0</v>
      </c>
      <c r="D6767" s="7" t="s">
        <v>12409</v>
      </c>
      <c r="E6767" s="8" t="str">
        <f>IFERROR(__xludf.DUMMYFUNCTION("googletranslate(D6767,""id"",""en"")"),"Wait a minute will definitely be trending PPKM extended, hmm dah memorized.")</f>
        <v>Wait a minute will definitely be trending PPKM extended, hmm dah memorized.</v>
      </c>
    </row>
    <row r="6768" ht="15.75" customHeight="1">
      <c r="A6768" s="2">
        <v>6771.0</v>
      </c>
      <c r="B6768" s="5" t="s">
        <v>12410</v>
      </c>
      <c r="C6768" s="6">
        <v>1.0</v>
      </c>
      <c r="D6768" s="9" t="s">
        <v>12411</v>
      </c>
      <c r="E6768" s="8" t="str">
        <f>IFERROR(__xludf.DUMMYFUNCTION("googletranslate(D6768,""id"",""en"")"),"Dr. yesterday GT Mulu, when you arrived? Cook the pay, but the quality changes more ugly? Please Poo, again PPKM too, so all onlen all. It's really good.")</f>
        <v>Dr. yesterday GT Mulu, when you arrived? Cook the pay, but the quality changes more ugly? Please Poo, again PPKM too, so all onlen all. It's really good.</v>
      </c>
    </row>
    <row r="6769" ht="15.75" customHeight="1">
      <c r="A6769" s="2">
        <v>6772.0</v>
      </c>
      <c r="B6769" s="5" t="s">
        <v>12412</v>
      </c>
      <c r="C6769" s="6">
        <v>2.0</v>
      </c>
      <c r="D6769" s="7" t="s">
        <v>12413</v>
      </c>
      <c r="E6769" s="8" t="str">
        <f>IFERROR(__xludf.DUMMYFUNCTION("googletranslate(D6769,""id"",""en"")"),"The kekofoskan .... then above the date ... maybe looking for the reasons for further ppkm ..")</f>
        <v>The kekofoskan .... then above the date ... maybe looking for the reasons for further ppkm ..</v>
      </c>
    </row>
    <row r="6770" ht="15.75" customHeight="1">
      <c r="A6770" s="2">
        <v>6773.0</v>
      </c>
      <c r="B6770" s="5" t="s">
        <v>12414</v>
      </c>
      <c r="C6770" s="6">
        <v>1.0</v>
      </c>
      <c r="D6770" s="9" t="s">
        <v>12415</v>
      </c>
      <c r="E6770" s="8" t="str">
        <f>IFERROR(__xludf.DUMMYFUNCTION("googletranslate(D6770,""id"",""en"")"),"tmn2 I want to eat at home slh one friend just ppkm mn anyone wants a vaccine and lgsg there is god damnnnn how could the ppl be that stupid?!?!???")</f>
        <v>tmn2 I want to eat at home slh one friend just ppkm mn anyone wants a vaccine and lgsg there is god damnnnn how could the ppl be that stupid?!?!???</v>
      </c>
    </row>
    <row r="6771" ht="15.75" customHeight="1">
      <c r="A6771" s="2">
        <v>6774.0</v>
      </c>
      <c r="B6771" s="5" t="s">
        <v>12416</v>
      </c>
      <c r="C6771" s="6">
        <v>2.0</v>
      </c>
      <c r="D6771" s="7" t="s">
        <v>12417</v>
      </c>
      <c r="E6771" s="8" t="str">
        <f>IFERROR(__xludf.DUMMYFUNCTION("googletranslate(D6771,""id"",""en"")"),"/ Kle, hopefully today there is no extended PPKM announcement")</f>
        <v>/ Kle, hopefully today there is no extended PPKM announcement</v>
      </c>
    </row>
    <row r="6772" ht="15.75" customHeight="1">
      <c r="A6772" s="2">
        <v>6775.0</v>
      </c>
      <c r="B6772" s="5" t="s">
        <v>12418</v>
      </c>
      <c r="C6772" s="6">
        <v>1.0</v>
      </c>
      <c r="D6772" s="9" t="s">
        <v>12419</v>
      </c>
      <c r="E6772" s="8" t="str">
        <f>IFERROR(__xludf.DUMMYFUNCTION("googletranslate(D6772,""id"",""en"")"),"How come it's selfish, it's good forced to be married to being recepted on the lg covid gini, even msh ppkm too. Be proud to be uploaded the photo of the photo that is a guest number, it doesn't use a mask. It's rich in org of people I know, the nikahan i"&amp;"s a big person in the sake of prestige that it will be covid. Fortunately I'm not coming.")</f>
        <v>How come it's selfish, it's good forced to be married to being recepted on the lg covid gini, even msh ppkm too. Be proud to be uploaded the photo of the photo that is a guest number, it doesn't use a mask. It's rich in org of people I know, the nikahan is a big person in the sake of prestige that it will be covid. Fortunately I'm not coming.</v>
      </c>
    </row>
    <row r="6773" ht="15.75" customHeight="1">
      <c r="A6773" s="2">
        <v>6776.0</v>
      </c>
      <c r="B6773" s="5" t="s">
        <v>12420</v>
      </c>
      <c r="C6773" s="6">
        <v>2.0</v>
      </c>
      <c r="D6773" s="7" t="s">
        <v>12421</v>
      </c>
      <c r="E6773" s="8" t="str">
        <f>IFERROR(__xludf.DUMMYFUNCTION("googletranslate(D6773,""id"",""en"")"),"Dear Warganet According to the PPKM Warganet Level Will Be Extended What Is Not? Please Vote and Retweet")</f>
        <v>Dear Warganet According to the PPKM Warganet Level Will Be Extended What Is Not? Please Vote and Retweet</v>
      </c>
    </row>
    <row r="6774" ht="15.75" customHeight="1">
      <c r="A6774" s="2">
        <v>6777.0</v>
      </c>
      <c r="B6774" s="5" t="s">
        <v>12422</v>
      </c>
      <c r="C6774" s="6">
        <v>2.0</v>
      </c>
      <c r="D6774" s="7" t="s">
        <v>12423</v>
      </c>
      <c r="E6774" s="8" t="str">
        <f>IFERROR(__xludf.DUMMYFUNCTION("googletranslate(D6774,""id"",""en"")"),"Wkwkwkwk is PPKM or girl? What is extended")</f>
        <v>Wkwkwkwk is PPKM or girl? What is extended</v>
      </c>
    </row>
    <row r="6775" ht="15.75" customHeight="1">
      <c r="A6775" s="2">
        <v>6778.0</v>
      </c>
      <c r="B6775" s="5" t="s">
        <v>12424</v>
      </c>
      <c r="C6775" s="6">
        <v>2.0</v>
      </c>
      <c r="D6775" s="7" t="s">
        <v>12424</v>
      </c>
      <c r="E6775" s="8" t="str">
        <f>IFERROR(__xludf.DUMMYFUNCTION("googletranslate(D6775,""id"",""en"")"),"yes, ppkm, it's hard to extend it again")</f>
        <v>yes, ppkm, it's hard to extend it again</v>
      </c>
    </row>
    <row r="6776" ht="15.75" customHeight="1">
      <c r="A6776" s="2">
        <v>6779.0</v>
      </c>
      <c r="B6776" s="5" t="s">
        <v>12425</v>
      </c>
      <c r="C6776" s="6">
        <v>2.0</v>
      </c>
      <c r="D6776" s="9" t="s">
        <v>12426</v>
      </c>
      <c r="E6776" s="8" t="str">
        <f>IFERROR(__xludf.DUMMYFUNCTION("googletranslate(D6776,""id"",""en"")"),"yes, hopefully the ppkm is not extended again, I want to go back")</f>
        <v>yes, hopefully the ppkm is not extended again, I want to go back</v>
      </c>
    </row>
    <row r="6777" ht="15.75" customHeight="1">
      <c r="A6777" s="2">
        <v>6780.0</v>
      </c>
      <c r="B6777" s="5" t="s">
        <v>12427</v>
      </c>
      <c r="C6777" s="6">
        <v>1.0</v>
      </c>
      <c r="D6777" s="9" t="s">
        <v>12428</v>
      </c>
      <c r="E6777" s="8" t="str">
        <f>IFERROR(__xludf.DUMMYFUNCTION("googletranslate(D6777,""id"",""en"")"),"This is the last day of the PPKM right? Please, what the last one is, I've already held it from the beginning of the PPKM, it's not a guardian, playing it, or just hanging out "", every day the house works work where the workplace continues,. Want to work"&amp;", want to buy clothes, want this.")</f>
        <v>This is the last day of the PPKM right? Please, what the last one is, I've already held it from the beginning of the PPKM, it's not a guardian, playing it, or just hanging out ", every day the house works work where the workplace continues,. Want to work, want to buy clothes, want this.</v>
      </c>
    </row>
    <row r="6778" ht="15.75" customHeight="1">
      <c r="A6778" s="2">
        <v>6781.0</v>
      </c>
      <c r="B6778" s="5" t="s">
        <v>12429</v>
      </c>
      <c r="C6778" s="6">
        <v>1.0</v>
      </c>
      <c r="D6778" s="9" t="s">
        <v>12430</v>
      </c>
      <c r="E6778" s="8" t="str">
        <f>IFERROR(__xludf.DUMMYFUNCTION("googletranslate(D6778,""id"",""en"")"),"As a result of Manjang Manjangin PPKM, the body cannot be buried, because it always extends his body.")</f>
        <v>As a result of Manjang Manjangin PPKM, the body cannot be buried, because it always extends his body.</v>
      </c>
    </row>
    <row r="6779" ht="15.75" customHeight="1">
      <c r="A6779" s="2">
        <v>6782.0</v>
      </c>
      <c r="B6779" s="5" t="s">
        <v>12431</v>
      </c>
      <c r="C6779" s="6">
        <v>1.0</v>
      </c>
      <c r="D6779" s="7" t="s">
        <v>12432</v>
      </c>
      <c r="E6779" s="8" t="str">
        <f>IFERROR(__xludf.DUMMYFUNCTION("googletranslate(D6779,""id"",""en"")"),"Is the PPKM or motor tax? Hayoweh extended ajig")</f>
        <v>Is the PPKM or motor tax? Hayoweh extended ajig</v>
      </c>
    </row>
    <row r="6780" ht="15.75" customHeight="1">
      <c r="A6780" s="2">
        <v>6783.0</v>
      </c>
      <c r="B6780" s="5" t="s">
        <v>12433</v>
      </c>
      <c r="C6780" s="6">
        <v>1.0</v>
      </c>
      <c r="D6780" s="7" t="s">
        <v>12434</v>
      </c>
      <c r="E6780" s="8" t="str">
        <f>IFERROR(__xludf.DUMMYFUNCTION("googletranslate(D6780,""id"",""en"")"),"The other obedient to the protocol ampe sighs hit by a double mask every day. People on vwakswin so that PPKM quickly finished. Is this? Pwoswitwip's fuck is still wildly here and there. Twolwol sy emotions bgstt")</f>
        <v>The other obedient to the protocol ampe sighs hit by a double mask every day. People on vwakswin so that PPKM quickly finished. Is this? Pwoswitwip's fuck is still wildly here and there. Twolwol sy emotions bgstt</v>
      </c>
    </row>
    <row r="6781" ht="15.75" customHeight="1">
      <c r="A6781" s="2">
        <v>6784.0</v>
      </c>
      <c r="B6781" s="5" t="s">
        <v>12435</v>
      </c>
      <c r="C6781" s="6">
        <v>1.0</v>
      </c>
      <c r="D6781" s="7" t="s">
        <v>12435</v>
      </c>
      <c r="E6781" s="8" t="str">
        <f>IFERROR(__xludf.DUMMYFUNCTION("googletranslate(D6781,""id"",""en"")"),"The cloud cried to hear the PPKM extended.")</f>
        <v>The cloud cried to hear the PPKM extended.</v>
      </c>
    </row>
    <row r="6782" ht="15.75" customHeight="1">
      <c r="A6782" s="2">
        <v>6785.0</v>
      </c>
      <c r="B6782" s="5" t="s">
        <v>12436</v>
      </c>
      <c r="C6782" s="6">
        <v>2.0</v>
      </c>
      <c r="D6782" s="7" t="s">
        <v>12436</v>
      </c>
      <c r="E6782" s="8" t="str">
        <f>IFERROR(__xludf.DUMMYFUNCTION("googletranslate(D6782,""id"",""en"")"),"So the PPKM is extended or not? extended or not?")</f>
        <v>So the PPKM is extended or not? extended or not?</v>
      </c>
    </row>
    <row r="6783" ht="15.75" customHeight="1">
      <c r="A6783" s="2">
        <v>6786.0</v>
      </c>
      <c r="B6783" s="5" t="s">
        <v>12437</v>
      </c>
      <c r="C6783" s="6">
        <v>2.0</v>
      </c>
      <c r="D6783" s="10" t="s">
        <v>12438</v>
      </c>
      <c r="E6783" s="8" t="str">
        <f>IFERROR(__xludf.DUMMYFUNCTION("googletranslate(D6783,""id"",""en"")"),"But right PPKM.")</f>
        <v>But right PPKM.</v>
      </c>
    </row>
    <row r="6784" ht="15.75" customHeight="1">
      <c r="A6784" s="2">
        <v>6787.0</v>
      </c>
      <c r="B6784" s="5" t="s">
        <v>12439</v>
      </c>
      <c r="C6784" s="6">
        <v>1.0</v>
      </c>
      <c r="D6784" s="7" t="s">
        <v>12440</v>
      </c>
      <c r="E6784" s="8" t="str">
        <f>IFERROR(__xludf.DUMMYFUNCTION("googletranslate(D6784,""id"",""en"")"),"Monday next week it seems like the mall is open but the PPKM continues until August is dizzy until it looks like just a bikini bottom stone")</f>
        <v>Monday next week it seems like the mall is open but the PPKM continues until August is dizzy until it looks like just a bikini bottom stone</v>
      </c>
    </row>
    <row r="6785" ht="15.75" customHeight="1">
      <c r="A6785" s="2">
        <v>6788.0</v>
      </c>
      <c r="B6785" s="5" t="s">
        <v>12441</v>
      </c>
      <c r="C6785" s="6">
        <v>1.0</v>
      </c>
      <c r="D6785" s="7" t="s">
        <v>12442</v>
      </c>
      <c r="E6785" s="8" t="str">
        <f>IFERROR(__xludf.DUMMYFUNCTION("googletranslate(D6785,""id"",""en"")"),"There is something strange about the current PPKM rule. Phone can open the origin of the visitor already vaccine. The office may operate with restrictions. Why is not set the same thing against sports. Does our country be more self-born?")</f>
        <v>There is something strange about the current PPKM rule. Phone can open the origin of the visitor already vaccine. The office may operate with restrictions. Why is not set the same thing against sports. Does our country be more self-born?</v>
      </c>
    </row>
    <row r="6786" ht="15.75" customHeight="1">
      <c r="A6786" s="2">
        <v>6789.0</v>
      </c>
      <c r="B6786" s="5" t="s">
        <v>12443</v>
      </c>
      <c r="C6786" s="6">
        <v>2.0</v>
      </c>
      <c r="D6786" s="9" t="s">
        <v>12444</v>
      </c>
      <c r="E6786" s="8" t="str">
        <f>IFERROR(__xludf.DUMMYFUNCTION("googletranslate(D6786,""id"",""en"")"),"PPKM levels are extended again, want to arrive? Just go first ...")</f>
        <v>PPKM levels are extended again, want to arrive? Just go first ...</v>
      </c>
    </row>
    <row r="6787" ht="15.75" customHeight="1">
      <c r="A6787" s="2">
        <v>6790.0</v>
      </c>
      <c r="B6787" s="5" t="s">
        <v>12445</v>
      </c>
      <c r="C6787" s="6">
        <v>2.0</v>
      </c>
      <c r="D6787" s="7" t="s">
        <v>12445</v>
      </c>
      <c r="E6787" s="8" t="str">
        <f>IFERROR(__xludf.DUMMYFUNCTION("googletranslate(D6787,""id"",""en"")"),"The ppkm can be extended, our relationship time is not ...")</f>
        <v>The ppkm can be extended, our relationship time is not ...</v>
      </c>
    </row>
    <row r="6788" ht="15.75" customHeight="1">
      <c r="A6788" s="2">
        <v>6791.0</v>
      </c>
      <c r="B6788" s="5" t="s">
        <v>12446</v>
      </c>
      <c r="C6788" s="6">
        <v>1.0</v>
      </c>
      <c r="D6788" s="7" t="s">
        <v>12447</v>
      </c>
      <c r="E6788" s="8" t="str">
        <f>IFERROR(__xludf.DUMMYFUNCTION("googletranslate(D6788,""id"",""en"")"),"Batam is also the problem if you want full ppkm, right, the factory is not able to produce, then the merchant wants to sell it is also difficult")</f>
        <v>Batam is also the problem if you want full ppkm, right, the factory is not able to produce, then the merchant wants to sell it is also difficult</v>
      </c>
    </row>
    <row r="6789" ht="15.75" customHeight="1">
      <c r="A6789" s="2">
        <v>6792.0</v>
      </c>
      <c r="B6789" s="5" t="s">
        <v>12448</v>
      </c>
      <c r="C6789" s="6">
        <v>1.0</v>
      </c>
      <c r="D6789" s="9" t="s">
        <v>12449</v>
      </c>
      <c r="E6789" s="8" t="str">
        <f>IFERROR(__xludf.DUMMYFUNCTION("googletranslate(D6789,""id"",""en"")"),"Why isn't the ppkm poppet with Agustusan on the Date of Eid al-Adha? Is it not necessary to prohibit the activity of the celebration that is really full of causes,? Don't blame the people if there is an alleged sentiment to Islam!")</f>
        <v>Why isn't the ppkm poppet with Agustusan on the Date of Eid al-Adha? Is it not necessary to prohibit the activity of the celebration that is really full of causes,? Don't blame the people if there is an alleged sentiment to Islam!</v>
      </c>
    </row>
    <row r="6790" ht="15.75" customHeight="1">
      <c r="A6790" s="2">
        <v>6793.0</v>
      </c>
      <c r="B6790" s="5" t="s">
        <v>12450</v>
      </c>
      <c r="C6790" s="6">
        <v>2.0</v>
      </c>
      <c r="D6790" s="10" t="s">
        <v>12451</v>
      </c>
      <c r="E6790" s="8" t="str">
        <f>IFERROR(__xludf.DUMMYFUNCTION("googletranslate(D6790,""id"",""en"")"),"PPKM Neng.")</f>
        <v>PPKM Neng.</v>
      </c>
    </row>
    <row r="6791" ht="15.75" customHeight="1">
      <c r="A6791" s="2">
        <v>6794.0</v>
      </c>
      <c r="B6791" s="5" t="s">
        <v>12452</v>
      </c>
      <c r="C6791" s="6">
        <v>1.0</v>
      </c>
      <c r="D6791" s="9" t="s">
        <v>12453</v>
      </c>
      <c r="E6791" s="8" t="str">
        <f>IFERROR(__xludf.DUMMYFUNCTION("googletranslate(D6791,""id"",""en"")"),"Talking to the frills, you don't eat life, elu suggest ppkm setaon also don't daddy if elu pikilin how calanye penganyat lakat can be full")</f>
        <v>Talking to the frills, you don't eat life, elu suggest ppkm setaon also don't daddy if elu pikilin how calanye penganyat lakat can be full</v>
      </c>
    </row>
    <row r="6792" ht="15.75" customHeight="1">
      <c r="A6792" s="2">
        <v>6795.0</v>
      </c>
      <c r="B6792" s="5" t="s">
        <v>12454</v>
      </c>
      <c r="C6792" s="6">
        <v>2.0</v>
      </c>
      <c r="D6792" s="7" t="s">
        <v>12455</v>
      </c>
      <c r="E6792" s="8" t="str">
        <f>IFERROR(__xludf.DUMMYFUNCTION("googletranslate(D6792,""id"",""en"")"),"just extended ppkm, we stop here just here")</f>
        <v>just extended ppkm, we stop here just here</v>
      </c>
    </row>
    <row r="6793" ht="15.75" customHeight="1">
      <c r="A6793" s="2">
        <v>6796.0</v>
      </c>
      <c r="B6793" s="5" t="s">
        <v>12456</v>
      </c>
      <c r="C6793" s="6">
        <v>1.0</v>
      </c>
      <c r="D6793" s="7" t="s">
        <v>12457</v>
      </c>
      <c r="E6793" s="8" t="str">
        <f>IFERROR(__xludf.DUMMYFUNCTION("googletranslate(D6793,""id"",""en"")"),"Mr. President until when to extend this PPKM sir? Our breath wants to run out.")</f>
        <v>Mr. President until when to extend this PPKM sir? Our breath wants to run out.</v>
      </c>
    </row>
    <row r="6794" ht="15.75" customHeight="1">
      <c r="A6794" s="2">
        <v>6797.0</v>
      </c>
      <c r="B6794" s="5" t="s">
        <v>12458</v>
      </c>
      <c r="C6794" s="6">
        <v>1.0</v>
      </c>
      <c r="D6794" s="7" t="s">
        <v>12459</v>
      </c>
      <c r="E6794" s="8" t="str">
        <f>IFERROR(__xludf.DUMMYFUNCTION("googletranslate(D6794,""id"",""en"")"),"Pity the child's child ... can't be free to bring a car everywhere. Can't play ... can't be on vacation ... can't party. Sob hiks ... uh. Forgot ... More PPKM Corona Delta Cs again struck. It's not a noble one ... just like the child at home ... here just"&amp;" year ...")</f>
        <v>Pity the child's child ... can't be free to bring a car everywhere. Can't play ... can't be on vacation ... can't party. Sob hiks ... uh. Forgot ... More PPKM Corona Delta Cs again struck. It's not a noble one ... just like the child at home ... here just year ...</v>
      </c>
    </row>
    <row r="6795" ht="15.75" customHeight="1">
      <c r="A6795" s="2">
        <v>6798.0</v>
      </c>
      <c r="B6795" s="5" t="s">
        <v>12460</v>
      </c>
      <c r="C6795" s="6">
        <v>2.0</v>
      </c>
      <c r="D6795" s="7" t="s">
        <v>12461</v>
      </c>
      <c r="E6795" s="8" t="str">
        <f>IFERROR(__xludf.DUMMYFUNCTION("googletranslate(D6795,""id"",""en"")"),"Untung Gajadi, I had to go back to the PPKM PPKM, eh extended")</f>
        <v>Untung Gajadi, I had to go back to the PPKM PPKM, eh extended</v>
      </c>
    </row>
    <row r="6796" ht="15.75" customHeight="1">
      <c r="A6796" s="2">
        <v>6799.0</v>
      </c>
      <c r="B6796" s="5" t="s">
        <v>12462</v>
      </c>
      <c r="C6796" s="6">
        <v>1.0</v>
      </c>
      <c r="D6796" s="7" t="s">
        <v>12463</v>
      </c>
      <c r="E6796" s="8" t="str">
        <f>IFERROR(__xludf.DUMMYFUNCTION("googletranslate(D6796,""id"",""en"")"),"PPKM extends until the end")</f>
        <v>PPKM extends until the end</v>
      </c>
    </row>
    <row r="6797" ht="15.75" customHeight="1">
      <c r="A6797" s="2">
        <v>6800.0</v>
      </c>
      <c r="B6797" s="5" t="s">
        <v>12464</v>
      </c>
      <c r="C6797" s="6">
        <v>2.0</v>
      </c>
      <c r="D6797" s="7" t="s">
        <v>12465</v>
      </c>
      <c r="E6797" s="8" t="str">
        <f>IFERROR(__xludf.DUMMYFUNCTION("googletranslate(D6797,""id"",""en"")"),"PPKM extends our chat ORA")</f>
        <v>PPKM extends our chat ORA</v>
      </c>
    </row>
    <row r="6798" ht="15.75" customHeight="1">
      <c r="A6798" s="2">
        <v>6801.0</v>
      </c>
      <c r="B6798" s="5" t="s">
        <v>12466</v>
      </c>
      <c r="C6798" s="6">
        <v>1.0</v>
      </c>
      <c r="D6798" s="7" t="s">
        <v>12467</v>
      </c>
      <c r="E6798" s="8" t="str">
        <f>IFERROR(__xludf.DUMMYFUNCTION("googletranslate(D6798,""id"",""en"")"),"Kyknya hyx clown is immune to PHP PPKM because we are HYX clowns already diphp hyx moon")</f>
        <v>Kyknya hyx clown is immune to PHP PPKM because we are HYX clowns already diphp hyx moon</v>
      </c>
    </row>
    <row r="6799" ht="15.75" customHeight="1">
      <c r="A6799" s="2">
        <v>6802.0</v>
      </c>
      <c r="B6799" s="5" t="s">
        <v>12468</v>
      </c>
      <c r="C6799" s="6">
        <v>2.0</v>
      </c>
      <c r="D6799" s="7" t="s">
        <v>12469</v>
      </c>
      <c r="E6799" s="8" t="str">
        <f>IFERROR(__xludf.DUMMYFUNCTION("googletranslate(D6799,""id"",""en"")"),"Emergency &amp; GT PPKM; &amp; GT; PPKM Next Level &amp; GT; &amp; gt; PPKM 'Till August")</f>
        <v>Emergency &amp; GT PPKM; &amp; GT; PPKM Next Level &amp; GT; &amp; gt; PPKM 'Till August</v>
      </c>
    </row>
    <row r="6800" ht="15.75" customHeight="1">
      <c r="A6800" s="2">
        <v>6803.0</v>
      </c>
      <c r="B6800" s="5" t="s">
        <v>12470</v>
      </c>
      <c r="C6800" s="6">
        <v>2.0</v>
      </c>
      <c r="D6800" s="7" t="s">
        <v>12470</v>
      </c>
      <c r="E6800" s="8" t="str">
        <f>IFERROR(__xludf.DUMMYFUNCTION("googletranslate(D6800,""id"",""en"")"),"Ppkm using in all over")</f>
        <v>Ppkm using in all over</v>
      </c>
    </row>
    <row r="6801" ht="15.75" customHeight="1">
      <c r="A6801" s="2">
        <v>6804.0</v>
      </c>
      <c r="B6801" s="5" t="s">
        <v>12471</v>
      </c>
      <c r="C6801" s="6">
        <v>2.0</v>
      </c>
      <c r="D6801" s="7" t="s">
        <v>12472</v>
      </c>
      <c r="E6801" s="8" t="str">
        <f>IFERROR(__xludf.DUMMYFUNCTION("googletranslate(D6801,""id"",""en"")"),"In your place, PPKM is extended or not? Here yes")</f>
        <v>In your place, PPKM is extended or not? Here yes</v>
      </c>
    </row>
    <row r="6802" ht="15.75" customHeight="1">
      <c r="A6802" s="2">
        <v>6805.0</v>
      </c>
      <c r="B6802" s="5" t="s">
        <v>12473</v>
      </c>
      <c r="C6802" s="6">
        <v>1.0</v>
      </c>
      <c r="D6802" s="7" t="s">
        <v>12473</v>
      </c>
      <c r="E6802" s="8" t="str">
        <f>IFERROR(__xludf.DUMMYFUNCTION("googletranslate(D6802,""id"",""en"")"),"PPKM is extended in the payment of the salary of government people want to be paid in installments")</f>
        <v>PPKM is extended in the payment of the salary of government people want to be paid in installments</v>
      </c>
    </row>
    <row r="6803" ht="15.75" customHeight="1">
      <c r="A6803" s="2">
        <v>6806.0</v>
      </c>
      <c r="B6803" s="5" t="s">
        <v>12474</v>
      </c>
      <c r="C6803" s="6">
        <v>2.0</v>
      </c>
      <c r="D6803" s="7" t="s">
        <v>12474</v>
      </c>
      <c r="E6803" s="8" t="str">
        <f>IFERROR(__xludf.DUMMYFUNCTION("googletranslate(D6803,""id"",""en"")"),"PPKM is extended until you are mine")</f>
        <v>PPKM is extended until you are mine</v>
      </c>
    </row>
    <row r="6804" ht="15.75" customHeight="1">
      <c r="A6804" s="2">
        <v>6807.0</v>
      </c>
      <c r="B6804" s="5" t="s">
        <v>12475</v>
      </c>
      <c r="C6804" s="6">
        <v>1.0</v>
      </c>
      <c r="D6804" s="9" t="s">
        <v>12476</v>
      </c>
      <c r="E6804" s="8" t="str">
        <f>IFERROR(__xludf.DUMMYFUNCTION("googletranslate(D6804,""id"",""en"")"),"kasian bgt sodara I can't go back to Bekasi because the PPKM continues to extend")</f>
        <v>kasian bgt sodara I can't go back to Bekasi because the PPKM continues to extend</v>
      </c>
    </row>
    <row r="6805" ht="15.75" customHeight="1">
      <c r="A6805" s="2">
        <v>6808.0</v>
      </c>
      <c r="B6805" s="5" t="s">
        <v>12477</v>
      </c>
      <c r="C6805" s="6">
        <v>1.0</v>
      </c>
      <c r="D6805" s="7" t="s">
        <v>12477</v>
      </c>
      <c r="E6805" s="8" t="str">
        <f>IFERROR(__xludf.DUMMYFUNCTION("googletranslate(D6805,""id"",""en"")"),"PPKM JANCOKKK DOBOLLLLL.")</f>
        <v>PPKM JANCOKKK DOBOLLLLL.</v>
      </c>
    </row>
    <row r="6806" ht="15.75" customHeight="1">
      <c r="A6806" s="2">
        <v>6809.0</v>
      </c>
      <c r="B6806" s="5" t="s">
        <v>12478</v>
      </c>
      <c r="C6806" s="6">
        <v>2.0</v>
      </c>
      <c r="D6806" s="9" t="s">
        <v>12478</v>
      </c>
      <c r="E6806" s="8" t="str">
        <f>IFERROR(__xludf.DUMMYFUNCTION("googletranslate(D6806,""id"",""en"")"),"PPKM if there is a cigarette in the cigarette, it's like it until September, but he bought a tightness / ngecer")</f>
        <v>PPKM if there is a cigarette in the cigarette, it's like it until September, but he bought a tightness / ngecer</v>
      </c>
    </row>
    <row r="6807" ht="15.75" customHeight="1">
      <c r="A6807" s="2">
        <v>6810.0</v>
      </c>
      <c r="B6807" s="5" t="s">
        <v>12479</v>
      </c>
      <c r="C6807" s="6">
        <v>3.0</v>
      </c>
      <c r="D6807" s="7" t="s">
        <v>12480</v>
      </c>
      <c r="E6807" s="8" t="str">
        <f>IFERROR(__xludf.DUMMYFUNCTION("googletranslate(D6807,""id"",""en"")"),"... the most delicious PPKM ...")</f>
        <v>... the most delicious PPKM ...</v>
      </c>
    </row>
    <row r="6808" ht="15.75" customHeight="1">
      <c r="A6808" s="2">
        <v>6811.0</v>
      </c>
      <c r="B6808" s="5" t="s">
        <v>12481</v>
      </c>
      <c r="C6808" s="6">
        <v>2.0</v>
      </c>
      <c r="D6808" s="9" t="s">
        <v>12481</v>
      </c>
      <c r="E6808" s="8" t="str">
        <f>IFERROR(__xludf.DUMMYFUNCTION("googletranslate(D6808,""id"",""en"")"),"PPKM is extended again ... Do you complain?")</f>
        <v>PPKM is extended again ... Do you complain?</v>
      </c>
    </row>
    <row r="6809" ht="15.75" customHeight="1">
      <c r="A6809" s="2">
        <v>6812.0</v>
      </c>
      <c r="B6809" s="5" t="s">
        <v>12482</v>
      </c>
      <c r="C6809" s="6">
        <v>1.0</v>
      </c>
      <c r="D6809" s="7" t="s">
        <v>12483</v>
      </c>
      <c r="E6809" s="8" t="str">
        <f>IFERROR(__xludf.DUMMYFUNCTION("googletranslate(D6809,""id"",""en"")"),"Original ihh, faklahhhh ppkm ... bgsd !!!")</f>
        <v>Original ihh, faklahhhh ppkm ... bgsd !!!</v>
      </c>
    </row>
    <row r="6810" ht="15.75" customHeight="1">
      <c r="A6810" s="2">
        <v>6813.0</v>
      </c>
      <c r="B6810" s="5" t="s">
        <v>12484</v>
      </c>
      <c r="C6810" s="6">
        <v>2.0</v>
      </c>
      <c r="D6810" s="7" t="s">
        <v>12485</v>
      </c>
      <c r="E6810" s="8" t="str">
        <f>IFERROR(__xludf.DUMMYFUNCTION("googletranslate(D6810,""id"",""en"")"),"Rainers Join PPKM Extended")</f>
        <v>Rainers Join PPKM Extended</v>
      </c>
    </row>
    <row r="6811" ht="15.75" customHeight="1">
      <c r="A6811" s="2">
        <v>6814.0</v>
      </c>
      <c r="B6811" s="5" t="s">
        <v>12486</v>
      </c>
      <c r="C6811" s="6">
        <v>2.0</v>
      </c>
      <c r="D6811" s="7" t="s">
        <v>12474</v>
      </c>
      <c r="E6811" s="8" t="str">
        <f>IFERROR(__xludf.DUMMYFUNCTION("googletranslate(D6811,""id"",""en"")"),"PPKM is extended until you are mine")</f>
        <v>PPKM is extended until you are mine</v>
      </c>
    </row>
    <row r="6812" ht="15.75" customHeight="1">
      <c r="A6812" s="2">
        <v>6815.0</v>
      </c>
      <c r="B6812" s="5" t="s">
        <v>12487</v>
      </c>
      <c r="C6812" s="6">
        <v>1.0</v>
      </c>
      <c r="D6812" s="7" t="s">
        <v>12488</v>
      </c>
      <c r="E6812" s="8" t="str">
        <f>IFERROR(__xludf.DUMMYFUNCTION("googletranslate(D6812,""id"",""en"")"),"Want the PPKM until the level is also not concerned that it has just been a stressful Bodo")</f>
        <v>Want the PPKM until the level is also not concerned that it has just been a stressful Bodo</v>
      </c>
    </row>
    <row r="6813" ht="15.75" customHeight="1">
      <c r="A6813" s="2">
        <v>6816.0</v>
      </c>
      <c r="B6813" s="5" t="s">
        <v>12489</v>
      </c>
      <c r="C6813" s="6">
        <v>2.0</v>
      </c>
      <c r="D6813" s="7" t="s">
        <v>12489</v>
      </c>
      <c r="E6813" s="8" t="str">
        <f>IFERROR(__xludf.DUMMYFUNCTION("googletranslate(D6813,""id"",""en"")"),"And PPKM is extended again")</f>
        <v>And PPKM is extended again</v>
      </c>
    </row>
    <row r="6814" ht="15.75" customHeight="1">
      <c r="A6814" s="2">
        <v>6817.0</v>
      </c>
      <c r="B6814" s="5" t="s">
        <v>12490</v>
      </c>
      <c r="C6814" s="6">
        <v>1.0</v>
      </c>
      <c r="D6814" s="7" t="s">
        <v>12491</v>
      </c>
      <c r="E6814" s="8" t="str">
        <f>IFERROR(__xludf.DUMMYFUNCTION("googletranslate(D6814,""id"",""en"")"),"After the presidential election campaign, ""One of my priority programs is to stop the PPKM after I was chosen""")</f>
        <v>After the presidential election campaign, "One of my priority programs is to stop the PPKM after I was chosen"</v>
      </c>
    </row>
    <row r="6815" ht="15.75" customHeight="1">
      <c r="A6815" s="2">
        <v>6818.0</v>
      </c>
      <c r="B6815" s="5" t="s">
        <v>12492</v>
      </c>
      <c r="C6815" s="6">
        <v>1.0</v>
      </c>
      <c r="D6815" s="9" t="s">
        <v>12493</v>
      </c>
      <c r="E6815" s="8" t="str">
        <f>IFERROR(__xludf.DUMMYFUNCTION("googletranslate(D6815,""id"",""en"")"),"actually it's also not like that, right, just if there is a ppkm, it's worried if you want to get out")</f>
        <v>actually it's also not like that, right, just if there is a ppkm, it's worried if you want to get out</v>
      </c>
    </row>
    <row r="6816" ht="15.75" customHeight="1">
      <c r="A6816" s="2">
        <v>6819.0</v>
      </c>
      <c r="B6816" s="5" t="s">
        <v>12494</v>
      </c>
      <c r="C6816" s="6">
        <v>2.0</v>
      </c>
      <c r="D6816" s="7" t="s">
        <v>12495</v>
      </c>
      <c r="E6816" s="8" t="str">
        <f>IFERROR(__xludf.DUMMYFUNCTION("googletranslate(D6816,""id"",""en"")"),"Mbak, a video collection ""extended PPKM"" too ... Save permission ...")</f>
        <v>Mbak, a video collection "extended PPKM" too ... Save permission ...</v>
      </c>
    </row>
    <row r="6817" ht="15.75" customHeight="1">
      <c r="A6817" s="2">
        <v>6820.0</v>
      </c>
      <c r="B6817" s="5" t="s">
        <v>12496</v>
      </c>
      <c r="C6817" s="6">
        <v>2.0</v>
      </c>
      <c r="D6817" s="7" t="s">
        <v>12497</v>
      </c>
      <c r="E6817" s="8" t="str">
        <f>IFERROR(__xludf.DUMMYFUNCTION("googletranslate(D6817,""id"",""en"")"),"Can't be closed because of the ppkm")</f>
        <v>Can't be closed because of the ppkm</v>
      </c>
    </row>
    <row r="6818" ht="15.75" customHeight="1">
      <c r="A6818" s="2">
        <v>6821.0</v>
      </c>
      <c r="B6818" s="5" t="s">
        <v>12498</v>
      </c>
      <c r="C6818" s="6">
        <v>1.0</v>
      </c>
      <c r="D6818" s="9" t="s">
        <v>12499</v>
      </c>
      <c r="E6818" s="8" t="str">
        <f>IFERROR(__xludf.DUMMYFUNCTION("googletranslate(D6818,""id"",""en"")"),"SPECIAL US IN, Nyokap I Ngebang Deket2 SM An animal is sick so it's hard to learn even though I'm studying an animal medicine ?????? But does I stop learning? No. Not at all. Gue knows it can't be internship because the PPKM is extended by Mulu Bangke (th"&amp;"e clinic ngizinin abis ppkm).")</f>
        <v>SPECIAL US IN, Nyokap I Ngebang Deket2 SM An animal is sick so it's hard to learn even though I'm studying an animal medicine ?????? But does I stop learning? No. Not at all. Gue knows it can't be internship because the PPKM is extended by Mulu Bangke (the clinic ngizinin abis ppkm).</v>
      </c>
    </row>
    <row r="6819" ht="15.75" customHeight="1">
      <c r="A6819" s="2">
        <v>6822.0</v>
      </c>
      <c r="B6819" s="5" t="s">
        <v>12500</v>
      </c>
      <c r="C6819" s="6">
        <v>1.0</v>
      </c>
      <c r="D6819" s="9" t="s">
        <v>12501</v>
      </c>
      <c r="E6819" s="8" t="str">
        <f>IFERROR(__xludf.DUMMYFUNCTION("googletranslate(D6819,""id"",""en"")"),"haha really especially there is my friend who is a ppkm extended but I can't see the sg again outside when it's hanging out ... what's really")</f>
        <v>haha really especially there is my friend who is a ppkm extended but I can't see the sg again outside when it's hanging out ... what's really</v>
      </c>
    </row>
    <row r="6820" ht="15.75" customHeight="1">
      <c r="A6820" s="2">
        <v>6823.0</v>
      </c>
      <c r="B6820" s="5" t="s">
        <v>12502</v>
      </c>
      <c r="C6820" s="6">
        <v>1.0</v>
      </c>
      <c r="D6820" s="7" t="s">
        <v>12502</v>
      </c>
      <c r="E6820" s="8" t="str">
        <f>IFERROR(__xludf.DUMMYFUNCTION("googletranslate(D6820,""id"",""en"")"),"How come it becomes a flood where it is even though it's just ujan from the afternoon to malem, yes God is sad where it's still PPKM")</f>
        <v>How come it becomes a flood where it is even though it's just ujan from the afternoon to malem, yes God is sad where it's still PPKM</v>
      </c>
    </row>
    <row r="6821" ht="15.75" customHeight="1">
      <c r="A6821" s="2">
        <v>6824.0</v>
      </c>
      <c r="B6821" s="5" t="s">
        <v>12503</v>
      </c>
      <c r="C6821" s="6">
        <v>2.0</v>
      </c>
      <c r="D6821" s="7" t="s">
        <v>12504</v>
      </c>
      <c r="E6821" s="8" t="str">
        <f>IFERROR(__xludf.DUMMYFUNCTION("googletranslate(D6821,""id"",""en"")"),"The rain was durable from Malem, such as the PPKM extension.")</f>
        <v>The rain was durable from Malem, such as the PPKM extension.</v>
      </c>
    </row>
    <row r="6822" ht="15.75" customHeight="1">
      <c r="A6822" s="2">
        <v>6825.0</v>
      </c>
      <c r="B6822" s="5" t="s">
        <v>12505</v>
      </c>
      <c r="C6822" s="6">
        <v>2.0</v>
      </c>
      <c r="D6822" s="7" t="s">
        <v>12506</v>
      </c>
      <c r="E6822" s="8" t="str">
        <f>IFERROR(__xludf.DUMMYFUNCTION("googletranslate(D6822,""id"",""en"")"),"PPKM becomes the movement of the online road, sir, Chairperson of the Board")</f>
        <v>PPKM becomes the movement of the online road, sir, Chairperson of the Board</v>
      </c>
    </row>
    <row r="6823" ht="15.75" customHeight="1">
      <c r="A6823" s="2">
        <v>6826.0</v>
      </c>
      <c r="B6823" s="5" t="s">
        <v>12507</v>
      </c>
      <c r="C6823" s="6">
        <v>2.0</v>
      </c>
      <c r="D6823" s="10" t="s">
        <v>12507</v>
      </c>
      <c r="E6823" s="8" t="str">
        <f>IFERROR(__xludf.DUMMYFUNCTION("googletranslate(D6823,""id"",""en"")"),"Morning PPKM.")</f>
        <v>Morning PPKM.</v>
      </c>
    </row>
    <row r="6824" ht="15.75" customHeight="1">
      <c r="A6824" s="2">
        <v>6827.0</v>
      </c>
      <c r="B6824" s="5" t="s">
        <v>12508</v>
      </c>
      <c r="C6824" s="6">
        <v>1.0</v>
      </c>
      <c r="D6824" s="9" t="s">
        <v>12509</v>
      </c>
      <c r="E6824" s="8" t="str">
        <f>IFERROR(__xludf.DUMMYFUNCTION("googletranslate(D6824,""id"",""en"")"),"Ppkm extended mulu.nih you have a lot that doesn't use a mask. It's more important, it's not more important? Mending is also a rich mask patrol first because the awareness of wearing a mask is still lacking. It seems like people are more afraid of the pol"&amp;"ice patrol masks than Corona.")</f>
        <v>Ppkm extended mulu.nih you have a lot that doesn't use a mask. It's more important, it's not more important? Mending is also a rich mask patrol first because the awareness of wearing a mask is still lacking. It seems like people are more afraid of the police patrol masks than Corona.</v>
      </c>
    </row>
    <row r="6825" ht="15.75" customHeight="1">
      <c r="A6825" s="2">
        <v>6828.0</v>
      </c>
      <c r="B6825" s="5" t="s">
        <v>12510</v>
      </c>
      <c r="C6825" s="6">
        <v>1.0</v>
      </c>
      <c r="D6825" s="7" t="s">
        <v>12511</v>
      </c>
      <c r="E6825" s="8" t="str">
        <f>IFERROR(__xludf.DUMMYFUNCTION("googletranslate(D6825,""id"",""en"")"),"It's good if the Bansos ppkm is not corrupt hehe ... what do you want to eat?")</f>
        <v>It's good if the Bansos ppkm is not corrupt hehe ... what do you want to eat?</v>
      </c>
    </row>
    <row r="6826" ht="15.75" customHeight="1">
      <c r="A6826" s="2">
        <v>6829.0</v>
      </c>
      <c r="B6826" s="5" t="s">
        <v>12512</v>
      </c>
      <c r="C6826" s="6">
        <v>1.0</v>
      </c>
      <c r="D6826" s="9" t="s">
        <v>12513</v>
      </c>
      <c r="E6826" s="8" t="str">
        <f>IFERROR(__xludf.DUMMYFUNCTION("googletranslate(D6826,""id"",""en"")"),"Here rebu, if during the ppkm it doesn't work, where does the rebuge work")</f>
        <v>Here rebu, if during the ppkm it doesn't work, where does the rebuge work</v>
      </c>
    </row>
    <row r="6827" ht="15.75" customHeight="1">
      <c r="A6827" s="2">
        <v>6830.0</v>
      </c>
      <c r="B6827" s="5" t="s">
        <v>12514</v>
      </c>
      <c r="C6827" s="6">
        <v>2.0</v>
      </c>
      <c r="D6827" s="9" t="s">
        <v>12515</v>
      </c>
      <c r="E6827" s="8" t="str">
        <f>IFERROR(__xludf.DUMMYFUNCTION("googletranslate(D6827,""id"",""en"")"),"I hope the PPKM rules are more loose than before, considering that many have been waiting for today to end PPKM and start their activities after the pause. The government also does not remain silent, still channeling assistance for affected communities")</f>
        <v>I hope the PPKM rules are more loose than before, considering that many have been waiting for today to end PPKM and start their activities after the pause. The government also does not remain silent, still channeling assistance for affected communities</v>
      </c>
    </row>
    <row r="6828" ht="15.75" customHeight="1">
      <c r="A6828" s="2">
        <v>6831.0</v>
      </c>
      <c r="B6828" s="5" t="s">
        <v>12516</v>
      </c>
      <c r="C6828" s="6">
        <v>3.0</v>
      </c>
      <c r="D6828" s="7" t="s">
        <v>12517</v>
      </c>
      <c r="E6828" s="8" t="str">
        <f>IFERROR(__xludf.DUMMYFUNCTION("googletranslate(D6828,""id"",""en"")"),"Morning spirit! The first morning in the new year of Hijriyah. Acyflowing when opening the eyes, all in healthy conditions")</f>
        <v>Morning spirit! The first morning in the new year of Hijriyah. Acyflowing when opening the eyes, all in healthy conditions</v>
      </c>
    </row>
    <row r="6829" ht="15.75" customHeight="1">
      <c r="A6829" s="2">
        <v>6832.0</v>
      </c>
      <c r="B6829" s="5" t="s">
        <v>12518</v>
      </c>
      <c r="C6829" s="6">
        <v>2.0</v>
      </c>
      <c r="D6829" s="7" t="s">
        <v>12518</v>
      </c>
      <c r="E6829" s="8" t="str">
        <f>IFERROR(__xludf.DUMMYFUNCTION("googletranslate(D6829,""id"",""en"")"),"ppkm extended again?")</f>
        <v>ppkm extended again?</v>
      </c>
    </row>
    <row r="6830" ht="15.75" customHeight="1">
      <c r="A6830" s="2">
        <v>6833.0</v>
      </c>
      <c r="B6830" s="5" t="s">
        <v>12519</v>
      </c>
      <c r="C6830" s="6">
        <v>2.0</v>
      </c>
      <c r="D6830" s="7" t="s">
        <v>12520</v>
      </c>
      <c r="E6830" s="8" t="str">
        <f>IFERROR(__xludf.DUMMYFUNCTION("googletranslate(D6830,""id"",""en"")"),"It seems like it's like a PPKM, every week there will be a reverse announcement too .... Football is coming soon ..")</f>
        <v>It seems like it's like a PPKM, every week there will be a reverse announcement too .... Football is coming soon ..</v>
      </c>
    </row>
    <row r="6831" ht="15.75" customHeight="1">
      <c r="A6831" s="2">
        <v>6834.0</v>
      </c>
      <c r="B6831" s="5" t="s">
        <v>12521</v>
      </c>
      <c r="C6831" s="6">
        <v>1.0</v>
      </c>
      <c r="D6831" s="9" t="s">
        <v>12522</v>
      </c>
      <c r="E6831" s="8" t="str">
        <f>IFERROR(__xludf.DUMMYFUNCTION("googletranslate(D6831,""id"",""en"")"),"It is compared to the case that is rich in the era of bird flu, but it is clearly still still remember that there are no days using the N95 mask, it's overused, the ppkm is only the extermination of poultry just the same poultry extingnate the same spray."&amp;" Bodoatamat ah wkwk")</f>
        <v>It is compared to the case that is rich in the era of bird flu, but it is clearly still still remember that there are no days using the N95 mask, it's overused, the ppkm is only the extermination of poultry just the same poultry extingnate the same spray. Bodoatamat ah wkwk</v>
      </c>
    </row>
    <row r="6832" ht="15.75" customHeight="1">
      <c r="A6832" s="2">
        <v>6835.0</v>
      </c>
      <c r="B6832" s="5" t="s">
        <v>12523</v>
      </c>
      <c r="C6832" s="6">
        <v>2.0</v>
      </c>
      <c r="D6832" s="9" t="s">
        <v>12524</v>
      </c>
      <c r="E6832" s="8" t="str">
        <f>IFERROR(__xludf.DUMMYFUNCTION("googletranslate(D6832,""id"",""en"")"),"Farming first, PPKM is still not late game")</f>
        <v>Farming first, PPKM is still not late game</v>
      </c>
    </row>
    <row r="6833" ht="15.75" customHeight="1">
      <c r="A6833" s="2">
        <v>6836.0</v>
      </c>
      <c r="B6833" s="5" t="s">
        <v>12525</v>
      </c>
      <c r="C6833" s="6">
        <v>1.0</v>
      </c>
      <c r="D6833" s="9" t="s">
        <v>12525</v>
      </c>
      <c r="E6833" s="8" t="str">
        <f>IFERROR(__xludf.DUMMYFUNCTION("googletranslate(D6833,""id"",""en"")"),"Besides PPKM, which is not clear, my relationship is not clear")</f>
        <v>Besides PPKM, which is not clear, my relationship is not clear</v>
      </c>
    </row>
    <row r="6834" ht="15.75" customHeight="1">
      <c r="A6834" s="2">
        <v>6837.0</v>
      </c>
      <c r="B6834" s="5" t="s">
        <v>12526</v>
      </c>
      <c r="C6834" s="6">
        <v>2.0</v>
      </c>
      <c r="D6834" s="7" t="s">
        <v>12527</v>
      </c>
      <c r="E6834" s="8" t="str">
        <f>IFERROR(__xludf.DUMMYFUNCTION("googletranslate(D6834,""id"",""en"")"),"Why is the extension of the PPKM in general PPKM first, why isn't it directly from the beginning of the GTU")</f>
        <v>Why is the extension of the PPKM in general PPKM first, why isn't it directly from the beginning of the GTU</v>
      </c>
    </row>
    <row r="6835" ht="15.75" customHeight="1">
      <c r="A6835" s="2">
        <v>6838.0</v>
      </c>
      <c r="B6835" s="5" t="s">
        <v>12528</v>
      </c>
      <c r="C6835" s="6">
        <v>1.0</v>
      </c>
      <c r="D6835" s="7" t="s">
        <v>12528</v>
      </c>
      <c r="E6835" s="8" t="str">
        <f>IFERROR(__xludf.DUMMYFUNCTION("googletranslate(D6835,""id"",""en"")"),"PPKM is extended every week, it has been a book in the library of school. Hadeeehh ...")</f>
        <v>PPKM is extended every week, it has been a book in the library of school. Hadeeehh ...</v>
      </c>
    </row>
    <row r="6836" ht="15.75" customHeight="1">
      <c r="A6836" s="2">
        <v>6839.0</v>
      </c>
      <c r="B6836" s="5" t="s">
        <v>12529</v>
      </c>
      <c r="C6836" s="6">
        <v>1.0</v>
      </c>
      <c r="D6836" s="9" t="s">
        <v>12530</v>
      </c>
      <c r="E6836" s="8" t="str">
        <f>IFERROR(__xludf.DUMMYFUNCTION("googletranslate(D6836,""id"",""en"")"),"Cape isn't you, PPKM extended? Corona Ngahah Yu, Tired of I Anjer")</f>
        <v>Cape isn't you, PPKM extended? Corona Ngahah Yu, Tired of I Anjer</v>
      </c>
    </row>
    <row r="6837" ht="15.75" customHeight="1">
      <c r="A6837" s="2">
        <v>6840.0</v>
      </c>
      <c r="B6837" s="5" t="s">
        <v>12531</v>
      </c>
      <c r="C6837" s="6">
        <v>2.0</v>
      </c>
      <c r="D6837" s="7" t="s">
        <v>12532</v>
      </c>
      <c r="E6837" s="8" t="str">
        <f>IFERROR(__xludf.DUMMYFUNCTION("googletranslate(D6837,""id"",""en"")"),"Ktnya pgn to dufan, but ppkm jd when """)</f>
        <v>Ktnya pgn to dufan, but ppkm jd when "</v>
      </c>
    </row>
    <row r="6838" ht="15.75" customHeight="1">
      <c r="A6838" s="2">
        <v>6841.0</v>
      </c>
      <c r="B6838" s="5" t="s">
        <v>12533</v>
      </c>
      <c r="C6838" s="6">
        <v>1.0</v>
      </c>
      <c r="D6838" s="7" t="s">
        <v>12534</v>
      </c>
      <c r="E6838" s="8" t="str">
        <f>IFERROR(__xludf.DUMMYFUNCTION("googletranslate(D6838,""id"",""en"")"),"He said that he prevented the Chinese virus with a Chinese vaccine, but Tka China was obliged to enter when RI when the PPKM?")</f>
        <v>He said that he prevented the Chinese virus with a Chinese vaccine, but Tka China was obliged to enter when RI when the PPKM?</v>
      </c>
    </row>
    <row r="6839" ht="15.75" customHeight="1">
      <c r="A6839" s="2">
        <v>6842.0</v>
      </c>
      <c r="B6839" s="5" t="s">
        <v>12535</v>
      </c>
      <c r="C6839" s="6">
        <v>1.0</v>
      </c>
      <c r="D6839" s="7" t="s">
        <v>12536</v>
      </c>
      <c r="E6839" s="8" t="str">
        <f>IFERROR(__xludf.DUMMYFUNCTION("googletranslate(D6839,""id"",""en"")"),"Kites pull the thread to carry a little but melilitppkm continues to be extended do not live narrower and become difficult")</f>
        <v>Kites pull the thread to carry a little but melilitppkm continues to be extended do not live narrower and become difficult</v>
      </c>
    </row>
    <row r="6840" ht="15.75" customHeight="1">
      <c r="A6840" s="2">
        <v>6843.0</v>
      </c>
      <c r="B6840" s="5" t="s">
        <v>12537</v>
      </c>
      <c r="C6840" s="6">
        <v>1.0</v>
      </c>
      <c r="D6840" s="7" t="s">
        <v>12537</v>
      </c>
      <c r="E6840" s="8" t="str">
        <f>IFERROR(__xludf.DUMMYFUNCTION("googletranslate(D6840,""id"",""en"")"),"PPKM extended cie already managing visa threatened not to be wakakwka ready")</f>
        <v>PPKM extended cie already managing visa threatened not to be wakakwka ready</v>
      </c>
    </row>
    <row r="6841" ht="15.75" customHeight="1">
      <c r="A6841" s="2">
        <v>6844.0</v>
      </c>
      <c r="B6841" s="5" t="s">
        <v>12538</v>
      </c>
      <c r="C6841" s="6">
        <v>2.0</v>
      </c>
      <c r="D6841" s="7" t="s">
        <v>12539</v>
      </c>
      <c r="E6841" s="8" t="str">
        <f>IFERROR(__xludf.DUMMYFUNCTION("googletranslate(D6841,""id"",""en"")"),"Oh yeah, the holiday was shifted, the PPKM was extended until August too")</f>
        <v>Oh yeah, the holiday was shifted, the PPKM was extended until August too</v>
      </c>
    </row>
    <row r="6842" ht="15.75" customHeight="1">
      <c r="A6842" s="2">
        <v>6845.0</v>
      </c>
      <c r="B6842" s="5" t="s">
        <v>12540</v>
      </c>
      <c r="C6842" s="6">
        <v>1.0</v>
      </c>
      <c r="D6842" s="9" t="s">
        <v>12541</v>
      </c>
      <c r="E6842" s="8" t="str">
        <f>IFERROR(__xludf.DUMMYFUNCTION("googletranslate(D6842,""id"",""en"")"),"The plis knp suddenly I cried, how come it knuk alm.wildan huaa, I want to go to the tomb as well as msh ppkm plis")</f>
        <v>The plis knp suddenly I cried, how come it knuk alm.wildan huaa, I want to go to the tomb as well as msh ppkm plis</v>
      </c>
    </row>
    <row r="6843" ht="15.75" customHeight="1">
      <c r="A6843" s="2">
        <v>6846.0</v>
      </c>
      <c r="B6843" s="5" t="s">
        <v>12542</v>
      </c>
      <c r="C6843" s="6">
        <v>2.0</v>
      </c>
      <c r="D6843" s="10" t="s">
        <v>12543</v>
      </c>
      <c r="E6843" s="8" t="str">
        <f>IFERROR(__xludf.DUMMYFUNCTION("googletranslate(D6843,""id"",""en"")"),"This PPKM is completed")</f>
        <v>This PPKM is completed</v>
      </c>
    </row>
    <row r="6844" ht="15.75" customHeight="1">
      <c r="A6844" s="2">
        <v>6847.0</v>
      </c>
      <c r="B6844" s="5" t="s">
        <v>12544</v>
      </c>
      <c r="C6844" s="6">
        <v>1.0</v>
      </c>
      <c r="D6844" s="9" t="s">
        <v>12545</v>
      </c>
      <c r="E6844" s="8" t="str">
        <f>IFERROR(__xludf.DUMMYFUNCTION("googletranslate(D6844,""id"",""en"")"),"The PPKM reporter is already rich in debt to moneylenders, not paid off yee")</f>
        <v>The PPKM reporter is already rich in debt to moneylenders, not paid off yee</v>
      </c>
    </row>
    <row r="6845" ht="15.75" customHeight="1">
      <c r="A6845" s="2">
        <v>6848.0</v>
      </c>
      <c r="B6845" s="5" t="s">
        <v>12546</v>
      </c>
      <c r="C6845" s="6">
        <v>1.0</v>
      </c>
      <c r="D6845" s="9" t="s">
        <v>12547</v>
      </c>
      <c r="E6845" s="8" t="str">
        <f>IFERROR(__xludf.DUMMYFUNCTION("googletranslate(D6845,""id"",""en"")"),"The point is that the PPKM will continue to be extended until the new year, just a little so that the government impresses to give concessions.")</f>
        <v>The point is that the PPKM will continue to be extended until the new year, just a little so that the government impresses to give concessions.</v>
      </c>
    </row>
    <row r="6846" ht="15.75" customHeight="1">
      <c r="A6846" s="2">
        <v>6849.0</v>
      </c>
      <c r="B6846" s="5" t="s">
        <v>12548</v>
      </c>
      <c r="C6846" s="6">
        <v>1.0</v>
      </c>
      <c r="D6846" s="7" t="s">
        <v>12549</v>
      </c>
      <c r="E6846" s="8" t="str">
        <f>IFERROR(__xludf.DUMMYFUNCTION("googletranslate(D6846,""id"",""en"")"),"May PPKM extended but stop all salaries and facilities for all officials including DPR / MPR members. Let me feel the difficulty of little people make a living.")</f>
        <v>May PPKM extended but stop all salaries and facilities for all officials including DPR / MPR members. Let me feel the difficulty of little people make a living.</v>
      </c>
    </row>
    <row r="6847" ht="15.75" customHeight="1">
      <c r="A6847" s="2">
        <v>6850.0</v>
      </c>
      <c r="B6847" s="5" t="s">
        <v>12550</v>
      </c>
      <c r="C6847" s="6">
        <v>2.0</v>
      </c>
      <c r="D6847" s="7" t="s">
        <v>12551</v>
      </c>
      <c r="E6847" s="8" t="str">
        <f>IFERROR(__xludf.DUMMYFUNCTION("googletranslate(D6847,""id"",""en"")"),"Even though the PPKM is still extended")</f>
        <v>Even though the PPKM is still extended</v>
      </c>
    </row>
    <row r="6848" ht="15.75" customHeight="1">
      <c r="A6848" s="2">
        <v>6851.0</v>
      </c>
      <c r="B6848" s="5" t="s">
        <v>12552</v>
      </c>
      <c r="C6848" s="6">
        <v>2.0</v>
      </c>
      <c r="D6848" s="7" t="s">
        <v>12553</v>
      </c>
      <c r="E6848" s="8" t="str">
        <f>IFERROR(__xludf.DUMMYFUNCTION("googletranslate(D6848,""id"",""en"")"),"PPKM is complete, we have invented it")</f>
        <v>PPKM is complete, we have invented it</v>
      </c>
    </row>
    <row r="6849" ht="15.75" customHeight="1">
      <c r="A6849" s="2">
        <v>6852.0</v>
      </c>
      <c r="B6849" s="5" t="s">
        <v>12554</v>
      </c>
      <c r="C6849" s="6">
        <v>1.0</v>
      </c>
      <c r="D6849" s="7" t="s">
        <v>12555</v>
      </c>
      <c r="E6849" s="8" t="str">
        <f>IFERROR(__xludf.DUMMYFUNCTION("googletranslate(D6849,""id"",""en"")"),"Yes ... except Chinese TKA is free to enter even though it is PPKM Level")</f>
        <v>Yes ... except Chinese TKA is free to enter even though it is PPKM Level</v>
      </c>
    </row>
    <row r="6850" ht="15.75" customHeight="1">
      <c r="A6850" s="2">
        <v>6853.0</v>
      </c>
      <c r="B6850" s="5" t="s">
        <v>12556</v>
      </c>
      <c r="C6850" s="6">
        <v>1.0</v>
      </c>
      <c r="D6850" s="7" t="s">
        <v>12556</v>
      </c>
      <c r="E6850" s="8" t="str">
        <f>IFERROR(__xludf.DUMMYFUNCTION("googletranslate(D6850,""id"",""en"")"),"It's been the same as the PPKM ASW")</f>
        <v>It's been the same as the PPKM ASW</v>
      </c>
    </row>
    <row r="6851" ht="15.75" customHeight="1">
      <c r="A6851" s="2">
        <v>6854.0</v>
      </c>
      <c r="B6851" s="5" t="s">
        <v>12557</v>
      </c>
      <c r="C6851" s="6">
        <v>2.0</v>
      </c>
      <c r="D6851" s="9" t="s">
        <v>12558</v>
      </c>
      <c r="E6851" s="8" t="str">
        <f>IFERROR(__xludf.DUMMYFUNCTION("googletranslate(D6851,""id"",""en"")"),"Don't ever think about the Sunday Lockdown with the PPKM Moon more impact ...")</f>
        <v>Don't ever think about the Sunday Lockdown with the PPKM Moon more impact ...</v>
      </c>
    </row>
    <row r="6852" ht="15.75" customHeight="1">
      <c r="A6852" s="2">
        <v>6855.0</v>
      </c>
      <c r="B6852" s="5" t="s">
        <v>12559</v>
      </c>
      <c r="C6852" s="6">
        <v>1.0</v>
      </c>
      <c r="D6852" s="7" t="s">
        <v>12560</v>
      </c>
      <c r="E6852" s="8" t="str">
        <f>IFERROR(__xludf.DUMMYFUNCTION("googletranslate(D6852,""id"",""en"")"),"production slows down, shipments slow down the last month ... then told more patiently because the PPKM was extended")</f>
        <v>production slows down, shipments slow down the last month ... then told more patiently because the PPKM was extended</v>
      </c>
    </row>
    <row r="6853" ht="15.75" customHeight="1">
      <c r="A6853" s="2">
        <v>6856.0</v>
      </c>
      <c r="B6853" s="5" t="s">
        <v>12561</v>
      </c>
      <c r="C6853" s="6">
        <v>2.0</v>
      </c>
      <c r="D6853" s="9" t="s">
        <v>12562</v>
      </c>
      <c r="E6853" s="8" t="str">
        <f>IFERROR(__xludf.DUMMYFUNCTION("googletranslate(D6853,""id"",""en"")"),"Morning min, my passport expires and has not been able to renew because of the PPKM, what can it still be extended and there is no problem?")</f>
        <v>Morning min, my passport expires and has not been able to renew because of the PPKM, what can it still be extended and there is no problem?</v>
      </c>
    </row>
    <row r="6854" ht="15.75" customHeight="1">
      <c r="A6854" s="2">
        <v>6857.0</v>
      </c>
      <c r="B6854" s="5" t="s">
        <v>12563</v>
      </c>
      <c r="C6854" s="6">
        <v>2.0</v>
      </c>
      <c r="D6854" s="7" t="s">
        <v>12563</v>
      </c>
      <c r="E6854" s="8" t="str">
        <f>IFERROR(__xludf.DUMMYFUNCTION("googletranslate(D6854,""id"",""en"")"),"Ppkm extended to naughty km")</f>
        <v>Ppkm extended to naughty km</v>
      </c>
    </row>
    <row r="6855" ht="15.75" customHeight="1">
      <c r="A6855" s="2">
        <v>6858.0</v>
      </c>
      <c r="B6855" s="5" t="s">
        <v>12564</v>
      </c>
      <c r="C6855" s="6">
        <v>2.0</v>
      </c>
      <c r="D6855" s="7" t="s">
        <v>12564</v>
      </c>
      <c r="E6855" s="8" t="str">
        <f>IFERROR(__xludf.DUMMYFUNCTION("googletranslate(D6855,""id"",""en"")"),"These are already really a ppkm of pedes still pedes huh huh?")</f>
        <v>These are already really a ppkm of pedes still pedes huh huh?</v>
      </c>
    </row>
    <row r="6856" ht="15.75" customHeight="1">
      <c r="A6856" s="2">
        <v>6859.0</v>
      </c>
      <c r="B6856" s="5" t="s">
        <v>12565</v>
      </c>
      <c r="C6856" s="6">
        <v>2.0</v>
      </c>
      <c r="D6856" s="9" t="s">
        <v>12566</v>
      </c>
      <c r="E6856" s="8" t="str">
        <f>IFERROR(__xludf.DUMMYFUNCTION("googletranslate(D6856,""id"",""en"")"),"Pari Island long before PPKM ...")</f>
        <v>Pari Island long before PPKM ...</v>
      </c>
    </row>
    <row r="6857" ht="15.75" customHeight="1">
      <c r="A6857" s="2">
        <v>6860.0</v>
      </c>
      <c r="B6857" s="5" t="s">
        <v>12567</v>
      </c>
      <c r="C6857" s="6">
        <v>1.0</v>
      </c>
      <c r="D6857" s="10" t="s">
        <v>12567</v>
      </c>
      <c r="E6857" s="8" t="str">
        <f>IFERROR(__xludf.DUMMYFUNCTION("googletranslate(D6857,""id"",""en"")"),"Ppkm bastard ..")</f>
        <v>Ppkm bastard ..</v>
      </c>
    </row>
    <row r="6858" ht="15.75" customHeight="1">
      <c r="A6858" s="2">
        <v>6861.0</v>
      </c>
      <c r="B6858" s="5" t="s">
        <v>12568</v>
      </c>
      <c r="C6858" s="6">
        <v>3.0</v>
      </c>
      <c r="D6858" s="9" t="s">
        <v>12569</v>
      </c>
      <c r="E6858" s="8" t="str">
        <f>IFERROR(__xludf.DUMMYFUNCTION("googletranslate(D6858,""id"",""en"")"),"I obey the proced, obedient PSBB, obedient Micro PPKM, PPKM Levelan level, minimize the circle, complete vaccination, diligently wash your hands, diligently pray, out of the house if logistics needs, once went to the open, but the mask was always on ...")</f>
        <v>I obey the proced, obedient PSBB, obedient Micro PPKM, PPKM Levelan level, minimize the circle, complete vaccination, diligently wash your hands, diligently pray, out of the house if logistics needs, once went to the open, but the mask was always on ...</v>
      </c>
    </row>
    <row r="6859" ht="15.75" customHeight="1">
      <c r="A6859" s="2">
        <v>6862.0</v>
      </c>
      <c r="B6859" s="5" t="s">
        <v>12570</v>
      </c>
      <c r="C6859" s="6">
        <v>3.0</v>
      </c>
      <c r="D6859" s="9" t="s">
        <v>12571</v>
      </c>
      <c r="E6859" s="8" t="str">
        <f>IFERROR(__xludf.DUMMYFUNCTION("googletranslate(D6859,""id"",""en"")"),"Jamet people who don't understand religion are usually when there is a trial for sure the depression of the stress of Caci Maki as a lack of self-breathing tawhid, so worry about ""what to eat what? If the PPKM"" even though he forgot that the rezki was t"&amp;"he creator ""as long as you want to rezk")</f>
        <v>Jamet people who don't understand religion are usually when there is a trial for sure the depression of the stress of Caci Maki as a lack of self-breathing tawhid, so worry about "what to eat what? If the PPKM" even though he forgot that the rezki was the creator "as long as you want to rezk</v>
      </c>
    </row>
    <row r="6860" ht="15.75" customHeight="1">
      <c r="A6860" s="2">
        <v>6863.0</v>
      </c>
      <c r="B6860" s="5" t="s">
        <v>12572</v>
      </c>
      <c r="C6860" s="6">
        <v>2.0</v>
      </c>
      <c r="D6860" s="7" t="s">
        <v>12573</v>
      </c>
      <c r="E6860" s="8" t="str">
        <f>IFERROR(__xludf.DUMMYFUNCTION("googletranslate(D6860,""id"",""en"")"),"Still ppkm coy ... lbh afdhol funds to help people who need")</f>
        <v>Still ppkm coy ... lbh afdhol funds to help people who need</v>
      </c>
    </row>
    <row r="6861" ht="15.75" customHeight="1">
      <c r="A6861" s="2">
        <v>6864.0</v>
      </c>
      <c r="B6861" s="5" t="s">
        <v>12574</v>
      </c>
      <c r="C6861" s="6">
        <v>1.0</v>
      </c>
      <c r="D6861" s="9" t="s">
        <v>12575</v>
      </c>
      <c r="E6861" s="8" t="str">
        <f>IFERROR(__xludf.DUMMYFUNCTION("googletranslate(D6861,""id"",""en"")"),"Yes, the mah, if today there are many red red ones who take leave, continue to tour, continue the news of the clerk, continue the PPKM in length again, continue to be difficult again")</f>
        <v>Yes, the mah, if today there are many red red ones who take leave, continue to tour, continue the news of the clerk, continue the PPKM in length again, continue to be difficult again</v>
      </c>
    </row>
    <row r="6862" ht="15.75" customHeight="1">
      <c r="A6862" s="2">
        <v>6865.0</v>
      </c>
      <c r="B6862" s="5" t="s">
        <v>12576</v>
      </c>
      <c r="C6862" s="6">
        <v>1.0</v>
      </c>
      <c r="D6862" s="7" t="s">
        <v>12577</v>
      </c>
      <c r="E6862" s="8" t="str">
        <f>IFERROR(__xludf.DUMMYFUNCTION("googletranslate(D6862,""id"",""en"")"),"Since giving an ATM card, thank God, I got the bansos that a month, but now I don't even get it, where is the neighbor, I've been sad, I think it's wrong, what do you think it doesn't get a problem? We never have a problem right. ..ya kannn? but kakavaa.c"&amp;"urhat")</f>
        <v>Since giving an ATM card, thank God, I got the bansos that a month, but now I don't even get it, where is the neighbor, I've been sad, I think it's wrong, what do you think it doesn't get a problem? We never have a problem right. ..ya kannn? but kakavaa.curhat</v>
      </c>
    </row>
    <row r="6863" ht="15.75" customHeight="1">
      <c r="A6863" s="2">
        <v>6866.0</v>
      </c>
      <c r="B6863" s="5" t="s">
        <v>12578</v>
      </c>
      <c r="C6863" s="6">
        <v>1.0</v>
      </c>
      <c r="D6863" s="7" t="s">
        <v>12579</v>
      </c>
      <c r="E6863" s="8" t="str">
        <f>IFERROR(__xludf.DUMMYFUNCTION("googletranslate(D6863,""id"",""en"")"),"It's up to the PPKM to continue until anytime, but please alpha and indomart open until the hours of malem")</f>
        <v>It's up to the PPKM to continue until anytime, but please alpha and indomart open until the hours of malem</v>
      </c>
    </row>
    <row r="6864" ht="15.75" customHeight="1">
      <c r="A6864" s="2">
        <v>6867.0</v>
      </c>
      <c r="B6864" s="5" t="s">
        <v>12580</v>
      </c>
      <c r="C6864" s="6">
        <v>1.0</v>
      </c>
      <c r="D6864" s="7" t="s">
        <v>12580</v>
      </c>
      <c r="E6864" s="8" t="str">
        <f>IFERROR(__xludf.DUMMYFUNCTION("googletranslate(D6864,""id"",""en"")"),"PPKM Bangsatttttt")</f>
        <v>PPKM Bangsatttttt</v>
      </c>
    </row>
    <row r="6865" ht="15.75" customHeight="1">
      <c r="A6865" s="2">
        <v>6868.0</v>
      </c>
      <c r="B6865" s="5" t="s">
        <v>12581</v>
      </c>
      <c r="C6865" s="6">
        <v>2.0</v>
      </c>
      <c r="D6865" s="7" t="s">
        <v>12581</v>
      </c>
      <c r="E6865" s="8" t="str">
        <f>IFERROR(__xludf.DUMMYFUNCTION("googletranslate(D6865,""id"",""en"")"),"ppkm extended lg y")</f>
        <v>ppkm extended lg y</v>
      </c>
    </row>
    <row r="6866" ht="15.75" customHeight="1">
      <c r="A6866" s="2">
        <v>6869.0</v>
      </c>
      <c r="B6866" s="5" t="s">
        <v>12582</v>
      </c>
      <c r="C6866" s="6">
        <v>2.0</v>
      </c>
      <c r="D6866" s="9" t="s">
        <v>12583</v>
      </c>
      <c r="E6866" s="8" t="str">
        <f>IFERROR(__xludf.DUMMYFUNCTION("googletranslate(D6866,""id"",""en"")"),"Before making peace with PPKM CB made peace at the past")</f>
        <v>Before making peace with PPKM CB made peace at the past</v>
      </c>
    </row>
    <row r="6867" ht="15.75" customHeight="1">
      <c r="A6867" s="2">
        <v>6870.0</v>
      </c>
      <c r="B6867" s="5" t="s">
        <v>12584</v>
      </c>
      <c r="C6867" s="6">
        <v>2.0</v>
      </c>
      <c r="D6867" s="7" t="s">
        <v>12584</v>
      </c>
      <c r="E6867" s="8" t="str">
        <f>IFERROR(__xludf.DUMMYFUNCTION("googletranslate(D6867,""id"",""en"")"),"Extended PPKM continues to be rich in the active period of the starter card")</f>
        <v>Extended PPKM continues to be rich in the active period of the starter card</v>
      </c>
    </row>
    <row r="6868" ht="15.75" customHeight="1">
      <c r="A6868" s="2">
        <v>6871.0</v>
      </c>
      <c r="B6868" s="5" t="s">
        <v>12585</v>
      </c>
      <c r="C6868" s="6">
        <v>2.0</v>
      </c>
      <c r="D6868" s="9" t="s">
        <v>12586</v>
      </c>
      <c r="E6868" s="8" t="str">
        <f>IFERROR(__xludf.DUMMYFUNCTION("googletranslate(D6868,""id"",""en"")"),"severe ppkppertah muluh work")</f>
        <v>severe ppkppertah muluh work</v>
      </c>
    </row>
    <row r="6869" ht="15.75" customHeight="1">
      <c r="A6869" s="2">
        <v>6872.0</v>
      </c>
      <c r="B6869" s="5" t="s">
        <v>12587</v>
      </c>
      <c r="C6869" s="6">
        <v>2.0</v>
      </c>
      <c r="D6869" s="9" t="s">
        <v>12588</v>
      </c>
      <c r="E6869" s="8" t="str">
        <f>IFERROR(__xludf.DUMMYFUNCTION("googletranslate(D6869,""id"",""en"")"),"If it's not wrong, it's estimated to finish PPKM today, so tomorrow it's not PPKM tomorrow. Afraid when this Tuesday is a holiday at a vacation for a vacation, Gabole LG PPKM. so tomorrow, eh taunya extended")</f>
        <v>If it's not wrong, it's estimated to finish PPKM today, so tomorrow it's not PPKM tomorrow. Afraid when this Tuesday is a holiday at a vacation for a vacation, Gabole LG PPKM. so tomorrow, eh taunya extended</v>
      </c>
    </row>
    <row r="6870" ht="15.75" customHeight="1">
      <c r="A6870" s="2">
        <v>6873.0</v>
      </c>
      <c r="B6870" s="5" t="s">
        <v>12589</v>
      </c>
      <c r="C6870" s="6">
        <v>1.0</v>
      </c>
      <c r="D6870" s="7" t="s">
        <v>12590</v>
      </c>
      <c r="E6870" s="8" t="str">
        <f>IFERROR(__xludf.DUMMYFUNCTION("googletranslate(D6870,""id"",""en"")"),"Ppkm this is the most important even the public transportation is involved")</f>
        <v>Ppkm this is the most important even the public transportation is involved</v>
      </c>
    </row>
    <row r="6871" ht="15.75" customHeight="1">
      <c r="A6871" s="2">
        <v>6874.0</v>
      </c>
      <c r="B6871" s="5" t="s">
        <v>12591</v>
      </c>
      <c r="C6871" s="6">
        <v>1.0</v>
      </c>
      <c r="D6871" s="7" t="s">
        <v>12592</v>
      </c>
      <c r="E6871" s="8" t="str">
        <f>IFERROR(__xludf.DUMMYFUNCTION("googletranslate(D6871,""id"",""en"")"),"May ask for his prayer, hopefully the sender will immediately get an internship place. Internship on September until the blm can be blocked by PPKM + C0V d. Udh began to panic because I had got [cm]")</f>
        <v>May ask for his prayer, hopefully the sender will immediately get an internship place. Internship on September until the blm can be blocked by PPKM + C0V d. Udh began to panic because I had got [cm]</v>
      </c>
    </row>
    <row r="6872" ht="15.75" customHeight="1">
      <c r="A6872" s="2">
        <v>6875.0</v>
      </c>
      <c r="B6872" s="5" t="s">
        <v>12593</v>
      </c>
      <c r="C6872" s="6">
        <v>2.0</v>
      </c>
      <c r="D6872" s="7" t="s">
        <v>12593</v>
      </c>
      <c r="E6872" s="8" t="str">
        <f>IFERROR(__xludf.DUMMYFUNCTION("googletranslate(D6872,""id"",""en"")"),"[] Anjay Udh kgk ppkm again sayank.")</f>
        <v>[] Anjay Udh kgk ppkm again sayank.</v>
      </c>
    </row>
    <row r="6873" ht="15.75" customHeight="1">
      <c r="A6873" s="2">
        <v>6876.0</v>
      </c>
      <c r="B6873" s="5" t="s">
        <v>12594</v>
      </c>
      <c r="C6873" s="6">
        <v>2.0</v>
      </c>
      <c r="D6873" s="7" t="s">
        <v>12595</v>
      </c>
      <c r="E6873" s="8" t="str">
        <f>IFERROR(__xludf.DUMMYFUNCTION("googletranslate(D6873,""id"",""en"")"),"Congratulations Mr. Mr. Luhut Pak, well, sir, I keep working from the house because the PPKM is extended to August. Pukpuk until the date is you ...")</f>
        <v>Congratulations Mr. Mr. Luhut Pak, well, sir, I keep working from the house because the PPKM is extended to August. Pukpuk until the date is you ...</v>
      </c>
    </row>
    <row r="6874" ht="15.75" customHeight="1">
      <c r="A6874" s="2">
        <v>6877.0</v>
      </c>
      <c r="B6874" s="5" t="s">
        <v>12596</v>
      </c>
      <c r="C6874" s="6">
        <v>2.0</v>
      </c>
      <c r="D6874" s="7" t="s">
        <v>12596</v>
      </c>
      <c r="E6874" s="8" t="str">
        <f>IFERROR(__xludf.DUMMYFUNCTION("googletranslate(D6874,""id"",""en"")"),"KPKM extended smpe plusetan ppkm udh abis ...")</f>
        <v>KPKM extended smpe plusetan ppkm udh abis ...</v>
      </c>
    </row>
    <row r="6875" ht="15.75" customHeight="1">
      <c r="A6875" s="2">
        <v>6878.0</v>
      </c>
      <c r="B6875" s="5" t="s">
        <v>12597</v>
      </c>
      <c r="C6875" s="6">
        <v>1.0</v>
      </c>
      <c r="D6875" s="9" t="s">
        <v>12598</v>
      </c>
      <c r="E6875" s="8" t="str">
        <f>IFERROR(__xludf.DUMMYFUNCTION("googletranslate(D6875,""id"",""en"")"),"Rich, for who to steal please consciously !! Anjiiiing TP in that dream, I was degan and exclaimed wow. TRS is obedient, this is a pig thief. TRS Yaudah Kejangkep Tau Tau Celebration to Rich Market Malem But Afternoon Lunch Wkwkwk Gada PPKM PPKM Yes Hahah"&amp;"a TRS Rises")</f>
        <v>Rich, for who to steal please consciously !! Anjiiiing TP in that dream, I was degan and exclaimed wow. TRS is obedient, this is a pig thief. TRS Yaudah Kejangkep Tau Tau Celebration to Rich Market Malem But Afternoon Lunch Wkwkwk Gada PPKM PPKM Yes Hahaha TRS Rises</v>
      </c>
    </row>
    <row r="6876" ht="15.75" customHeight="1">
      <c r="A6876" s="2">
        <v>6879.0</v>
      </c>
      <c r="B6876" s="5" t="s">
        <v>12599</v>
      </c>
      <c r="C6876" s="6">
        <v>2.0</v>
      </c>
      <c r="D6876" s="7" t="s">
        <v>12600</v>
      </c>
      <c r="E6876" s="8" t="str">
        <f>IFERROR(__xludf.DUMMYFUNCTION("googletranslate(D6876,""id"",""en"")"),"he said so that it didn't go to the day, so that I steal the chance to lgi ppkm")</f>
        <v>he said so that it didn't go to the day, so that I steal the chance to lgi ppkm</v>
      </c>
    </row>
    <row r="6877" ht="15.75" customHeight="1">
      <c r="A6877" s="2">
        <v>6880.0</v>
      </c>
      <c r="B6877" s="5" t="s">
        <v>12601</v>
      </c>
      <c r="C6877" s="6">
        <v>1.0</v>
      </c>
      <c r="D6877" s="7" t="s">
        <v>12601</v>
      </c>
      <c r="E6877" s="8" t="str">
        <f>IFERROR(__xludf.DUMMYFUNCTION("googletranslate(D6877,""id"",""en"")"),"The PPKM is renewed and the government has losed gambling continues to be curious. The PPKM policy failed to continue to be extended again.")</f>
        <v>The PPKM is renewed and the government has losed gambling continues to be curious. The PPKM policy failed to continue to be extended again.</v>
      </c>
    </row>
    <row r="6878" ht="15.75" customHeight="1">
      <c r="A6878" s="2">
        <v>6881.0</v>
      </c>
      <c r="B6878" s="5" t="s">
        <v>12602</v>
      </c>
      <c r="C6878" s="6">
        <v>2.0</v>
      </c>
      <c r="D6878" s="7" t="s">
        <v>12602</v>
      </c>
      <c r="E6878" s="8" t="str">
        <f>IFERROR(__xludf.DUMMYFUNCTION("googletranslate(D6878,""id"",""en"")"),"Without Google, it knows the ppkm")</f>
        <v>Without Google, it knows the ppkm</v>
      </c>
    </row>
    <row r="6879" ht="15.75" customHeight="1">
      <c r="A6879" s="2">
        <v>6882.0</v>
      </c>
      <c r="B6879" s="5" t="s">
        <v>12603</v>
      </c>
      <c r="C6879" s="6">
        <v>3.0</v>
      </c>
      <c r="D6879" s="7" t="s">
        <v>12604</v>
      </c>
      <c r="E6879" s="8" t="str">
        <f>IFERROR(__xludf.DUMMYFUNCTION("googletranslate(D6879,""id"",""en"")"),"I hope this is the flying PPKM. For my sodara follow the suggestion of the population for the goodness of the shared. This pandemic can be lost from the earth ... !! Megawee's spirit")</f>
        <v>I hope this is the flying PPKM. For my sodara follow the suggestion of the population for the goodness of the shared. This pandemic can be lost from the earth ... !! Megawee's spirit</v>
      </c>
    </row>
    <row r="6880" ht="15.75" customHeight="1">
      <c r="A6880" s="2">
        <v>6883.0</v>
      </c>
      <c r="B6880" s="5" t="s">
        <v>12605</v>
      </c>
      <c r="C6880" s="6">
        <v>1.0</v>
      </c>
      <c r="D6880" s="9" t="s">
        <v>12606</v>
      </c>
      <c r="E6880" s="8" t="str">
        <f>IFERROR(__xludf.DUMMYFUNCTION("googletranslate(D6880,""id"",""en"")"),"Because if it's rich, it's based on the quarantine law, they must be responsible for eating citizens + livestock affected by Lockdown NAD. well the government gamau gt so use a ppmm strategy of a volume")</f>
        <v>Because if it's rich, it's based on the quarantine law, they must be responsible for eating citizens + livestock affected by Lockdown NAD. well the government gamau gt so use a ppmm strategy of a volume</v>
      </c>
    </row>
    <row r="6881" ht="15.75" customHeight="1">
      <c r="A6881" s="2">
        <v>6884.0</v>
      </c>
      <c r="B6881" s="5" t="s">
        <v>12607</v>
      </c>
      <c r="C6881" s="6">
        <v>2.0</v>
      </c>
      <c r="D6881" s="7" t="s">
        <v>12608</v>
      </c>
      <c r="E6881" s="8" t="str">
        <f>IFERROR(__xludf.DUMMYFUNCTION("googletranslate(D6881,""id"",""en"")"),"PPKM extended, remember extended or not extended songs? Extended")</f>
        <v>PPKM extended, remember extended or not extended songs? Extended</v>
      </c>
    </row>
    <row r="6882" ht="15.75" customHeight="1">
      <c r="A6882" s="2">
        <v>6885.0</v>
      </c>
      <c r="B6882" s="5" t="s">
        <v>12609</v>
      </c>
      <c r="C6882" s="6">
        <v>1.0</v>
      </c>
      <c r="D6882" s="7" t="s">
        <v>12610</v>
      </c>
      <c r="E6882" s="8" t="str">
        <f>IFERROR(__xludf.DUMMYFUNCTION("googletranslate(D6882,""id"",""en"")"),"I took leave mo home, eh ppkm again")</f>
        <v>I took leave mo home, eh ppkm again</v>
      </c>
    </row>
    <row r="6883" ht="15.75" customHeight="1">
      <c r="A6883" s="2">
        <v>6886.0</v>
      </c>
      <c r="B6883" s="5" t="s">
        <v>12611</v>
      </c>
      <c r="C6883" s="6">
        <v>1.0</v>
      </c>
      <c r="D6883" s="9" t="s">
        <v>12612</v>
      </c>
      <c r="E6883" s="8" t="str">
        <f>IFERROR(__xludf.DUMMYFUNCTION("googletranslate(D6883,""id"",""en"")"),"Just say PPKM to the end of the year, or the end of the position. It's really complicated like the bureaucracy. How come this falls less focused on the nanganin pandemic actually focuses on making an announcement.")</f>
        <v>Just say PPKM to the end of the year, or the end of the position. It's really complicated like the bureaucracy. How come this falls less focused on the nanganin pandemic actually focuses on making an announcement.</v>
      </c>
    </row>
    <row r="6884" ht="15.75" customHeight="1">
      <c r="A6884" s="2">
        <v>6887.0</v>
      </c>
      <c r="B6884" s="5" t="s">
        <v>12613</v>
      </c>
      <c r="C6884" s="6">
        <v>2.0</v>
      </c>
      <c r="D6884" s="9" t="s">
        <v>12614</v>
      </c>
      <c r="E6884" s="8" t="str">
        <f>IFERROR(__xludf.DUMMYFUNCTION("googletranslate(D6884,""id"",""en"")"),"Means the news circulating that the actual PPKM planned until before August was true well, only using a repayment strategy, if it was announced the duration as long as it could make turmoil in the community ... let's survive more weeks ...")</f>
        <v>Means the news circulating that the actual PPKM planned until before August was true well, only using a repayment strategy, if it was announced the duration as long as it could make turmoil in the community ... let's survive more weeks ...</v>
      </c>
    </row>
    <row r="6885" ht="15.75" customHeight="1">
      <c r="A6885" s="2">
        <v>6888.0</v>
      </c>
      <c r="B6885" s="5" t="s">
        <v>12615</v>
      </c>
      <c r="C6885" s="6">
        <v>3.0</v>
      </c>
      <c r="D6885" s="9" t="s">
        <v>12616</v>
      </c>
      <c r="E6885" s="8" t="str">
        <f>IFERROR(__xludf.DUMMYFUNCTION("googletranslate(D6885,""id"",""en"")"),"Good morning, some are shining but not the sun! ppkm extended or not don't forget we must still work and keep your health nike u")</f>
        <v>Good morning, some are shining but not the sun! ppkm extended or not don't forget we must still work and keep your health nike u</v>
      </c>
    </row>
    <row r="6886" ht="15.75" customHeight="1">
      <c r="A6886" s="2">
        <v>6889.0</v>
      </c>
      <c r="B6886" s="5" t="s">
        <v>12617</v>
      </c>
      <c r="C6886" s="6">
        <v>2.0</v>
      </c>
      <c r="D6886" s="7" t="s">
        <v>12618</v>
      </c>
      <c r="E6886" s="8" t="str">
        <f>IFERROR(__xludf.DUMMYFUNCTION("googletranslate(D6886,""id"",""en"")"),"Ppkm until September, gradually ... aka diecer per week ... trust me ...")</f>
        <v>Ppkm until September, gradually ... aka diecer per week ... trust me ...</v>
      </c>
    </row>
    <row r="6887" ht="15.75" customHeight="1">
      <c r="A6887" s="2">
        <v>6890.0</v>
      </c>
      <c r="B6887" s="5" t="s">
        <v>12619</v>
      </c>
      <c r="C6887" s="6">
        <v>2.0</v>
      </c>
      <c r="D6887" s="7" t="s">
        <v>12620</v>
      </c>
      <c r="E6887" s="8" t="str">
        <f>IFERROR(__xludf.DUMMYFUNCTION("googletranslate(D6887,""id"",""en"")"),"Getting adults, the more familiar with extended PPKM sentences")</f>
        <v>Getting adults, the more familiar with extended PPKM sentences</v>
      </c>
    </row>
    <row r="6888" ht="15.75" customHeight="1">
      <c r="A6888" s="2">
        <v>6891.0</v>
      </c>
      <c r="B6888" s="5" t="s">
        <v>12621</v>
      </c>
      <c r="C6888" s="6">
        <v>1.0</v>
      </c>
      <c r="D6888" s="7" t="s">
        <v>12622</v>
      </c>
      <c r="E6888" s="8" t="str">
        <f>IFERROR(__xludf.DUMMYFUNCTION("googletranslate(D6888,""id"",""en"")"),"cry because PPKM extends it")</f>
        <v>cry because PPKM extends it</v>
      </c>
    </row>
    <row r="6889" ht="15.75" customHeight="1">
      <c r="A6889" s="2">
        <v>6892.0</v>
      </c>
      <c r="B6889" s="5" t="s">
        <v>12623</v>
      </c>
      <c r="C6889" s="6">
        <v>2.0</v>
      </c>
      <c r="D6889" s="7" t="s">
        <v>12624</v>
      </c>
      <c r="E6889" s="8" t="str">
        <f>IFERROR(__xludf.DUMMYFUNCTION("googletranslate(D6889,""id"",""en"")"),"PPKM level, what is the PPKM boncabe?")</f>
        <v>PPKM level, what is the PPKM boncabe?</v>
      </c>
    </row>
    <row r="6890" ht="15.75" customHeight="1">
      <c r="A6890" s="2">
        <v>6893.0</v>
      </c>
      <c r="B6890" s="5" t="s">
        <v>12625</v>
      </c>
      <c r="C6890" s="6">
        <v>1.0</v>
      </c>
      <c r="D6890" s="9" t="s">
        <v>12626</v>
      </c>
      <c r="E6890" s="8" t="str">
        <f>IFERROR(__xludf.DUMMYFUNCTION("googletranslate(D6890,""id"",""en"")"),"Examples of stupid leaders, lo nerapin ppkm there is a solution not to eat the people? Anjim is right.")</f>
        <v>Examples of stupid leaders, lo nerapin ppkm there is a solution not to eat the people? Anjim is right.</v>
      </c>
    </row>
    <row r="6891" ht="15.75" customHeight="1">
      <c r="A6891" s="2">
        <v>6894.0</v>
      </c>
      <c r="B6891" s="5" t="s">
        <v>12627</v>
      </c>
      <c r="C6891" s="6">
        <v>2.0</v>
      </c>
      <c r="D6891" s="10" t="s">
        <v>12628</v>
      </c>
      <c r="E6891" s="8" t="str">
        <f>IFERROR(__xludf.DUMMYFUNCTION("googletranslate(D6891,""id"",""en"")"),"PPKM lasts")</f>
        <v>PPKM lasts</v>
      </c>
    </row>
    <row r="6892" ht="15.75" customHeight="1">
      <c r="A6892" s="2">
        <v>6895.0</v>
      </c>
      <c r="B6892" s="5" t="s">
        <v>12629</v>
      </c>
      <c r="C6892" s="6">
        <v>1.0</v>
      </c>
      <c r="D6892" s="7" t="s">
        <v>12629</v>
      </c>
      <c r="E6892" s="8" t="str">
        <f>IFERROR(__xludf.DUMMYFUNCTION("googletranslate(D6892,""id"",""en"")"),"PPKM is extended again, smart momil is the dog.")</f>
        <v>PPKM is extended again, smart momil is the dog.</v>
      </c>
    </row>
    <row r="6893" ht="15.75" customHeight="1">
      <c r="A6893" s="2">
        <v>6896.0</v>
      </c>
      <c r="B6893" s="5" t="s">
        <v>12630</v>
      </c>
      <c r="C6893" s="6">
        <v>2.0</v>
      </c>
      <c r="D6893" s="7" t="s">
        <v>12630</v>
      </c>
      <c r="E6893" s="8" t="str">
        <f>IFERROR(__xludf.DUMMYFUNCTION("googletranslate(D6893,""id"",""en"")"),"Ppkm ni why isn't it just a month")</f>
        <v>Ppkm ni why isn't it just a month</v>
      </c>
    </row>
    <row r="6894" ht="15.75" customHeight="1">
      <c r="A6894" s="2">
        <v>6897.0</v>
      </c>
      <c r="B6894" s="5" t="s">
        <v>12631</v>
      </c>
      <c r="C6894" s="6">
        <v>1.0</v>
      </c>
      <c r="D6894" s="9" t="s">
        <v>12631</v>
      </c>
      <c r="E6894" s="8" t="str">
        <f>IFERROR(__xludf.DUMMYFUNCTION("googletranslate(D6894,""id"",""en"")"),"PPKM extended. Original I haven't met a long time ago.")</f>
        <v>PPKM extended. Original I haven't met a long time ago.</v>
      </c>
    </row>
    <row r="6895" ht="15.75" customHeight="1">
      <c r="A6895" s="2">
        <v>6898.0</v>
      </c>
      <c r="B6895" s="5" t="s">
        <v>12632</v>
      </c>
      <c r="C6895" s="6">
        <v>2.0</v>
      </c>
      <c r="D6895" s="7" t="s">
        <v>12633</v>
      </c>
      <c r="E6895" s="8" t="str">
        <f>IFERROR(__xludf.DUMMYFUNCTION("googletranslate(D6895,""id"",""en"")"),"If it's near at the PPKM, which is reportedly open, but it is limited to the capacity%")</f>
        <v>If it's near at the PPKM, which is reportedly open, but it is limited to the capacity%</v>
      </c>
    </row>
    <row r="6896" ht="15.75" customHeight="1">
      <c r="A6896" s="2">
        <v>6899.0</v>
      </c>
      <c r="B6896" s="5" t="s">
        <v>12634</v>
      </c>
      <c r="C6896" s="6">
        <v>3.0</v>
      </c>
      <c r="D6896" s="7" t="s">
        <v>12635</v>
      </c>
      <c r="E6896" s="8" t="str">
        <f>IFERROR(__xludf.DUMMYFUNCTION("googletranslate(D6896,""id"",""en"")"),"Extension of PPKM to decide on the spread of Covid-19 safe halal")</f>
        <v>Extension of PPKM to decide on the spread of Covid-19 safe halal</v>
      </c>
    </row>
    <row r="6897" ht="15.75" customHeight="1">
      <c r="A6897" s="2">
        <v>6900.0</v>
      </c>
      <c r="B6897" s="5" t="s">
        <v>12636</v>
      </c>
      <c r="C6897" s="6">
        <v>2.0</v>
      </c>
      <c r="D6897" s="7" t="s">
        <v>12637</v>
      </c>
      <c r="E6897" s="8" t="str">
        <f>IFERROR(__xludf.DUMMYFUNCTION("googletranslate(D6897,""id"",""en"")"),"Tangsel.Lagi feel over time PPKM which is some reason until the end. Hopefully it is brewed every day of his coffee and when it runs out the coffee ends as well as his PPKM.")</f>
        <v>Tangsel.Lagi feel over time PPKM which is some reason until the end. Hopefully it is brewed every day of his coffee and when it runs out the coffee ends as well as his PPKM.</v>
      </c>
    </row>
    <row r="6898" ht="15.75" customHeight="1">
      <c r="A6898" s="2">
        <v>6901.0</v>
      </c>
      <c r="B6898" s="5" t="s">
        <v>12638</v>
      </c>
      <c r="C6898" s="6">
        <v>2.0</v>
      </c>
      <c r="D6898" s="7" t="s">
        <v>12639</v>
      </c>
      <c r="E6898" s="8" t="str">
        <f>IFERROR(__xludf.DUMMYFUNCTION("googletranslate(D6898,""id"",""en"")"),"Extended PPKM dilemma .. Healthpandemic? economy?")</f>
        <v>Extended PPKM dilemma .. Healthpandemic? economy?</v>
      </c>
    </row>
    <row r="6899" ht="15.75" customHeight="1">
      <c r="A6899" s="2">
        <v>6902.0</v>
      </c>
      <c r="B6899" s="5" t="s">
        <v>12640</v>
      </c>
      <c r="C6899" s="6">
        <v>3.0</v>
      </c>
      <c r="D6899" s="7" t="s">
        <v>12641</v>
      </c>
      <c r="E6899" s="8" t="str">
        <f>IFERROR(__xludf.DUMMYFUNCTION("googletranslate(D6899,""id"",""en"")"),"In the extension of this PPKM ... hopefully Sodara ""... Friends"" or citizens who have lived Isoman can be becoming patient ... Taqwa ... tawakal ... ta'dzim ... tawadzu 'and istiqomah In worship ... Aamiin YRA")</f>
        <v>In the extension of this PPKM ... hopefully Sodara "... Friends" or citizens who have lived Isoman can be becoming patient ... Taqwa ... tawakal ... ta'dzim ... tawadzu 'and istiqomah In worship ... Aamiin YRA</v>
      </c>
    </row>
    <row r="6900" ht="15.75" customHeight="1">
      <c r="A6900" s="2">
        <v>6903.0</v>
      </c>
      <c r="B6900" s="5" t="s">
        <v>12642</v>
      </c>
      <c r="C6900" s="6">
        <v>1.0</v>
      </c>
      <c r="D6900" s="9" t="s">
        <v>12643</v>
      </c>
      <c r="E6900" s="8" t="str">
        <f>IFERROR(__xludf.DUMMYFUNCTION("googletranslate(D6900,""id"",""en"")"),"I'm busy assignment, can't gather especially still ppkm, I can stress njinkkk it can't be aware of dlu, this will be woyyy I need to focus, so I'm in the chair of the chairman, but the logic of the logic logic")</f>
        <v>I'm busy assignment, can't gather especially still ppkm, I can stress njinkkk it can't be aware of dlu, this will be woyyy I need to focus, so I'm in the chair of the chairman, but the logic of the logic logic</v>
      </c>
    </row>
    <row r="6901" ht="15.75" customHeight="1">
      <c r="A6901" s="2">
        <v>6904.0</v>
      </c>
      <c r="B6901" s="5" t="s">
        <v>12644</v>
      </c>
      <c r="C6901" s="6">
        <v>2.0</v>
      </c>
      <c r="D6901" s="9" t="s">
        <v>12645</v>
      </c>
      <c r="E6901" s="8" t="str">
        <f>IFERROR(__xludf.DUMMYFUNCTION("googletranslate(D6901,""id"",""en"")"),"Follow it, it's pretty good for buying uduk rice at the time of PPKM")</f>
        <v>Follow it, it's pretty good for buying uduk rice at the time of PPKM</v>
      </c>
    </row>
    <row r="6902" ht="15.75" customHeight="1">
      <c r="A6902" s="2">
        <v>6905.0</v>
      </c>
      <c r="B6902" s="5" t="s">
        <v>12646</v>
      </c>
      <c r="C6902" s="6">
        <v>2.0</v>
      </c>
      <c r="D6902" s="9" t="s">
        <v>12647</v>
      </c>
      <c r="E6902" s="8" t="str">
        <f>IFERROR(__xludf.DUMMYFUNCTION("googletranslate(D6902,""id"",""en"")"),"The PPKM was still extended until the LDR was originally loveyou, the ending was Leaveyou")</f>
        <v>The PPKM was still extended until the LDR was originally loveyou, the ending was Leaveyou</v>
      </c>
    </row>
    <row r="6903" ht="15.75" customHeight="1">
      <c r="A6903" s="2">
        <v>6906.0</v>
      </c>
      <c r="B6903" s="5" t="s">
        <v>12648</v>
      </c>
      <c r="C6903" s="6">
        <v>2.0</v>
      </c>
      <c r="D6903" s="7" t="s">
        <v>12649</v>
      </c>
      <c r="E6903" s="8" t="str">
        <f>IFERROR(__xludf.DUMMYFUNCTION("googletranslate(D6903,""id"",""en"")"),"Ppkm slowly I slowly miss you ...")</f>
        <v>Ppkm slowly I slowly miss you ...</v>
      </c>
    </row>
    <row r="6904" ht="15.75" customHeight="1">
      <c r="A6904" s="2">
        <v>6907.0</v>
      </c>
      <c r="B6904" s="5" t="s">
        <v>12650</v>
      </c>
      <c r="C6904" s="6">
        <v>2.0</v>
      </c>
      <c r="D6904" s="9" t="s">
        <v>12651</v>
      </c>
      <c r="E6904" s="8" t="str">
        <f>IFERROR(__xludf.DUMMYFUNCTION("googletranslate(D6904,""id"",""en"")"),"yyyyyy until I was married, it wasn't finished")</f>
        <v>yyyyyy until I was married, it wasn't finished</v>
      </c>
    </row>
    <row r="6905" ht="15.75" customHeight="1">
      <c r="A6905" s="2">
        <v>6908.0</v>
      </c>
      <c r="B6905" s="5" t="s">
        <v>12652</v>
      </c>
      <c r="C6905" s="6">
        <v>1.0</v>
      </c>
      <c r="D6905" s="9" t="s">
        <v>12653</v>
      </c>
      <c r="E6905" s="8" t="str">
        <f>IFERROR(__xludf.DUMMYFUNCTION("googletranslate(D6905,""id"",""en"")"),"Why doesn't the total lockdown of Benerbener no life outside the house anyway just take a week, it must be red, covid than there is a ppkm but this is a waste of time ...")</f>
        <v>Why doesn't the total lockdown of Benerbener no life outside the house anyway just take a week, it must be red, covid than there is a ppkm but this is a waste of time ...</v>
      </c>
    </row>
    <row r="6906" ht="15.75" customHeight="1">
      <c r="A6906" s="2">
        <v>6909.0</v>
      </c>
      <c r="B6906" s="5" t="s">
        <v>12654</v>
      </c>
      <c r="C6906" s="6">
        <v>3.0</v>
      </c>
      <c r="D6906" s="9" t="s">
        <v>12655</v>
      </c>
      <c r="E6906" s="8" t="str">
        <f>IFERROR(__xludf.DUMMYFUNCTION("googletranslate(D6906,""id"",""en"")"),"In this new hijri, it is fitting for us to be self-feet, especially during the pandemitak we should be worried at the continuation of the PPKm, we must be surprised if the PPKM is not extended; BS MULU GEGER GEDEN KALO NDADAN PPKM NIVE; characteristic of "&amp;"Govt. Kuvuqiland BS Sirna")</f>
        <v>In this new hijri, it is fitting for us to be self-feet, especially during the pandemitak we should be worried at the continuation of the PPKm, we must be surprised if the PPKM is not extended; BS MULU GEGER GEDEN KALO NDADAN PPKM NIVE; characteristic of Govt. Kuvuqiland BS Sirna</v>
      </c>
    </row>
    <row r="6907" ht="15.75" customHeight="1">
      <c r="A6907" s="2">
        <v>6910.0</v>
      </c>
      <c r="B6907" s="5" t="s">
        <v>12656</v>
      </c>
      <c r="C6907" s="6">
        <v>1.0</v>
      </c>
      <c r="D6907" s="9" t="s">
        <v>12657</v>
      </c>
      <c r="E6907" s="8" t="str">
        <f>IFERROR(__xludf.DUMMYFUNCTION("googletranslate(D6907,""id"",""en"")"),"Don't like PPKM because I go home from the Malem Clinic, I can't stop by Indomart for refreshing")</f>
        <v>Don't like PPKM because I go home from the Malem Clinic, I can't stop by Indomart for refreshing</v>
      </c>
    </row>
    <row r="6908" ht="15.75" customHeight="1">
      <c r="A6908" s="2">
        <v>6911.0</v>
      </c>
      <c r="B6908" s="5" t="s">
        <v>12658</v>
      </c>
      <c r="C6908" s="6">
        <v>2.0</v>
      </c>
      <c r="D6908" s="7" t="s">
        <v>12659</v>
      </c>
      <c r="E6908" s="8" t="str">
        <f>IFERROR(__xludf.DUMMYFUNCTION("googletranslate(D6908,""id"",""en"")"),"PPKM is extended again, but our story is not.")</f>
        <v>PPKM is extended again, but our story is not.</v>
      </c>
    </row>
    <row r="6909" ht="15.75" customHeight="1">
      <c r="A6909" s="2">
        <v>6912.0</v>
      </c>
      <c r="B6909" s="5" t="s">
        <v>12660</v>
      </c>
      <c r="C6909" s="6">
        <v>2.0</v>
      </c>
      <c r="D6909" s="7" t="s">
        <v>12660</v>
      </c>
      <c r="E6909" s="8" t="str">
        <f>IFERROR(__xludf.DUMMYFUNCTION("googletranslate(D6909,""id"",""en"")"),"extended continues yes ppkm")</f>
        <v>extended continues yes ppkm</v>
      </c>
    </row>
    <row r="6910" ht="15.75" customHeight="1">
      <c r="A6910" s="2">
        <v>6913.0</v>
      </c>
      <c r="B6910" s="5" t="s">
        <v>12661</v>
      </c>
      <c r="C6910" s="6">
        <v>1.0</v>
      </c>
      <c r="D6910" s="7" t="s">
        <v>12661</v>
      </c>
      <c r="E6910" s="8" t="str">
        <f>IFERROR(__xludf.DUMMYFUNCTION("googletranslate(D6910,""id"",""en"")"),"Sorry for Pak PPKM, don't be extended. Later, my ex-marriage doesn't have the jedag jedug, it's not cool.")</f>
        <v>Sorry for Pak PPKM, don't be extended. Later, my ex-marriage doesn't have the jedag jedug, it's not cool.</v>
      </c>
    </row>
    <row r="6911" ht="15.75" customHeight="1">
      <c r="A6911" s="2">
        <v>6914.0</v>
      </c>
      <c r="B6911" s="5" t="s">
        <v>12662</v>
      </c>
      <c r="C6911" s="6">
        <v>3.0</v>
      </c>
      <c r="D6911" s="9" t="s">
        <v>12663</v>
      </c>
      <c r="E6911" s="8" t="str">
        <f>IFERROR(__xludf.DUMMYFUNCTION("googletranslate(D6911,""id"",""en"")"),"Go home jogging. Must be healthy in a sick country situation. Skip news that makes mentally unhealthy, then impact on the stomach. I focus again on Messi who wants to join PSMS Medan. Abis PPKM he arrived at Kuala Namu")</f>
        <v>Go home jogging. Must be healthy in a sick country situation. Skip news that makes mentally unhealthy, then impact on the stomach. I focus again on Messi who wants to join PSMS Medan. Abis PPKM he arrived at Kuala Namu</v>
      </c>
    </row>
    <row r="6912" ht="15.75" customHeight="1">
      <c r="A6912" s="2">
        <v>6915.0</v>
      </c>
      <c r="B6912" s="5" t="s">
        <v>12664</v>
      </c>
      <c r="C6912" s="6">
        <v>2.0</v>
      </c>
      <c r="D6912" s="9" t="s">
        <v>12665</v>
      </c>
      <c r="E6912" s="8" t="str">
        <f>IFERROR(__xludf.DUMMYFUNCTION("googletranslate(D6912,""id"",""en"")"),"This PPKM is continued what isn't it ???? If continued until when ????")</f>
        <v>This PPKM is continued what isn't it ???? If continued until when ????</v>
      </c>
    </row>
    <row r="6913" ht="15.75" customHeight="1">
      <c r="A6913" s="2">
        <v>6916.0</v>
      </c>
      <c r="B6913" s="5" t="s">
        <v>12666</v>
      </c>
      <c r="C6913" s="6">
        <v>1.0</v>
      </c>
      <c r="D6913" s="7" t="s">
        <v>12666</v>
      </c>
      <c r="E6913" s="8" t="str">
        <f>IFERROR(__xludf.DUMMYFUNCTION("googletranslate(D6913,""id"",""en"")"),"PPKM is extended, our relationship is increasingly blocked by distance.")</f>
        <v>PPKM is extended, our relationship is increasingly blocked by distance.</v>
      </c>
    </row>
    <row r="6914" ht="15.75" customHeight="1">
      <c r="A6914" s="2">
        <v>6917.0</v>
      </c>
      <c r="B6914" s="5" t="s">
        <v>12667</v>
      </c>
      <c r="C6914" s="6">
        <v>1.0</v>
      </c>
      <c r="D6914" s="9" t="s">
        <v>12667</v>
      </c>
      <c r="E6914" s="8" t="str">
        <f>IFERROR(__xludf.DUMMYFUNCTION("googletranslate(D6914,""id"",""en"")"),"Who suggested using the term ""level"" in the PPKM rule is definitely now like that ""aying really cool cave gening tea anying""")</f>
        <v>Who suggested using the term "level" in the PPKM rule is definitely now like that "aying really cool cave gening tea anying"</v>
      </c>
    </row>
    <row r="6915" ht="15.75" customHeight="1">
      <c r="A6915" s="2">
        <v>6918.0</v>
      </c>
      <c r="B6915" s="5" t="s">
        <v>12668</v>
      </c>
      <c r="C6915" s="6">
        <v>1.0</v>
      </c>
      <c r="D6915" s="9" t="s">
        <v>12669</v>
      </c>
      <c r="E6915" s="8" t="str">
        <f>IFERROR(__xludf.DUMMYFUNCTION("googletranslate(D6915,""id"",""en"")"),"It's essentially dilogika just now the PPKM will be extended continuously, because anything that harms the state is definitely prohibited and restricted, the country needs money because of the elite and preacher who has power.")</f>
        <v>It's essentially dilogika just now the PPKM will be extended continuously, because anything that harms the state is definitely prohibited and restricted, the country needs money because of the elite and preacher who has power.</v>
      </c>
    </row>
    <row r="6916" ht="15.75" customHeight="1">
      <c r="A6916" s="2">
        <v>6919.0</v>
      </c>
      <c r="B6916" s="5" t="s">
        <v>12670</v>
      </c>
      <c r="C6916" s="6">
        <v>3.0</v>
      </c>
      <c r="D6916" s="9" t="s">
        <v>12671</v>
      </c>
      <c r="E6916" s="8" t="str">
        <f>IFERROR(__xludf.DUMMYFUNCTION("googletranslate(D6916,""id"",""en"")"),"Don't forget to start your day by talking about Naspleeett, Bismilah ppkm jd license light")</f>
        <v>Don't forget to start your day by talking about Naspleeett, Bismilah ppkm jd license light</v>
      </c>
    </row>
    <row r="6917" ht="15.75" customHeight="1">
      <c r="A6917" s="2">
        <v>6920.0</v>
      </c>
      <c r="B6917" s="5" t="s">
        <v>12672</v>
      </c>
      <c r="C6917" s="6">
        <v>1.0</v>
      </c>
      <c r="D6917" s="9" t="s">
        <v>12673</v>
      </c>
      <c r="E6917" s="8" t="str">
        <f>IFERROR(__xludf.DUMMYFUNCTION("googletranslate(D6917,""id"",""en"")"),"PPKM is not because of emergency emergency affairs, then there are TKA Cayna then come during the PPKM, what is true?")</f>
        <v>PPKM is not because of emergency emergency affairs, then there are TKA Cayna then come during the PPKM, what is true?</v>
      </c>
    </row>
    <row r="6918" ht="15.75" customHeight="1">
      <c r="A6918" s="2">
        <v>6921.0</v>
      </c>
      <c r="B6918" s="5" t="s">
        <v>12674</v>
      </c>
      <c r="C6918" s="6">
        <v>1.0</v>
      </c>
      <c r="D6918" s="9" t="s">
        <v>12675</v>
      </c>
      <c r="E6918" s="8" t="str">
        <f>IFERROR(__xludf.DUMMYFUNCTION("googletranslate(D6918,""id"",""en"")"),"It's a frequent date on the planting with the word ""Later I'll find finished PPKM Well"" and always fails because it's increasingly extended: ')")</f>
        <v>It's a frequent date on the planting with the word "Later I'll find finished PPKM Well" and always fails because it's increasingly extended: ')</v>
      </c>
    </row>
    <row r="6919" ht="15.75" customHeight="1">
      <c r="A6919" s="2">
        <v>6922.0</v>
      </c>
      <c r="B6919" s="5" t="s">
        <v>12676</v>
      </c>
      <c r="C6919" s="6">
        <v>2.0</v>
      </c>
      <c r="D6919" s="7" t="s">
        <v>12677</v>
      </c>
      <c r="E6919" s="8" t="str">
        <f>IFERROR(__xludf.DUMMYFUNCTION("googletranslate(D6919,""id"",""en"")"),"But if KY today is Tuesday, the difference is transferred to Wednesday what? don't you hope too? TRS PPKM is not gabisa homecoming?")</f>
        <v>But if KY today is Tuesday, the difference is transferred to Wednesday what? don't you hope too? TRS PPKM is not gabisa homecoming?</v>
      </c>
    </row>
    <row r="6920" ht="15.75" customHeight="1">
      <c r="A6920" s="2">
        <v>6923.0</v>
      </c>
      <c r="B6920" s="5" t="s">
        <v>12678</v>
      </c>
      <c r="C6920" s="6">
        <v>1.0</v>
      </c>
      <c r="D6920" s="9" t="s">
        <v>12678</v>
      </c>
      <c r="E6920" s="8" t="str">
        <f>IFERROR(__xludf.DUMMYFUNCTION("googletranslate(D6920,""id"",""en"")"),"Yes, the SBNR is quite light heavily with Dine In policy. But it's rather ENEG, the PPKM is not a matter of hanging out, but the access road is closed")</f>
        <v>Yes, the SBNR is quite light heavily with Dine In policy. But it's rather ENEG, the PPKM is not a matter of hanging out, but the access road is closed</v>
      </c>
    </row>
    <row r="6921" ht="15.75" customHeight="1">
      <c r="A6921" s="2">
        <v>6924.0</v>
      </c>
      <c r="B6921" s="5" t="s">
        <v>12679</v>
      </c>
      <c r="C6921" s="6">
        <v>2.0</v>
      </c>
      <c r="D6921" s="7" t="s">
        <v>12679</v>
      </c>
      <c r="E6921" s="8" t="str">
        <f>IFERROR(__xludf.DUMMYFUNCTION("googletranslate(D6921,""id"",""en"")"),"The PPKM is extended later when the Indonesian anniversary is not PPKM, it runs out again until vaccination is complete.")</f>
        <v>The PPKM is extended later when the Indonesian anniversary is not PPKM, it runs out again until vaccination is complete.</v>
      </c>
    </row>
    <row r="6922" ht="15.75" customHeight="1">
      <c r="A6922" s="2">
        <v>6925.0</v>
      </c>
      <c r="B6922" s="5" t="s">
        <v>12680</v>
      </c>
      <c r="C6922" s="6">
        <v>1.0</v>
      </c>
      <c r="D6922" s="7" t="s">
        <v>12681</v>
      </c>
      <c r="E6922" s="8" t="str">
        <f>IFERROR(__xludf.DUMMYFUNCTION("googletranslate(D6922,""id"",""en"")"),"Why are we still silent?!? PPKM continues but Chinese TKA also never stops! This must be a real movement!")</f>
        <v>Why are we still silent?!? PPKM continues but Chinese TKA also never stops! This must be a real movement!</v>
      </c>
    </row>
    <row r="6923" ht="15.75" customHeight="1">
      <c r="A6923" s="2">
        <v>6926.0</v>
      </c>
      <c r="B6923" s="5" t="s">
        <v>12682</v>
      </c>
      <c r="C6923" s="6">
        <v>2.0</v>
      </c>
      <c r="D6923" s="7" t="s">
        <v>12682</v>
      </c>
      <c r="E6923" s="8" t="str">
        <f>IFERROR(__xludf.DUMMYFUNCTION("googletranslate(D6923,""id"",""en"")"),"Ade ade aje ppkm many really levelnye")</f>
        <v>Ade ade aje ppkm many really levelnye</v>
      </c>
    </row>
    <row r="6924" ht="15.75" customHeight="1">
      <c r="A6924" s="2">
        <v>6927.0</v>
      </c>
      <c r="B6924" s="5" t="s">
        <v>12683</v>
      </c>
      <c r="C6924" s="6">
        <v>2.0</v>
      </c>
      <c r="D6924" s="7" t="s">
        <v>12683</v>
      </c>
      <c r="E6924" s="8" t="str">
        <f>IFERROR(__xludf.DUMMYFUNCTION("googletranslate(D6924,""id"",""en"")"),"So PPKM is extended?")</f>
        <v>So PPKM is extended?</v>
      </c>
    </row>
    <row r="6925" ht="15.75" customHeight="1">
      <c r="A6925" s="2">
        <v>6928.0</v>
      </c>
      <c r="B6925" s="5" t="s">
        <v>12684</v>
      </c>
      <c r="C6925" s="6">
        <v>1.0</v>
      </c>
      <c r="D6925" s="7" t="s">
        <v>12685</v>
      </c>
      <c r="E6925" s="8" t="str">
        <f>IFERROR(__xludf.DUMMYFUNCTION("googletranslate(D6925,""id"",""en"")"),"Thinking of the PPKM finished yesterday eh instead of extending, and I could only sigh Astaghfirullah could stress like this")</f>
        <v>Thinking of the PPKM finished yesterday eh instead of extending, and I could only sigh Astaghfirullah could stress like this</v>
      </c>
    </row>
    <row r="6926" ht="15.75" customHeight="1">
      <c r="A6926" s="2">
        <v>6929.0</v>
      </c>
      <c r="B6926" s="5" t="s">
        <v>12686</v>
      </c>
      <c r="C6926" s="6">
        <v>1.0</v>
      </c>
      <c r="D6926" s="9" t="s">
        <v>12687</v>
      </c>
      <c r="E6926" s="8" t="str">
        <f>IFERROR(__xludf.DUMMYFUNCTION("googletranslate(D6926,""id"",""en"")"),"Psbb, ppkm, micro ppkm, emergency ppkm, ppkm level. Kama2 sir it heard, like for what ?? Change the terms but the solution and assistance to the downstream are almost not plasticity.")</f>
        <v>Psbb, ppkm, micro ppkm, emergency ppkm, ppkm level. Kama2 sir it heard, like for what ?? Change the terms but the solution and assistance to the downstream are almost not plasticity.</v>
      </c>
    </row>
    <row r="6927" ht="15.75" customHeight="1">
      <c r="A6927" s="2">
        <v>6930.0</v>
      </c>
      <c r="B6927" s="5" t="s">
        <v>12688</v>
      </c>
      <c r="C6927" s="6">
        <v>2.0</v>
      </c>
      <c r="D6927" s="7" t="s">
        <v>12688</v>
      </c>
      <c r="E6927" s="8" t="str">
        <f>IFERROR(__xludf.DUMMYFUNCTION("googletranslate(D6927,""id"",""en"")"),"PPKM extended until ... (Wrong Answer Only)")</f>
        <v>PPKM extended until ... (Wrong Answer Only)</v>
      </c>
    </row>
    <row r="6928" ht="15.75" customHeight="1">
      <c r="A6928" s="2">
        <v>6931.0</v>
      </c>
      <c r="B6928" s="5" t="s">
        <v>12689</v>
      </c>
      <c r="C6928" s="6">
        <v>2.0</v>
      </c>
      <c r="D6928" s="9" t="s">
        <v>12689</v>
      </c>
      <c r="E6928" s="8" t="str">
        <f>IFERROR(__xludf.DUMMYFUNCTION("googletranslate(D6928,""id"",""en"")"),"Can you make the arisan schedule for each extension of the PPKM, weekly the problem")</f>
        <v>Can you make the arisan schedule for each extension of the PPKM, weekly the problem</v>
      </c>
    </row>
    <row r="6929" ht="15.75" customHeight="1">
      <c r="A6929" s="2">
        <v>6932.0</v>
      </c>
      <c r="B6929" s="5" t="s">
        <v>12690</v>
      </c>
      <c r="C6929" s="6">
        <v>2.0</v>
      </c>
      <c r="D6929" s="7" t="s">
        <v>12690</v>
      </c>
      <c r="E6929" s="8" t="str">
        <f>IFERROR(__xludf.DUMMYFUNCTION("googletranslate(D6929,""id"",""en"")"),"PPKM is extended again, OTW fattening the body")</f>
        <v>PPKM is extended again, OTW fattening the body</v>
      </c>
    </row>
    <row r="6930" ht="15.75" customHeight="1">
      <c r="A6930" s="2">
        <v>6933.0</v>
      </c>
      <c r="B6930" s="5" t="s">
        <v>12691</v>
      </c>
      <c r="C6930" s="6">
        <v>2.0</v>
      </c>
      <c r="D6930" s="7" t="s">
        <v>12691</v>
      </c>
      <c r="E6930" s="8" t="str">
        <f>IFERROR(__xludf.DUMMYFUNCTION("googletranslate(D6930,""id"",""en"")"),"PPKM extended until Brian loves me")</f>
        <v>PPKM extended until Brian loves me</v>
      </c>
    </row>
    <row r="6931" ht="15.75" customHeight="1">
      <c r="A6931" s="2">
        <v>6934.0</v>
      </c>
      <c r="B6931" s="5" t="s">
        <v>12692</v>
      </c>
      <c r="C6931" s="6">
        <v>3.0</v>
      </c>
      <c r="D6931" s="9" t="s">
        <v>12693</v>
      </c>
      <c r="E6931" s="8" t="str">
        <f>IFERROR(__xludf.DUMMYFUNCTION("googletranslate(D6931,""id"",""en"")"),"The most beautiful gift on the Indonesian Anniversary to Th * PPKM who successfully lowered the case exposed &amp; amp; Case of Death. * Block Rokan who returned to the arms of the mother of the Pertiwi Setlh Th ""in Jajah"" Foreign * Olympics in Japan who br"&amp;"ought home a gold medal * Economic growth of% etc.")</f>
        <v>The most beautiful gift on the Indonesian Anniversary to Th * PPKM who successfully lowered the case exposed &amp; amp; Case of Death. * Block Rokan who returned to the arms of the mother of the Pertiwi Setlh Th "in Jajah" Foreign * Olympics in Japan who brought home a gold medal * Economic growth of% etc.</v>
      </c>
    </row>
    <row r="6932" ht="15.75" customHeight="1">
      <c r="A6932" s="2">
        <v>6935.0</v>
      </c>
      <c r="B6932" s="5" t="s">
        <v>12694</v>
      </c>
      <c r="C6932" s="6">
        <v>2.0</v>
      </c>
      <c r="D6932" s="7" t="s">
        <v>12695</v>
      </c>
      <c r="E6932" s="8" t="str">
        <f>IFERROR(__xludf.DUMMYFUNCTION("googletranslate(D6932,""id"",""en"")"),"The till is dizzy to think about what caption about PPKM, ehh even though you think Teros")</f>
        <v>The till is dizzy to think about what caption about PPKM, ehh even though you think Teros</v>
      </c>
    </row>
    <row r="6933" ht="15.75" customHeight="1">
      <c r="A6933" s="2">
        <v>6936.0</v>
      </c>
      <c r="B6933" s="5" t="s">
        <v>12696</v>
      </c>
      <c r="C6933" s="6">
        <v>1.0</v>
      </c>
      <c r="D6933" s="9" t="s">
        <v>12697</v>
      </c>
      <c r="E6933" s="8" t="str">
        <f>IFERROR(__xludf.DUMMYFUNCTION("googletranslate(D6933,""id"",""en"")"),"mah mah tasty ppkm ge salary still big sleep is still comfortable the vehicle is still Okelha I keep going overtime just paid separo dangkerjanya mah yes on departing at the morning")</f>
        <v>mah mah tasty ppkm ge salary still big sleep is still comfortable the vehicle is still Okelha I keep going overtime just paid separo dangkerjanya mah yes on departing at the morning</v>
      </c>
    </row>
    <row r="6934" ht="15.75" customHeight="1">
      <c r="A6934" s="2">
        <v>6937.0</v>
      </c>
      <c r="B6934" s="5" t="s">
        <v>12698</v>
      </c>
      <c r="C6934" s="6">
        <v>1.0</v>
      </c>
      <c r="D6934" s="7" t="s">
        <v>12698</v>
      </c>
      <c r="E6934" s="8" t="str">
        <f>IFERROR(__xludf.DUMMYFUNCTION("googletranslate(D6934,""id"",""en"")"),"Fix Failed Try Out to Bali Because PPKM Extends")</f>
        <v>Fix Failed Try Out to Bali Because PPKM Extends</v>
      </c>
    </row>
    <row r="6935" ht="15.75" customHeight="1">
      <c r="A6935" s="2">
        <v>6938.0</v>
      </c>
      <c r="B6935" s="5" t="s">
        <v>12699</v>
      </c>
      <c r="C6935" s="6">
        <v>1.0</v>
      </c>
      <c r="D6935" s="7" t="s">
        <v>12699</v>
      </c>
      <c r="E6935" s="8" t="str">
        <f>IFERROR(__xludf.DUMMYFUNCTION("googletranslate(D6935,""id"",""en"")"),"Ppkm paid in a week after a week, and announced at last minute is an irresponsible example of the country, testing the more day more, ampash")</f>
        <v>Ppkm paid in a week after a week, and announced at last minute is an irresponsible example of the country, testing the more day more, ampash</v>
      </c>
    </row>
    <row r="6936" ht="15.75" customHeight="1">
      <c r="A6936" s="2">
        <v>6939.0</v>
      </c>
      <c r="B6936" s="5" t="s">
        <v>12700</v>
      </c>
      <c r="C6936" s="6">
        <v>2.0</v>
      </c>
      <c r="D6936" s="7" t="s">
        <v>12701</v>
      </c>
      <c r="E6936" s="8" t="str">
        <f>IFERROR(__xludf.DUMMYFUNCTION("googletranslate(D6936,""id"",""en"")"),"PPKM is extended again, ????? When is the Corona virus missing")</f>
        <v>PPKM is extended again, ????? When is the Corona virus missing</v>
      </c>
    </row>
    <row r="6937" ht="15.75" customHeight="1">
      <c r="A6937" s="2">
        <v>6940.0</v>
      </c>
      <c r="B6937" s="5" t="s">
        <v>12702</v>
      </c>
      <c r="C6937" s="6">
        <v>2.0</v>
      </c>
      <c r="D6937" s="7" t="s">
        <v>12703</v>
      </c>
      <c r="E6937" s="8" t="str">
        <f>IFERROR(__xludf.DUMMYFUNCTION("googletranslate(D6937,""id"",""en"")"),"Extended PPKM continues")</f>
        <v>Extended PPKM continues</v>
      </c>
    </row>
    <row r="6938" ht="15.75" customHeight="1">
      <c r="A6938" s="2">
        <v>6941.0</v>
      </c>
      <c r="B6938" s="5" t="s">
        <v>12704</v>
      </c>
      <c r="C6938" s="6">
        <v>1.0</v>
      </c>
      <c r="D6938" s="7" t="s">
        <v>12705</v>
      </c>
      <c r="E6938" s="8" t="str">
        <f>IFERROR(__xludf.DUMMYFUNCTION("googletranslate(D6938,""id"",""en"")"),"Kasian, who wants to get married to PPKM continues")</f>
        <v>Kasian, who wants to get married to PPKM continues</v>
      </c>
    </row>
    <row r="6939" ht="15.75" customHeight="1">
      <c r="A6939" s="2">
        <v>6942.0</v>
      </c>
      <c r="B6939" s="5" t="s">
        <v>12706</v>
      </c>
      <c r="C6939" s="6">
        <v>1.0</v>
      </c>
      <c r="D6939" s="7" t="s">
        <v>12707</v>
      </c>
      <c r="E6939" s="8" t="str">
        <f>IFERROR(__xludf.DUMMYFUNCTION("googletranslate(D6939,""id"",""en"")"),"The PPKM with this league its committee is the same as it seems. Backwards continue")</f>
        <v>The PPKM with this league its committee is the same as it seems. Backwards continue</v>
      </c>
    </row>
    <row r="6940" ht="15.75" customHeight="1">
      <c r="A6940" s="2">
        <v>6943.0</v>
      </c>
      <c r="B6940" s="5" t="s">
        <v>12708</v>
      </c>
      <c r="C6940" s="6">
        <v>1.0</v>
      </c>
      <c r="D6940" s="7" t="s">
        <v>12709</v>
      </c>
      <c r="E6940" s="8" t="str">
        <f>IFERROR(__xludf.DUMMYFUNCTION("googletranslate(D6940,""id"",""en"")"),"Which one? Just year? Or right PPKM, without the people's santuni? And because it's free of TKA China, keep going?")</f>
        <v>Which one? Just year? Or right PPKM, without the people's santuni? And because it's free of TKA China, keep going?</v>
      </c>
    </row>
    <row r="6941" ht="15.75" customHeight="1">
      <c r="A6941" s="2">
        <v>6944.0</v>
      </c>
      <c r="B6941" s="5" t="s">
        <v>12710</v>
      </c>
      <c r="C6941" s="6">
        <v>2.0</v>
      </c>
      <c r="D6941" s="9" t="s">
        <v>12710</v>
      </c>
      <c r="E6941" s="8" t="str">
        <f>IFERROR(__xludf.DUMMYFUNCTION("googletranslate(D6941,""id"",""en"")"),"It turns out that it's not just a romance relationship that says just running, but the PPKM also tells you first. Lahhhh")</f>
        <v>It turns out that it's not just a romance relationship that says just running, but the PPKM also tells you first. Lahhhh</v>
      </c>
    </row>
    <row r="6942" ht="15.75" customHeight="1">
      <c r="A6942" s="2">
        <v>6945.0</v>
      </c>
      <c r="B6942" s="5" t="s">
        <v>12711</v>
      </c>
      <c r="C6942" s="6">
        <v>1.0</v>
      </c>
      <c r="D6942" s="7" t="s">
        <v>12712</v>
      </c>
      <c r="E6942" s="8" t="str">
        <f>IFERROR(__xludf.DUMMYFUNCTION("googletranslate(D6942,""id"",""en"")"),"It is certainly that, the PPKM is extended continuing until it will continue")</f>
        <v>It is certainly that, the PPKM is extended continuing until it will continue</v>
      </c>
    </row>
    <row r="6943" ht="15.75" customHeight="1">
      <c r="A6943" s="2">
        <v>6946.0</v>
      </c>
      <c r="B6943" s="5" t="s">
        <v>12713</v>
      </c>
      <c r="C6943" s="6">
        <v>2.0</v>
      </c>
      <c r="D6943" s="7" t="s">
        <v>12714</v>
      </c>
      <c r="E6943" s="8" t="str">
        <f>IFERROR(__xludf.DUMMYFUNCTION("googletranslate(D6943,""id"",""en"")"),"Iy bget is definitely extended to the end of the year !! The one who knows smpe KPN PPKM ends")</f>
        <v>Iy bget is definitely extended to the end of the year !! The one who knows smpe KPN PPKM ends</v>
      </c>
    </row>
    <row r="6944" ht="15.75" customHeight="1">
      <c r="A6944" s="2">
        <v>6947.0</v>
      </c>
      <c r="B6944" s="5" t="s">
        <v>12715</v>
      </c>
      <c r="C6944" s="6">
        <v>2.0</v>
      </c>
      <c r="D6944" s="9" t="s">
        <v>12716</v>
      </c>
      <c r="E6944" s="8" t="str">
        <f>IFERROR(__xludf.DUMMYFUNCTION("googletranslate(D6944,""id"",""en"")"),"Islamic new year, it should be today but avoiding the holiday clamp so that there is no one off and go out of town during the PPKM period")</f>
        <v>Islamic new year, it should be today but avoiding the holiday clamp so that there is no one off and go out of town during the PPKM period</v>
      </c>
    </row>
    <row r="6945" ht="15.75" customHeight="1">
      <c r="A6945" s="2">
        <v>6948.0</v>
      </c>
      <c r="B6945" s="5" t="s">
        <v>12717</v>
      </c>
      <c r="C6945" s="6">
        <v>1.0</v>
      </c>
      <c r="D6945" s="7" t="s">
        <v>12718</v>
      </c>
      <c r="E6945" s="8" t="str">
        <f>IFERROR(__xludf.DUMMYFUNCTION("googletranslate(D6945,""id"",""en"")"),"HOLIDAY DIES PPKM Extended What a Lifeu")</f>
        <v>HOLIDAY DIES PPKM Extended What a Lifeu</v>
      </c>
    </row>
    <row r="6946" ht="15.75" customHeight="1">
      <c r="A6946" s="2">
        <v>6949.0</v>
      </c>
      <c r="B6946" s="5" t="s">
        <v>12719</v>
      </c>
      <c r="C6946" s="6">
        <v>1.0</v>
      </c>
      <c r="D6946" s="9" t="s">
        <v>12719</v>
      </c>
      <c r="E6946" s="8" t="str">
        <f>IFERROR(__xludf.DUMMYFUNCTION("googletranslate(D6946,""id"",""en"")"),"Ppkm government affairs. Nlu belly affairs of their respective affairs")</f>
        <v>Ppkm government affairs. Nlu belly affairs of their respective affairs</v>
      </c>
    </row>
    <row r="6947" ht="15.75" customHeight="1">
      <c r="A6947" s="2">
        <v>6950.0</v>
      </c>
      <c r="B6947" s="5" t="s">
        <v>12720</v>
      </c>
      <c r="C6947" s="6">
        <v>1.0</v>
      </c>
      <c r="D6947" s="7" t="s">
        <v>12721</v>
      </c>
      <c r="E6947" s="8" t="str">
        <f>IFERROR(__xludf.DUMMYFUNCTION("googletranslate(D6947,""id"",""en"")"),"How come it's not emotional. ??? Want to bobo already emotional ppkm")</f>
        <v>How come it's not emotional. ??? Want to bobo already emotional ppkm</v>
      </c>
    </row>
    <row r="6948" ht="15.75" customHeight="1">
      <c r="A6948" s="2">
        <v>6951.0</v>
      </c>
      <c r="B6948" s="5" t="s">
        <v>12722</v>
      </c>
      <c r="C6948" s="6">
        <v>1.0</v>
      </c>
      <c r="D6948" s="7" t="s">
        <v>12722</v>
      </c>
      <c r="E6948" s="8" t="str">
        <f>IFERROR(__xludf.DUMMYFUNCTION("googletranslate(D6948,""id"",""en"")"),"PEGELL BGT Heard PPKM Extended Continuousness")</f>
        <v>PEGELL BGT Heard PPKM Extended Continuousness</v>
      </c>
    </row>
    <row r="6949" ht="15.75" customHeight="1">
      <c r="A6949" s="2">
        <v>6952.0</v>
      </c>
      <c r="B6949" s="5" t="s">
        <v>12723</v>
      </c>
      <c r="C6949" s="6">
        <v>2.0</v>
      </c>
      <c r="D6949" s="7" t="s">
        <v>12723</v>
      </c>
      <c r="E6949" s="8" t="str">
        <f>IFERROR(__xludf.DUMMYFUNCTION("googletranslate(D6949,""id"",""en"")"),"Ppkm in installments a week again")</f>
        <v>Ppkm in installments a week again</v>
      </c>
    </row>
    <row r="6950" ht="15.75" customHeight="1">
      <c r="A6950" s="2">
        <v>6953.0</v>
      </c>
      <c r="B6950" s="5" t="s">
        <v>12724</v>
      </c>
      <c r="C6950" s="6">
        <v>2.0</v>
      </c>
      <c r="D6950" s="9" t="s">
        <v>12725</v>
      </c>
      <c r="E6950" s="8" t="str">
        <f>IFERROR(__xludf.DUMMYFUNCTION("googletranslate(D6950,""id"",""en"")"),"Forgot if still ppkm, go to sleep, permission if again isan")</f>
        <v>Forgot if still ppkm, go to sleep, permission if again isan</v>
      </c>
    </row>
    <row r="6951" ht="15.75" customHeight="1">
      <c r="A6951" s="2">
        <v>6954.0</v>
      </c>
      <c r="B6951" s="5" t="s">
        <v>12726</v>
      </c>
      <c r="C6951" s="6">
        <v>2.0</v>
      </c>
      <c r="D6951" s="7" t="s">
        <v>12727</v>
      </c>
      <c r="E6951" s="8" t="str">
        <f>IFERROR(__xludf.DUMMYFUNCTION("googletranslate(D6951,""id"",""en"")"),"Yes, and the PPKM is extended again. And for in Riau HR")</f>
        <v>Yes, and the PPKM is extended again. And for in Riau HR</v>
      </c>
    </row>
    <row r="6952" ht="15.75" customHeight="1">
      <c r="A6952" s="2">
        <v>6955.0</v>
      </c>
      <c r="B6952" s="5" t="s">
        <v>12728</v>
      </c>
      <c r="C6952" s="6">
        <v>1.0</v>
      </c>
      <c r="D6952" s="7" t="s">
        <v>12729</v>
      </c>
      <c r="E6952" s="8" t="str">
        <f>IFERROR(__xludf.DUMMYFUNCTION("googletranslate(D6952,""id"",""en"")"),"We have told you to eat fruit then money to buy fruit from where the president is while you continue the ppkm")</f>
        <v>We have told you to eat fruit then money to buy fruit from where the president is while you continue the ppkm</v>
      </c>
    </row>
    <row r="6953" ht="15.75" customHeight="1">
      <c r="A6953" s="2">
        <v>6956.0</v>
      </c>
      <c r="B6953" s="5" t="s">
        <v>12730</v>
      </c>
      <c r="C6953" s="6">
        <v>2.0</v>
      </c>
      <c r="D6953" s="9" t="s">
        <v>12730</v>
      </c>
      <c r="E6953" s="8" t="str">
        <f>IFERROR(__xludf.DUMMYFUNCTION("googletranslate(D6953,""id"",""en"")"),"I just found out if the PPKM extended could be samsat.")</f>
        <v>I just found out if the PPKM extended could be samsat.</v>
      </c>
    </row>
    <row r="6954" ht="15.75" customHeight="1">
      <c r="A6954" s="2">
        <v>6957.0</v>
      </c>
      <c r="B6954" s="5" t="s">
        <v>12731</v>
      </c>
      <c r="C6954" s="6">
        <v>2.0</v>
      </c>
      <c r="D6954" s="7" t="s">
        <v>12732</v>
      </c>
      <c r="E6954" s="8" t="str">
        <f>IFERROR(__xludf.DUMMYFUNCTION("googletranslate(D6954,""id"",""en"")"),"Holidays are extended ppkm")</f>
        <v>Holidays are extended ppkm</v>
      </c>
    </row>
    <row r="6955" ht="15.75" customHeight="1">
      <c r="A6955" s="2">
        <v>6958.0</v>
      </c>
      <c r="B6955" s="5" t="s">
        <v>12733</v>
      </c>
      <c r="C6955" s="6">
        <v>2.0</v>
      </c>
      <c r="D6955" s="7" t="s">
        <v>12733</v>
      </c>
      <c r="E6955" s="8" t="str">
        <f>IFERROR(__xludf.DUMMYFUNCTION("googletranslate(D6955,""id"",""en"")"),"PPKM from the beginning of the semester holiday until it goes in again. Fortunately it's going to college, it's still a task of Indonesian ""tell me your vacation""")</f>
        <v>PPKM from the beginning of the semester holiday until it goes in again. Fortunately it's going to college, it's still a task of Indonesian "tell me your vacation"</v>
      </c>
    </row>
    <row r="6956" ht="15.75" customHeight="1">
      <c r="A6956" s="2">
        <v>6959.0</v>
      </c>
      <c r="B6956" s="5" t="s">
        <v>12734</v>
      </c>
      <c r="C6956" s="6">
        <v>2.0</v>
      </c>
      <c r="D6956" s="7" t="s">
        <v>12735</v>
      </c>
      <c r="E6956" s="8" t="str">
        <f>IFERROR(__xludf.DUMMYFUNCTION("googletranslate(D6956,""id"",""en"")"),"MasterChef Indonesia Sing cooked PPKM and wings")</f>
        <v>MasterChef Indonesia Sing cooked PPKM and wings</v>
      </c>
    </row>
    <row r="6957" ht="15.75" customHeight="1">
      <c r="A6957" s="2">
        <v>6960.0</v>
      </c>
      <c r="B6957" s="5" t="s">
        <v>12736</v>
      </c>
      <c r="C6957" s="6">
        <v>1.0</v>
      </c>
      <c r="D6957" s="9" t="s">
        <v>12737</v>
      </c>
      <c r="E6957" s="8" t="str">
        <f>IFERROR(__xludf.DUMMYFUNCTION("googletranslate(D6957,""id"",""en"")"),"The price of gas prices is really expensive to thousand.Di makes it difficult for it, sorry for the small people again difficult. The government immediately overcome this. There are individuals or traders who are naughty immediately")</f>
        <v>The price of gas prices is really expensive to thousand.Di makes it difficult for it, sorry for the small people again difficult. The government immediately overcome this. There are individuals or traders who are naughty immediately</v>
      </c>
    </row>
    <row r="6958" ht="15.75" customHeight="1">
      <c r="A6958" s="2">
        <v>6961.0</v>
      </c>
      <c r="B6958" s="5" t="s">
        <v>12738</v>
      </c>
      <c r="C6958" s="6">
        <v>1.0</v>
      </c>
      <c r="D6958" s="7" t="s">
        <v>12739</v>
      </c>
      <c r="E6958" s="8" t="str">
        <f>IFERROR(__xludf.DUMMYFUNCTION("googletranslate(D6958,""id"",""en"")"),"Pak PPKM is extended while the bank is not closed, how do we trade restricted")</f>
        <v>Pak PPKM is extended while the bank is not closed, how do we trade restricted</v>
      </c>
    </row>
    <row r="6959" ht="15.75" customHeight="1">
      <c r="A6959" s="2">
        <v>6962.0</v>
      </c>
      <c r="B6959" s="5" t="s">
        <v>12740</v>
      </c>
      <c r="C6959" s="6">
        <v>1.0</v>
      </c>
      <c r="D6959" s="9" t="s">
        <v>12740</v>
      </c>
      <c r="E6959" s="8" t="str">
        <f>IFERROR(__xludf.DUMMYFUNCTION("googletranslate(D6959,""id"",""en"")"),"Most resentful if the PPKM is extended, whose work must be in the field, likes to be entrusted by the same work that can wfh.")</f>
        <v>Most resentful if the PPKM is extended, whose work must be in the field, likes to be entrusted by the same work that can wfh.</v>
      </c>
    </row>
    <row r="6960" ht="15.75" customHeight="1">
      <c r="A6960" s="2">
        <v>6963.0</v>
      </c>
      <c r="B6960" s="5" t="s">
        <v>12741</v>
      </c>
      <c r="C6960" s="6">
        <v>1.0</v>
      </c>
      <c r="D6960" s="7" t="s">
        <v>12742</v>
      </c>
      <c r="E6960" s="8" t="str">
        <f>IFERROR(__xludf.DUMMYFUNCTION("googletranslate(D6960,""id"",""en"")"),"BUMN is the real PPKM real slowly we die")</f>
        <v>BUMN is the real PPKM real slowly we die</v>
      </c>
    </row>
    <row r="6961" ht="15.75" customHeight="1">
      <c r="A6961" s="2">
        <v>6964.0</v>
      </c>
      <c r="B6961" s="5" t="s">
        <v>12743</v>
      </c>
      <c r="C6961" s="6">
        <v>3.0</v>
      </c>
      <c r="D6961" s="7" t="s">
        <v>12744</v>
      </c>
      <c r="E6961" s="8" t="str">
        <f>IFERROR(__xludf.DUMMYFUNCTION("googletranslate(D6961,""id"",""en"")"),"Whether a thousand full moon or hundreds of PPKM levels, give up is not an end of the decision right? We can definitely be bestie")</f>
        <v>Whether a thousand full moon or hundreds of PPKM levels, give up is not an end of the decision right? We can definitely be bestie</v>
      </c>
    </row>
    <row r="6962" ht="15.75" customHeight="1">
      <c r="A6962" s="2">
        <v>6965.0</v>
      </c>
      <c r="B6962" s="5" t="s">
        <v>12745</v>
      </c>
      <c r="C6962" s="6">
        <v>2.0</v>
      </c>
      <c r="D6962" s="7" t="s">
        <v>12746</v>
      </c>
      <c r="E6962" s="8" t="str">
        <f>IFERROR(__xludf.DUMMYFUNCTION("googletranslate(D6962,""id"",""en"")"),"Hopefully it will be ppkm")</f>
        <v>Hopefully it will be ppkm</v>
      </c>
    </row>
    <row r="6963" ht="15.75" customHeight="1">
      <c r="A6963" s="2">
        <v>6966.0</v>
      </c>
      <c r="B6963" s="5" t="s">
        <v>12747</v>
      </c>
      <c r="C6963" s="6">
        <v>1.0</v>
      </c>
      <c r="D6963" s="9" t="s">
        <v>12747</v>
      </c>
      <c r="E6963" s="8" t="str">
        <f>IFERROR(__xludf.DUMMYFUNCTION("googletranslate(D6963,""id"",""en"")"),"PPKM for a long time I made a positive I am anj")</f>
        <v>PPKM for a long time I made a positive I am anj</v>
      </c>
    </row>
    <row r="6964" ht="15.75" customHeight="1">
      <c r="A6964" s="2">
        <v>6967.0</v>
      </c>
      <c r="B6964" s="5" t="s">
        <v>12748</v>
      </c>
      <c r="C6964" s="6">
        <v>1.0</v>
      </c>
      <c r="D6964" s="7" t="s">
        <v>12748</v>
      </c>
      <c r="E6964" s="8" t="str">
        <f>IFERROR(__xludf.DUMMYFUNCTION("googletranslate(D6964,""id"",""en"")"),"This is Kan Again PPKM, maybe the Komodo-Komodo there during the PPKM can learn smoking or learn to burn burning land? Emeijing once.")</f>
        <v>This is Kan Again PPKM, maybe the Komodo-Komodo there during the PPKM can learn smoking or learn to burn burning land? Emeijing once.</v>
      </c>
    </row>
    <row r="6965" ht="15.75" customHeight="1">
      <c r="A6965" s="2">
        <v>6968.0</v>
      </c>
      <c r="B6965" s="5" t="s">
        <v>12749</v>
      </c>
      <c r="C6965" s="6">
        <v>1.0</v>
      </c>
      <c r="D6965" s="7" t="s">
        <v>12749</v>
      </c>
      <c r="E6965" s="8" t="str">
        <f>IFERROR(__xludf.DUMMYFUNCTION("googletranslate(D6965,""id"",""en"")"),"it seems because ppkm also, but the one who uses sicepat and has been sent longer it has arrived")</f>
        <v>it seems because ppkm also, but the one who uses sicepat and has been sent longer it has arrived</v>
      </c>
    </row>
    <row r="6966" ht="15.75" customHeight="1">
      <c r="A6966" s="2">
        <v>6969.0</v>
      </c>
      <c r="B6966" s="5" t="s">
        <v>12750</v>
      </c>
      <c r="C6966" s="6">
        <v>1.0</v>
      </c>
      <c r="D6966" s="9" t="s">
        <v>12751</v>
      </c>
      <c r="E6966" s="8" t="str">
        <f>IFERROR(__xludf.DUMMYFUNCTION("googletranslate(D6966,""id"",""en"")"),"For this GOR for free practice, unless you want to rent for a big aacra, but because the ppkm can't use it first")</f>
        <v>For this GOR for free practice, unless you want to rent for a big aacra, but because the ppkm can't use it first</v>
      </c>
    </row>
    <row r="6967" ht="15.75" customHeight="1">
      <c r="A6967" s="2">
        <v>6970.0</v>
      </c>
      <c r="B6967" s="5" t="s">
        <v>12752</v>
      </c>
      <c r="C6967" s="6">
        <v>1.0</v>
      </c>
      <c r="D6967" s="7" t="s">
        <v>12753</v>
      </c>
      <c r="E6967" s="8" t="str">
        <f>IFERROR(__xludf.DUMMYFUNCTION("googletranslate(D6967,""id"",""en"")"),"What's actually, other citizens are crowded to leave Indonesia, but this one even comes flocking doesn't know PPKM time ..")</f>
        <v>What's actually, other citizens are crowded to leave Indonesia, but this one even comes flocking doesn't know PPKM time ..</v>
      </c>
    </row>
    <row r="6968" ht="15.75" customHeight="1">
      <c r="A6968" s="2">
        <v>6971.0</v>
      </c>
      <c r="B6968" s="5" t="s">
        <v>12754</v>
      </c>
      <c r="C6968" s="6">
        <v>3.0</v>
      </c>
      <c r="D6968" s="7" t="s">
        <v>12755</v>
      </c>
      <c r="E6968" s="8" t="str">
        <f>IFERROR(__xludf.DUMMYFUNCTION("googletranslate(D6968,""id"",""en"")"),"Panjaaaiaiiiiinnnnn Kek PPKM.")</f>
        <v>Panjaaaiaiiiiinnnnn Kek PPKM.</v>
      </c>
    </row>
    <row r="6969" ht="15.75" customHeight="1">
      <c r="A6969" s="2">
        <v>6972.0</v>
      </c>
      <c r="B6969" s="5" t="s">
        <v>12756</v>
      </c>
      <c r="C6969" s="6">
        <v>1.0</v>
      </c>
      <c r="D6969" s="7" t="s">
        <v>12756</v>
      </c>
      <c r="E6969" s="8" t="str">
        <f>IFERROR(__xludf.DUMMYFUNCTION("googletranslate(D6969,""id"",""en"")"),"Safari Park Opens Pls Don't Amp Ppkm Until December Continues to Apply After ORIGINAL ORIGINAL")</f>
        <v>Safari Park Opens Pls Don't Amp Ppkm Until December Continues to Apply After ORIGINAL ORIGINAL</v>
      </c>
    </row>
    <row r="6970" ht="15.75" customHeight="1">
      <c r="A6970" s="2">
        <v>6973.0</v>
      </c>
      <c r="B6970" s="5" t="s">
        <v>12757</v>
      </c>
      <c r="C6970" s="6">
        <v>1.0</v>
      </c>
      <c r="D6970" s="9" t="s">
        <v>12758</v>
      </c>
      <c r="E6970" s="8" t="str">
        <f>IFERROR(__xludf.DUMMYFUNCTION("googletranslate(D6970,""id"",""en"")"),"So now it's a turn of PPKM rules, even though the adappkm still has a surge in the variant virus, replace the rules of improving immune and home faith ""Worship does not arrive at the closure so that the variant virus is not sustainable,")</f>
        <v>So now it's a turn of PPKM rules, even though the adappkm still has a surge in the variant virus, replace the rules of improving immune and home faith "Worship does not arrive at the closure so that the variant virus is not sustainable,</v>
      </c>
    </row>
    <row r="6971" ht="15.75" customHeight="1">
      <c r="A6971" s="2">
        <v>6974.0</v>
      </c>
      <c r="B6971" s="5" t="s">
        <v>12759</v>
      </c>
      <c r="C6971" s="6">
        <v>2.0</v>
      </c>
      <c r="D6971" s="7" t="s">
        <v>12760</v>
      </c>
      <c r="E6971" s="8" t="str">
        <f>IFERROR(__xludf.DUMMYFUNCTION("googletranslate(D6971,""id"",""en"")"),"PPKM (Messi's arrival committee) continued in Paris.")</f>
        <v>PPKM (Messi's arrival committee) continued in Paris.</v>
      </c>
    </row>
    <row r="6972" ht="15.75" customHeight="1">
      <c r="A6972" s="2">
        <v>6975.0</v>
      </c>
      <c r="B6972" s="5" t="s">
        <v>12761</v>
      </c>
      <c r="C6972" s="6">
        <v>1.0</v>
      </c>
      <c r="D6972" s="9" t="s">
        <v>12762</v>
      </c>
      <c r="E6972" s="8" t="str">
        <f>IFERROR(__xludf.DUMMYFUNCTION("googletranslate(D6972,""id"",""en"")"),"Robbers don't want to suffer sir, bgmn with the people? Ohhh people live happily with this PPKM. Now the people can lie down, don't work, don't need to eat, don't need to pay rent, pay electricity, pay for vehicle installments etc. Because the government "&amp;"guarantees. Yes, right?")</f>
        <v>Robbers don't want to suffer sir, bgmn with the people? Ohhh people live happily with this PPKM. Now the people can lie down, don't work, don't need to eat, don't need to pay rent, pay electricity, pay for vehicle installments etc. Because the government guarantees. Yes, right?</v>
      </c>
    </row>
    <row r="6973" ht="15.75" customHeight="1">
      <c r="A6973" s="2">
        <v>6976.0</v>
      </c>
      <c r="B6973" s="5" t="s">
        <v>12763</v>
      </c>
      <c r="C6973" s="6">
        <v>1.0</v>
      </c>
      <c r="D6973" s="7" t="s">
        <v>12764</v>
      </c>
      <c r="E6973" s="8" t="str">
        <f>IFERROR(__xludf.DUMMYFUNCTION("googletranslate(D6973,""id"",""en"")"),"It turns out that the TL said in the country half of the political parties in power, the people did not move, the people of attacking the people")</f>
        <v>It turns out that the TL said in the country half of the political parties in power, the people did not move, the people of attacking the people</v>
      </c>
    </row>
    <row r="6974" ht="15.75" customHeight="1">
      <c r="A6974" s="2">
        <v>6977.0</v>
      </c>
      <c r="B6974" s="5" t="s">
        <v>12765</v>
      </c>
      <c r="C6974" s="6">
        <v>1.0</v>
      </c>
      <c r="D6974" s="9" t="s">
        <v>12766</v>
      </c>
      <c r="E6974" s="8" t="str">
        <f>IFERROR(__xludf.DUMMYFUNCTION("googletranslate(D6974,""id"",""en"")"),"FAIRBB What can I do for my small family, the ball doesn't work, the work of liburrrrr continuously PPKM")</f>
        <v>FAIRBB What can I do for my small family, the ball doesn't work, the work of liburrrrr continuously PPKM</v>
      </c>
    </row>
    <row r="6975" ht="15.75" customHeight="1">
      <c r="A6975" s="2">
        <v>6978.0</v>
      </c>
      <c r="B6975" s="5" t="s">
        <v>12767</v>
      </c>
      <c r="C6975" s="6">
        <v>1.0</v>
      </c>
      <c r="D6975" s="7" t="s">
        <v>12768</v>
      </c>
      <c r="E6975" s="8" t="str">
        <f>IFERROR(__xludf.DUMMYFUNCTION("googletranslate(D6975,""id"",""en"")"),"For you, a member of the House of Representatives who have lost their conscience to the people who are increasingly miserable. Tka is allowed to enter, the PPKM is extended to the people itself without being fed.")</f>
        <v>For you, a member of the House of Representatives who have lost their conscience to the people who are increasingly miserable. Tka is allowed to enter, the PPKM is extended to the people itself without being fed.</v>
      </c>
    </row>
    <row r="6976" ht="15.75" customHeight="1">
      <c r="A6976" s="2">
        <v>6979.0</v>
      </c>
      <c r="B6976" s="5" t="s">
        <v>12769</v>
      </c>
      <c r="C6976" s="6">
        <v>1.0</v>
      </c>
      <c r="D6976" s="9" t="s">
        <v>12770</v>
      </c>
      <c r="E6976" s="8" t="str">
        <f>IFERROR(__xludf.DUMMYFUNCTION("googletranslate(D6976,""id"",""en"")"),"Actually I did it for vaccinations, but because now the rules began to be complicated as to the mall there must be a vaccine letter out of town too, there is no doctor can you come to the vaccine injection house? Mager really must be ngantri. titidlahjuli"&amp;"ari kontolpkm.")</f>
        <v>Actually I did it for vaccinations, but because now the rules began to be complicated as to the mall there must be a vaccine letter out of town too, there is no doctor can you come to the vaccine injection house? Mager really must be ngantri. titidlahjuliari kontolpkm.</v>
      </c>
    </row>
    <row r="6977" ht="15.75" customHeight="1">
      <c r="A6977" s="2">
        <v>6980.0</v>
      </c>
      <c r="B6977" s="5" t="s">
        <v>12771</v>
      </c>
      <c r="C6977" s="6">
        <v>2.0</v>
      </c>
      <c r="D6977" s="7" t="s">
        <v>12771</v>
      </c>
      <c r="E6977" s="8" t="str">
        <f>IFERROR(__xludf.DUMMYFUNCTION("googletranslate(D6977,""id"",""en"")"),"PPKM extended, if the relationship is extended too or not? Hahaha")</f>
        <v>PPKM extended, if the relationship is extended too or not? Hahaha</v>
      </c>
    </row>
    <row r="6978" ht="15.75" customHeight="1">
      <c r="A6978" s="2">
        <v>6981.0</v>
      </c>
      <c r="B6978" s="5" t="s">
        <v>12772</v>
      </c>
      <c r="C6978" s="6">
        <v>2.0</v>
      </c>
      <c r="D6978" s="7" t="s">
        <v>12772</v>
      </c>
      <c r="E6978" s="8" t="str">
        <f>IFERROR(__xludf.DUMMYFUNCTION("googletranslate(D6978,""id"",""en"")"),"PPKM extended. I have to be able to keep my body cute.")</f>
        <v>PPKM extended. I have to be able to keep my body cute.</v>
      </c>
    </row>
    <row r="6979" ht="15.75" customHeight="1">
      <c r="A6979" s="2">
        <v>6982.0</v>
      </c>
      <c r="B6979" s="5" t="s">
        <v>12773</v>
      </c>
      <c r="C6979" s="6">
        <v>3.0</v>
      </c>
      <c r="D6979" s="7" t="s">
        <v>12774</v>
      </c>
      <c r="E6979" s="8" t="str">
        <f>IFERROR(__xludf.DUMMYFUNCTION("googletranslate(D6979,""id"",""en"")"),"Extend PPKM")</f>
        <v>Extend PPKM</v>
      </c>
    </row>
    <row r="6980" ht="15.75" customHeight="1">
      <c r="A6980" s="2">
        <v>6983.0</v>
      </c>
      <c r="B6980" s="5" t="s">
        <v>12775</v>
      </c>
      <c r="C6980" s="6">
        <v>3.0</v>
      </c>
      <c r="D6980" s="7" t="s">
        <v>12776</v>
      </c>
      <c r="E6980" s="8" t="str">
        <f>IFERROR(__xludf.DUMMYFUNCTION("googletranslate(D6980,""id"",""en"")"),"Allah is just a fair and knows all the best for his servants. Sustenance is not regulated by PPKM, because your sustenance knows wherever you are, if your sustenance door is closed, God will open the window for his sincere servant and tawakkal. God willin"&amp;"g.")</f>
        <v>Allah is just a fair and knows all the best for his servants. Sustenance is not regulated by PPKM, because your sustenance knows wherever you are, if your sustenance door is closed, God will open the window for his sincere servant and tawakkal. God willing.</v>
      </c>
    </row>
    <row r="6981" ht="15.75" customHeight="1">
      <c r="A6981" s="2">
        <v>6984.0</v>
      </c>
      <c r="B6981" s="5" t="s">
        <v>12777</v>
      </c>
      <c r="C6981" s="6">
        <v>1.0</v>
      </c>
      <c r="D6981" s="7" t="s">
        <v>12778</v>
      </c>
      <c r="E6981" s="8" t="str">
        <f>IFERROR(__xludf.DUMMYFUNCTION("googletranslate(D6981,""id"",""en"")"),"This ppkm is still positive. Who is Hayo ?? stubborn")</f>
        <v>This ppkm is still positive. Who is Hayo ?? stubborn</v>
      </c>
    </row>
    <row r="6982" ht="15.75" customHeight="1">
      <c r="A6982" s="2">
        <v>6985.0</v>
      </c>
      <c r="B6982" s="5" t="s">
        <v>12779</v>
      </c>
      <c r="C6982" s="6">
        <v>2.0</v>
      </c>
      <c r="D6982" s="7" t="s">
        <v>12780</v>
      </c>
      <c r="E6982" s="8" t="str">
        <f>IFERROR(__xludf.DUMMYFUNCTION("googletranslate(D6982,""id"",""en"")"),"Try asking yesterday that the Minister who took a look at TKA was prohibited from entering when PPKM Level, ... maybe still healthy people")</f>
        <v>Try asking yesterday that the Minister who took a look at TKA was prohibited from entering when PPKM Level, ... maybe still healthy people</v>
      </c>
    </row>
    <row r="6983" ht="15.75" customHeight="1">
      <c r="A6983" s="2">
        <v>6986.0</v>
      </c>
      <c r="B6983" s="5" t="s">
        <v>12781</v>
      </c>
      <c r="C6983" s="6">
        <v>1.0</v>
      </c>
      <c r="D6983" s="7" t="s">
        <v>12782</v>
      </c>
      <c r="E6983" s="8" t="str">
        <f>IFERROR(__xludf.DUMMYFUNCTION("googletranslate(D6983,""id"",""en"")"),"Udh was happy to open, from the beginning of the ppkm cravings to the mall. But I have to point to the vaccine certificate that makes emotions from yesterday, why is God, why can't")</f>
        <v>Udh was happy to open, from the beginning of the ppkm cravings to the mall. But I have to point to the vaccine certificate that makes emotions from yesterday, why is God, why can't</v>
      </c>
    </row>
    <row r="6984" ht="15.75" customHeight="1">
      <c r="A6984" s="2">
        <v>6987.0</v>
      </c>
      <c r="B6984" s="5" t="s">
        <v>12783</v>
      </c>
      <c r="C6984" s="6">
        <v>3.0</v>
      </c>
      <c r="D6984" s="7" t="s">
        <v>12784</v>
      </c>
      <c r="E6984" s="8" t="str">
        <f>IFERROR(__xludf.DUMMYFUNCTION("googletranslate(D6984,""id"",""en"")"),"Good Morning Universe Write Wednesday. Stay safe yes, remember still PPKM, don't demo demo.")</f>
        <v>Good Morning Universe Write Wednesday. Stay safe yes, remember still PPKM, don't demo demo.</v>
      </c>
    </row>
    <row r="6985" ht="15.75" customHeight="1">
      <c r="A6985" s="2">
        <v>6988.0</v>
      </c>
      <c r="B6985" s="5" t="s">
        <v>12785</v>
      </c>
      <c r="C6985" s="6">
        <v>1.0</v>
      </c>
      <c r="D6985" s="7" t="s">
        <v>12786</v>
      </c>
      <c r="E6985" s="8" t="str">
        <f>IFERROR(__xludf.DUMMYFUNCTION("googletranslate(D6985,""id"",""en"")"),"During the PPKM of many indigenous people who lost their jobs, on the other hand, thousands of foreign teachers entered Indonesia. Nice")</f>
        <v>During the PPKM of many indigenous people who lost their jobs, on the other hand, thousands of foreign teachers entered Indonesia. Nice</v>
      </c>
    </row>
    <row r="6986" ht="15.75" customHeight="1">
      <c r="A6986" s="2">
        <v>6989.0</v>
      </c>
      <c r="B6986" s="5" t="s">
        <v>12787</v>
      </c>
      <c r="C6986" s="6">
        <v>1.0</v>
      </c>
      <c r="D6986" s="9" t="s">
        <v>12788</v>
      </c>
      <c r="E6986" s="8" t="str">
        <f>IFERROR(__xludf.DUMMYFUNCTION("googletranslate(D6986,""id"",""en"")"),"When will it be trading again, the PPKM continues to be extended what works, it used to be in the factory, confused BGTTTTT ...")</f>
        <v>When will it be trading again, the PPKM continues to be extended what works, it used to be in the factory, confused BGTTTTT ...</v>
      </c>
    </row>
    <row r="6987" ht="15.75" customHeight="1">
      <c r="A6987" s="2">
        <v>6990.0</v>
      </c>
      <c r="B6987" s="5" t="s">
        <v>12789</v>
      </c>
      <c r="C6987" s="6">
        <v>2.0</v>
      </c>
      <c r="D6987" s="7" t="s">
        <v>12789</v>
      </c>
      <c r="E6987" s="8" t="str">
        <f>IFERROR(__xludf.DUMMYFUNCTION("googletranslate(D6987,""id"",""en"")"),"PPKM is increasingly extended, then the brain even more days are increasingly filled with TICTOK content")</f>
        <v>PPKM is increasingly extended, then the brain even more days are increasingly filled with TICTOK content</v>
      </c>
    </row>
    <row r="6988" ht="15.75" customHeight="1">
      <c r="A6988" s="2">
        <v>6991.0</v>
      </c>
      <c r="B6988" s="5" t="s">
        <v>12790</v>
      </c>
      <c r="C6988" s="6">
        <v>2.0</v>
      </c>
      <c r="D6988" s="7" t="s">
        <v>12790</v>
      </c>
      <c r="E6988" s="8" t="str">
        <f>IFERROR(__xludf.DUMMYFUNCTION("googletranslate(D6988,""id"",""en"")"),"Extended PPKM; Lengthening hair ...")</f>
        <v>Extended PPKM; Lengthening hair ...</v>
      </c>
    </row>
    <row r="6989" ht="15.75" customHeight="1">
      <c r="A6989" s="2">
        <v>6992.0</v>
      </c>
      <c r="B6989" s="5" t="s">
        <v>12791</v>
      </c>
      <c r="C6989" s="6">
        <v>1.0</v>
      </c>
      <c r="D6989" s="9" t="s">
        <v>12792</v>
      </c>
      <c r="E6989" s="8" t="str">
        <f>IFERROR(__xludf.DUMMYFUNCTION("googletranslate(D6989,""id"",""en"")"),"The rules that are used should be weighed on aspects on the facility of the person, sir !!! Don't suddenly suddenly other interests ... when I was an END ADHA PPKM valid until there was a road blocking, even though this was a very sacred religious event /"&amp;" BG Muslim.")</f>
        <v>The rules that are used should be weighed on aspects on the facility of the person, sir !!! Don't suddenly suddenly other interests ... when I was an END ADHA PPKM valid until there was a road blocking, even though this was a very sacred religious event / BG Muslim.</v>
      </c>
    </row>
    <row r="6990" ht="15.75" customHeight="1">
      <c r="A6990" s="2">
        <v>6993.0</v>
      </c>
      <c r="B6990" s="5" t="s">
        <v>12793</v>
      </c>
      <c r="C6990" s="6">
        <v>1.0</v>
      </c>
      <c r="D6990" s="9" t="s">
        <v>12794</v>
      </c>
      <c r="E6990" s="8" t="str">
        <f>IFERROR(__xludf.DUMMYFUNCTION("googletranslate(D6990,""id"",""en"")"),"GI on thinking about replacing the term ppkm pe ..biar gada word lockdown")</f>
        <v>GI on thinking about replacing the term ppkm pe ..biar gada word lockdown</v>
      </c>
    </row>
    <row r="6991" ht="15.75" customHeight="1">
      <c r="A6991" s="2">
        <v>6994.0</v>
      </c>
      <c r="B6991" s="5" t="s">
        <v>12795</v>
      </c>
      <c r="C6991" s="6">
        <v>2.0</v>
      </c>
      <c r="D6991" s="7" t="s">
        <v>12796</v>
      </c>
      <c r="E6991" s="8" t="str">
        <f>IFERROR(__xludf.DUMMYFUNCTION("googletranslate(D6991,""id"",""en"")"),"PPKM is extended using the level again on the bill.")</f>
        <v>PPKM is extended using the level again on the bill.</v>
      </c>
    </row>
    <row r="6992" ht="15.75" customHeight="1">
      <c r="A6992" s="2">
        <v>6995.0</v>
      </c>
      <c r="B6992" s="5" t="s">
        <v>12797</v>
      </c>
      <c r="C6992" s="6">
        <v>1.0</v>
      </c>
      <c r="D6992" s="9" t="s">
        <v>12798</v>
      </c>
      <c r="E6992" s="8" t="str">
        <f>IFERROR(__xludf.DUMMYFUNCTION("googletranslate(D6992,""id"",""en"")"),"this father is yes, it's clear that the effective one is the boss's boss, if there are those who break the PPKM regulations, if this is the harder of LG employees, the small people are LG, it won't go down mobility, the case goes up because the people are"&amp;" priced at public transportation")</f>
        <v>this father is yes, it's clear that the effective one is the boss's boss, if there are those who break the PPKM regulations, if this is the harder of LG employees, the small people are LG, it won't go down mobility, the case goes up because the people are priced at public transportation</v>
      </c>
    </row>
    <row r="6993" ht="15.75" customHeight="1">
      <c r="A6993" s="2">
        <v>6996.0</v>
      </c>
      <c r="B6993" s="5" t="s">
        <v>12799</v>
      </c>
      <c r="C6993" s="6">
        <v>1.0</v>
      </c>
      <c r="D6993" s="9" t="s">
        <v>12800</v>
      </c>
      <c r="E6993" s="8" t="str">
        <f>IFERROR(__xludf.DUMMYFUNCTION("googletranslate(D6993,""id"",""en"")"),"The additional fate is not karuan PPKM continuously in the length I do it is difficult to make a living for a small family wife and my child work liburrrrrrrrrrrrrrrrrrrrrrrrrrrrrrrrrrrrrrrrrrrrrrrrrrrrrrrrrrrrrrrrrrrrrrrrrrrrrrrrrrrrrrrrrrrrrrrrrrrrrrrrr"&amp;"rrrrrrrrrrrrrrrrrrrrrrrrrrrst")</f>
        <v>The additional fate is not karuan PPKM continuously in the length I do it is difficult to make a living for a small family wife and my child work liburrrrrrrrrrrrrrrrrrrrrrrrrrrrrrrrrrrrrrrrrrrrrrrrrrrrrrrrrrrrrrrrrrrrrrrrrrrrrrrrrrrrrrrrrrrrrrrrrrrrrrrrrrrrrrrrrrrrrrrrrrrrrrrrrrrrst</v>
      </c>
    </row>
    <row r="6994" ht="15.75" customHeight="1">
      <c r="A6994" s="2">
        <v>6997.0</v>
      </c>
      <c r="B6994" s="5" t="s">
        <v>12801</v>
      </c>
      <c r="C6994" s="6">
        <v>1.0</v>
      </c>
      <c r="D6994" s="7" t="s">
        <v>12802</v>
      </c>
      <c r="E6994" s="8" t="str">
        <f>IFERROR(__xludf.DUMMYFUNCTION("googletranslate(D6994,""id"",""en"")"),"PPKPLelan - slowly we die.")</f>
        <v>PPKPLelan - slowly we die.</v>
      </c>
    </row>
    <row r="6995" ht="15.75" customHeight="1">
      <c r="A6995" s="2">
        <v>6998.0</v>
      </c>
      <c r="B6995" s="5" t="s">
        <v>12803</v>
      </c>
      <c r="C6995" s="6">
        <v>1.0</v>
      </c>
      <c r="D6995" s="9" t="s">
        <v>12803</v>
      </c>
      <c r="E6995" s="8" t="str">
        <f>IFERROR(__xludf.DUMMYFUNCTION("googletranslate(D6995,""id"",""en"")"),"This August the race to survive and this PPKM original can be a year ahead, only a week ago. Sunday ......")</f>
        <v>This August the race to survive and this PPKM original can be a year ahead, only a week ago. Sunday ......</v>
      </c>
    </row>
    <row r="6996" ht="15.75" customHeight="1">
      <c r="A6996" s="2">
        <v>6999.0</v>
      </c>
      <c r="B6996" s="5" t="s">
        <v>12804</v>
      </c>
      <c r="C6996" s="6">
        <v>1.0</v>
      </c>
      <c r="D6996" s="7" t="s">
        <v>12805</v>
      </c>
      <c r="E6996" s="8" t="str">
        <f>IFERROR(__xludf.DUMMYFUNCTION("googletranslate(D6996,""id"",""en"")"),"Removing the death rate from the PPKM level assessment indicator is considered dangerous because the handling of Covid-19 is carried out without the correct guide. This method causes handling Covid-19 like a car without a mirror.")</f>
        <v>Removing the death rate from the PPKM level assessment indicator is considered dangerous because the handling of Covid-19 is carried out without the correct guide. This method causes handling Covid-19 like a car without a mirror.</v>
      </c>
    </row>
    <row r="6997" ht="15.75" customHeight="1">
      <c r="A6997" s="2">
        <v>7000.0</v>
      </c>
      <c r="B6997" s="5" t="s">
        <v>12806</v>
      </c>
      <c r="C6997" s="6">
        <v>1.0</v>
      </c>
      <c r="D6997" s="7" t="s">
        <v>12807</v>
      </c>
      <c r="E6997" s="8" t="str">
        <f>IFERROR(__xludf.DUMMYFUNCTION("googletranslate(D6997,""id"",""en"")"),"The worse is what makes a PPKM policy but there is no help for a daily income people.")</f>
        <v>The worse is what makes a PPKM policy but there is no help for a daily income people.</v>
      </c>
    </row>
    <row r="6998" ht="15.75" customHeight="1">
      <c r="A6998" s="2">
        <v>7001.0</v>
      </c>
      <c r="B6998" s="5" t="s">
        <v>12808</v>
      </c>
      <c r="C6998" s="6">
        <v>1.0</v>
      </c>
      <c r="D6998" s="7" t="s">
        <v>12808</v>
      </c>
      <c r="E6998" s="8" t="str">
        <f>IFERROR(__xludf.DUMMYFUNCTION("googletranslate(D6998,""id"",""en"")"),"ppkm: slowly we go crazy")</f>
        <v>ppkm: slowly we go crazy</v>
      </c>
    </row>
    <row r="6999" ht="15.75" customHeight="1">
      <c r="A6999" s="2">
        <v>7002.0</v>
      </c>
      <c r="B6999" s="5" t="s">
        <v>12809</v>
      </c>
      <c r="C6999" s="6">
        <v>2.0</v>
      </c>
      <c r="D6999" s="7" t="s">
        <v>12810</v>
      </c>
      <c r="E6999" s="8" t="str">
        <f>IFERROR(__xludf.DUMMYFUNCTION("googletranslate(D6999,""id"",""en"")"),"The PPKM person instead became thin strange")</f>
        <v>The PPKM person instead became thin strange</v>
      </c>
    </row>
    <row r="7000" ht="15.75" customHeight="1">
      <c r="A7000" s="2">
        <v>7003.0</v>
      </c>
      <c r="B7000" s="5" t="s">
        <v>12811</v>
      </c>
      <c r="C7000" s="6">
        <v>2.0</v>
      </c>
      <c r="D7000" s="7" t="s">
        <v>12812</v>
      </c>
      <c r="E7000" s="8" t="str">
        <f>IFERROR(__xludf.DUMMYFUNCTION("googletranslate(D7000,""id"",""en"")"),"Just ppkm extended..pny km kpn extended?")</f>
        <v>Just ppkm extended..pny km kpn extended?</v>
      </c>
    </row>
    <row r="7001" ht="15.75" customHeight="1">
      <c r="A7001" s="2">
        <v>7004.0</v>
      </c>
      <c r="B7001" s="5" t="s">
        <v>12813</v>
      </c>
      <c r="C7001" s="6">
        <v>1.0</v>
      </c>
      <c r="D7001" s="7" t="s">
        <v>12814</v>
      </c>
      <c r="E7001" s="8" t="str">
        <f>IFERROR(__xludf.DUMMYFUNCTION("googletranslate(D7001,""id"",""en"")"),"Expert experts ... the nation hurts !! PPKM Jawa - Bali Further, TKA China further ...")</f>
        <v>Expert experts ... the nation hurts !! PPKM Jawa - Bali Further, TKA China further ...</v>
      </c>
    </row>
    <row r="7002" ht="15.75" customHeight="1">
      <c r="A7002" s="2">
        <v>7005.0</v>
      </c>
      <c r="B7002" s="5" t="s">
        <v>12815</v>
      </c>
      <c r="C7002" s="6">
        <v>1.0</v>
      </c>
      <c r="D7002" s="7" t="s">
        <v>12816</v>
      </c>
      <c r="E7002" s="8" t="str">
        <f>IFERROR(__xludf.DUMMYFUNCTION("googletranslate(D7002,""id"",""en"")"),"Residents in Gembat Gembord Obey Prokes .. PPKM is extended ... People find a living ... but Another side ... Yauda Lahya is also repvblik wakanda")</f>
        <v>Residents in Gembat Gembord Obey Prokes .. PPKM is extended ... People find a living ... but Another side ... Yauda Lahya is also repvblik wakanda</v>
      </c>
    </row>
    <row r="7003" ht="15.75" customHeight="1">
      <c r="A7003" s="2">
        <v>7006.0</v>
      </c>
      <c r="B7003" s="5" t="s">
        <v>12817</v>
      </c>
      <c r="C7003" s="6">
        <v>1.0</v>
      </c>
      <c r="D7003" s="9" t="s">
        <v>12818</v>
      </c>
      <c r="E7003" s="8" t="str">
        <f>IFERROR(__xludf.DUMMYFUNCTION("googletranslate(D7003,""id"",""en"")"),"Hehehe aamiin ya allah ... who likes PPKM opung superhero ... his heart is dead ... not sorry for the people.")</f>
        <v>Hehehe aamiin ya allah ... who likes PPKM opung superhero ... his heart is dead ... not sorry for the people.</v>
      </c>
    </row>
    <row r="7004" ht="15.75" customHeight="1">
      <c r="A7004" s="2">
        <v>7007.0</v>
      </c>
      <c r="B7004" s="5" t="s">
        <v>12819</v>
      </c>
      <c r="C7004" s="6">
        <v>1.0</v>
      </c>
      <c r="D7004" s="7" t="s">
        <v>12820</v>
      </c>
      <c r="E7004" s="8" t="str">
        <f>IFERROR(__xludf.DUMMYFUNCTION("googletranslate(D7004,""id"",""en"")"),"PPKM JAWA - Bali, others also participate ... Taikkk ...")</f>
        <v>PPKM JAWA - Bali, others also participate ... Taikkk ...</v>
      </c>
    </row>
    <row r="7005" ht="15.75" customHeight="1">
      <c r="A7005" s="2">
        <v>7008.0</v>
      </c>
      <c r="B7005" s="5" t="s">
        <v>12821</v>
      </c>
      <c r="C7005" s="6">
        <v>1.0</v>
      </c>
      <c r="D7005" s="9" t="s">
        <v>12822</v>
      </c>
      <c r="E7005" s="8" t="str">
        <f>IFERROR(__xludf.DUMMYFUNCTION("googletranslate(D7005,""id"",""en"")"),"Crazy bin is not sane, the PPKM limits the people ... troublesome people strangely smoothly smoothing foreign media nyeplos ... nyeplos again .... !!!")</f>
        <v>Crazy bin is not sane, the PPKM limits the people ... troublesome people strangely smoothly smoothing foreign media nyeplos ... nyeplos again .... !!!</v>
      </c>
    </row>
    <row r="7006" ht="15.75" customHeight="1">
      <c r="A7006" s="2">
        <v>7009.0</v>
      </c>
      <c r="B7006" s="5" t="s">
        <v>12823</v>
      </c>
      <c r="C7006" s="6">
        <v>1.0</v>
      </c>
      <c r="D7006" s="7" t="s">
        <v>12824</v>
      </c>
      <c r="E7006" s="8" t="str">
        <f>IFERROR(__xludf.DUMMYFUNCTION("googletranslate(D7006,""id"",""en"")"),"PPKM D extends per week so that Rp. T funds are enough until the year")</f>
        <v>PPKM D extends per week so that Rp. T funds are enough until the year</v>
      </c>
    </row>
    <row r="7007" ht="15.75" customHeight="1">
      <c r="A7007" s="2">
        <v>7010.0</v>
      </c>
      <c r="B7007" s="5" t="s">
        <v>12825</v>
      </c>
      <c r="C7007" s="6">
        <v>1.0</v>
      </c>
      <c r="D7007" s="9" t="s">
        <v>12825</v>
      </c>
      <c r="E7007" s="8" t="str">
        <f>IFERROR(__xludf.DUMMYFUNCTION("googletranslate(D7007,""id"",""en"")"),"ppkm makes it poor")</f>
        <v>ppkm makes it poor</v>
      </c>
    </row>
    <row r="7008" ht="15.75" customHeight="1">
      <c r="A7008" s="2">
        <v>7011.0</v>
      </c>
      <c r="B7008" s="5" t="s">
        <v>12826</v>
      </c>
      <c r="C7008" s="6">
        <v>2.0</v>
      </c>
      <c r="D7008" s="7" t="s">
        <v>12826</v>
      </c>
      <c r="E7008" s="8" t="str">
        <f>IFERROR(__xludf.DUMMYFUNCTION("googletranslate(D7008,""id"",""en"")"),"PPKM is extended until you and I become a husband and wife.")</f>
        <v>PPKM is extended until you and I become a husband and wife.</v>
      </c>
    </row>
    <row r="7009" ht="15.75" customHeight="1">
      <c r="A7009" s="2">
        <v>7012.0</v>
      </c>
      <c r="B7009" s="5" t="s">
        <v>12827</v>
      </c>
      <c r="C7009" s="6">
        <v>1.0</v>
      </c>
      <c r="D7009" s="9" t="s">
        <v>12828</v>
      </c>
      <c r="E7009" s="8" t="str">
        <f>IFERROR(__xludf.DUMMYFUNCTION("googletranslate(D7009,""id"",""en"")"),"I agree. The Least of Campus must apply this TTG concession. Moreover, for those who make a descriptive script and experiment. They need a lab, they need a locus. While it's all closed because of PPKM.")</f>
        <v>I agree. The Least of Campus must apply this TTG concession. Moreover, for those who make a descriptive script and experiment. They need a lab, they need a locus. While it's all closed because of PPKM.</v>
      </c>
    </row>
    <row r="7010" ht="15.75" customHeight="1">
      <c r="A7010" s="2">
        <v>7013.0</v>
      </c>
      <c r="B7010" s="5" t="s">
        <v>12829</v>
      </c>
      <c r="C7010" s="6">
        <v>2.0</v>
      </c>
      <c r="D7010" s="7" t="s">
        <v>12830</v>
      </c>
      <c r="E7010" s="8" t="str">
        <f>IFERROR(__xludf.DUMMYFUNCTION("googletranslate(D7010,""id"",""en"")"),"After all, you want to hahaha ppkm gini")</f>
        <v>After all, you want to hahaha ppkm gini</v>
      </c>
    </row>
    <row r="7011" ht="15.75" customHeight="1">
      <c r="A7011" s="2">
        <v>7014.0</v>
      </c>
      <c r="B7011" s="5" t="s">
        <v>12831</v>
      </c>
      <c r="C7011" s="6">
        <v>1.0</v>
      </c>
      <c r="D7011" s="7" t="s">
        <v>12832</v>
      </c>
      <c r="E7011" s="8" t="str">
        <f>IFERROR(__xludf.DUMMYFUNCTION("googletranslate(D7011,""id"",""en"")"),"When other countries have started normal Indonesia, we are prior to the PPKM")</f>
        <v>When other countries have started normal Indonesia, we are prior to the PPKM</v>
      </c>
    </row>
    <row r="7012" ht="15.75" customHeight="1">
      <c r="A7012" s="2">
        <v>7015.0</v>
      </c>
      <c r="B7012" s="5" t="s">
        <v>12833</v>
      </c>
      <c r="C7012" s="6">
        <v>2.0</v>
      </c>
      <c r="D7012" s="7" t="s">
        <v>12833</v>
      </c>
      <c r="E7012" s="8" t="str">
        <f>IFERROR(__xludf.DUMMYFUNCTION("googletranslate(D7012,""id"",""en"")"),"The original PPKM is a year, just in installments a week")</f>
        <v>The original PPKM is a year, just in installments a week</v>
      </c>
    </row>
    <row r="7013" ht="15.75" customHeight="1">
      <c r="A7013" s="2">
        <v>7016.0</v>
      </c>
      <c r="B7013" s="5" t="s">
        <v>12834</v>
      </c>
      <c r="C7013" s="6">
        <v>2.0</v>
      </c>
      <c r="D7013" s="7" t="s">
        <v>12835</v>
      </c>
      <c r="E7013" s="8" t="str">
        <f>IFERROR(__xludf.DUMMYFUNCTION("googletranslate(D7013,""id"",""en"")"),"Tempo also interpreted the elimination of death data not specific to decision making regional PPKM regions and certain dates.")</f>
        <v>Tempo also interpreted the elimination of death data not specific to decision making regional PPKM regions and certain dates.</v>
      </c>
    </row>
    <row r="7014" ht="15.75" customHeight="1">
      <c r="A7014" s="2">
        <v>7017.0</v>
      </c>
      <c r="B7014" s="5" t="s">
        <v>12836</v>
      </c>
      <c r="C7014" s="6">
        <v>1.0</v>
      </c>
      <c r="D7014" s="9" t="s">
        <v>12836</v>
      </c>
      <c r="E7014" s="8" t="str">
        <f>IFERROR(__xludf.DUMMYFUNCTION("googletranslate(D7014,""id"",""en"")"),"This pandemic doesn't know the government that is stressed becomes his behavior, mentang-mentang can't be burned by your office after PPKM right. Conscious woy.")</f>
        <v>This pandemic doesn't know the government that is stressed becomes his behavior, mentang-mentang can't be burned by your office after PPKM right. Conscious woy.</v>
      </c>
    </row>
    <row r="7015" ht="15.75" customHeight="1">
      <c r="A7015" s="2">
        <v>7018.0</v>
      </c>
      <c r="B7015" s="5" t="s">
        <v>12837</v>
      </c>
      <c r="C7015" s="6">
        <v>1.0</v>
      </c>
      <c r="D7015" s="9" t="s">
        <v>12838</v>
      </c>
      <c r="E7015" s="8" t="str">
        <f>IFERROR(__xludf.DUMMYFUNCTION("googletranslate(D7015,""id"",""en"")"),"The point is that if you want to manage Covid handling in developing countries, there are many rich Indonesian people with other countries (eg America, there are many people, or Singapore who are fellow ASEAN), yes clearly different: ') vaccines are made "&amp;"complicated, the announcement of the extension of the PPKM just deadline")</f>
        <v>The point is that if you want to manage Covid handling in developing countries, there are many rich Indonesian people with other countries (eg America, there are many people, or Singapore who are fellow ASEAN), yes clearly different: ') vaccines are made complicated, the announcement of the extension of the PPKM just deadline</v>
      </c>
    </row>
    <row r="7016" ht="15.75" customHeight="1">
      <c r="A7016" s="2">
        <v>7019.0</v>
      </c>
      <c r="B7016" s="5" t="s">
        <v>12839</v>
      </c>
      <c r="C7016" s="6">
        <v>2.0</v>
      </c>
      <c r="D7016" s="7" t="s">
        <v>12840</v>
      </c>
      <c r="E7016" s="8" t="str">
        <f>IFERROR(__xludf.DUMMYFUNCTION("googletranslate(D7016,""id"",""en"")"),"Just play maybe ... the fun of the ppkm, just apologize ... to Pa Mahfud.")</f>
        <v>Just play maybe ... the fun of the ppkm, just apologize ... to Pa Mahfud.</v>
      </c>
    </row>
    <row r="7017" ht="15.75" customHeight="1">
      <c r="A7017" s="2">
        <v>7020.0</v>
      </c>
      <c r="B7017" s="5" t="s">
        <v>12841</v>
      </c>
      <c r="C7017" s="6">
        <v>1.0</v>
      </c>
      <c r="D7017" s="9" t="s">
        <v>12842</v>
      </c>
      <c r="E7017" s="8" t="str">
        <f>IFERROR(__xludf.DUMMYFUNCTION("googletranslate(D7017,""id"",""en"")"),"I have research in hospitals, Stop Hospital Karna PPKM? Yes and then, what do you want, I'm intention to stay on the child, you say, don't you say?")</f>
        <v>I have research in hospitals, Stop Hospital Karna PPKM? Yes and then, what do you want, I'm intention to stay on the child, you say, don't you say?</v>
      </c>
    </row>
    <row r="7018" ht="15.75" customHeight="1">
      <c r="A7018" s="2">
        <v>7021.0</v>
      </c>
      <c r="B7018" s="5" t="s">
        <v>12843</v>
      </c>
      <c r="C7018" s="6">
        <v>2.0</v>
      </c>
      <c r="D7018" s="7" t="s">
        <v>12844</v>
      </c>
      <c r="E7018" s="8" t="str">
        <f>IFERROR(__xludf.DUMMYFUNCTION("googletranslate(D7018,""id"",""en"")"),"The first PPKM time, I'm still opening DA")</f>
        <v>The first PPKM time, I'm still opening DA</v>
      </c>
    </row>
    <row r="7019" ht="15.75" customHeight="1">
      <c r="A7019" s="2">
        <v>7022.0</v>
      </c>
      <c r="B7019" s="5" t="s">
        <v>12845</v>
      </c>
      <c r="C7019" s="6">
        <v>1.0</v>
      </c>
      <c r="D7019" s="7" t="s">
        <v>12846</v>
      </c>
      <c r="E7019" s="8" t="str">
        <f>IFERROR(__xludf.DUMMYFUNCTION("googletranslate(D7019,""id"",""en"")"),"Ppkm just for people here it's hard to find work, instead come again x")</f>
        <v>Ppkm just for people here it's hard to find work, instead come again x</v>
      </c>
    </row>
    <row r="7020" ht="15.75" customHeight="1">
      <c r="A7020" s="2">
        <v>7023.0</v>
      </c>
      <c r="B7020" s="5" t="s">
        <v>12847</v>
      </c>
      <c r="C7020" s="6">
        <v>2.0</v>
      </c>
      <c r="D7020" s="7" t="s">
        <v>12847</v>
      </c>
      <c r="E7020" s="8" t="str">
        <f>IFERROR(__xludf.DUMMYFUNCTION("googletranslate(D7020,""id"",""en"")"),"So PSG fans since PPKM.")</f>
        <v>So PSG fans since PPKM.</v>
      </c>
    </row>
    <row r="7021" ht="15.75" customHeight="1">
      <c r="A7021" s="2">
        <v>7024.0</v>
      </c>
      <c r="B7021" s="5" t="s">
        <v>12848</v>
      </c>
      <c r="C7021" s="6">
        <v>1.0</v>
      </c>
      <c r="D7021" s="7" t="s">
        <v>12849</v>
      </c>
      <c r="E7021" s="8" t="str">
        <f>IFERROR(__xludf.DUMMYFUNCTION("googletranslate(D7021,""id"",""en"")"),"The fate of our fate was reduced how while the PPKM continued to look for new jobs was difficult because PPJM too. Even the impact of Dr PPKM is a community forced to make online loans just to meet urgent needs. Even the disadvantage")</f>
        <v>The fate of our fate was reduced how while the PPKM continued to look for new jobs was difficult because PPJM too. Even the impact of Dr PPKM is a community forced to make online loans just to meet urgent needs. Even the disadvantage</v>
      </c>
    </row>
    <row r="7022" ht="15.75" customHeight="1">
      <c r="A7022" s="2">
        <v>7025.0</v>
      </c>
      <c r="B7022" s="5" t="s">
        <v>12850</v>
      </c>
      <c r="C7022" s="6">
        <v>3.0</v>
      </c>
      <c r="D7022" s="7" t="s">
        <v>12851</v>
      </c>
      <c r="E7022" s="8" t="str">
        <f>IFERROR(__xludf.DUMMYFUNCTION("googletranslate(D7022,""id"",""en"")"),"Assalamualaikum WR Wbmet Morning Residents TL Met Activities Fixed Discipline Prokes, Cat of PPKM, Immediately Vaccine, Stay Spirit Dg Red and White")</f>
        <v>Assalamualaikum WR Wbmet Morning Residents TL Met Activities Fixed Discipline Prokes, Cat of PPKM, Immediately Vaccine, Stay Spirit Dg Red and White</v>
      </c>
    </row>
    <row r="7023" ht="15.75" customHeight="1">
      <c r="A7023" s="2">
        <v>7026.0</v>
      </c>
      <c r="B7023" s="5" t="s">
        <v>12852</v>
      </c>
      <c r="C7023" s="6">
        <v>2.0</v>
      </c>
      <c r="D7023" s="7" t="s">
        <v>12853</v>
      </c>
      <c r="E7023" s="8" t="str">
        <f>IFERROR(__xludf.DUMMYFUNCTION("googletranslate(D7023,""id"",""en"")"),"yeah this is the PPKM completed")</f>
        <v>yeah this is the PPKM completed</v>
      </c>
    </row>
    <row r="7024" ht="15.75" customHeight="1">
      <c r="A7024" s="2">
        <v>7027.0</v>
      </c>
      <c r="B7024" s="5" t="s">
        <v>12854</v>
      </c>
      <c r="C7024" s="6">
        <v>2.0</v>
      </c>
      <c r="D7024" s="7" t="s">
        <v>12855</v>
      </c>
      <c r="E7024" s="8" t="str">
        <f>IFERROR(__xludf.DUMMYFUNCTION("googletranslate(D7024,""id"",""en"")"),"Want the PPKM extended or not, actually it doesn't have anything for me. Just like this, leaving in the morning coming home in the afternoon, the three-day holiday continued to want again.")</f>
        <v>Want the PPKM extended or not, actually it doesn't have anything for me. Just like this, leaving in the morning coming home in the afternoon, the three-day holiday continued to want again.</v>
      </c>
    </row>
    <row r="7025" ht="15.75" customHeight="1">
      <c r="A7025" s="2">
        <v>7028.0</v>
      </c>
      <c r="B7025" s="5" t="s">
        <v>12856</v>
      </c>
      <c r="C7025" s="6">
        <v>2.0</v>
      </c>
      <c r="D7025" s="7" t="s">
        <v>12857</v>
      </c>
      <c r="E7025" s="8" t="str">
        <f>IFERROR(__xludf.DUMMYFUNCTION("googletranslate(D7025,""id"",""en"")"),"Come on, how come the ladies are already working again because of the PPKM, the new rules we take advantage of this opportunity.")</f>
        <v>Come on, how come the ladies are already working again because of the PPKM, the new rules we take advantage of this opportunity.</v>
      </c>
    </row>
    <row r="7026" ht="15.75" customHeight="1">
      <c r="A7026" s="2">
        <v>7029.0</v>
      </c>
      <c r="B7026" s="5" t="s">
        <v>12858</v>
      </c>
      <c r="C7026" s="6">
        <v>1.0</v>
      </c>
      <c r="D7026" s="7" t="s">
        <v>12858</v>
      </c>
      <c r="E7026" s="8" t="str">
        <f>IFERROR(__xludf.DUMMYFUNCTION("googletranslate(D7026,""id"",""en"")"),"Extend Aje Teross PPKM KNTL")</f>
        <v>Extend Aje Teross PPKM KNTL</v>
      </c>
    </row>
    <row r="7027" ht="15.75" customHeight="1">
      <c r="A7027" s="2">
        <v>7030.0</v>
      </c>
      <c r="B7027" s="5" t="s">
        <v>12859</v>
      </c>
      <c r="C7027" s="6">
        <v>1.0</v>
      </c>
      <c r="D7027" s="7" t="s">
        <v>12860</v>
      </c>
      <c r="E7027" s="8" t="str">
        <f>IFERROR(__xludf.DUMMYFUNCTION("googletranslate(D7027,""id"",""en"")"),"It's emang ppkm yeah no need to walk sir")</f>
        <v>It's emang ppkm yeah no need to walk sir</v>
      </c>
    </row>
    <row r="7028" ht="15.75" customHeight="1">
      <c r="A7028" s="2">
        <v>7031.0</v>
      </c>
      <c r="B7028" s="5" t="s">
        <v>12861</v>
      </c>
      <c r="C7028" s="6">
        <v>2.0</v>
      </c>
      <c r="D7028" s="7" t="s">
        <v>12861</v>
      </c>
      <c r="E7028" s="8" t="str">
        <f>IFERROR(__xludf.DUMMYFUNCTION("googletranslate(D7028,""id"",""en"")"),"ppkm or not the same for us workers")</f>
        <v>ppkm or not the same for us workers</v>
      </c>
    </row>
    <row r="7029" ht="15.75" customHeight="1">
      <c r="A7029" s="2">
        <v>7032.0</v>
      </c>
      <c r="B7029" s="5" t="s">
        <v>12862</v>
      </c>
      <c r="C7029" s="6">
        <v>1.0</v>
      </c>
      <c r="D7029" s="9" t="s">
        <v>12863</v>
      </c>
      <c r="E7029" s="8" t="str">
        <f>IFERROR(__xludf.DUMMYFUNCTION("googletranslate(D7029,""id"",""en"")"),"This LV4 ppkm like me when I tried to play yu gi oh on the ps1, where did you look! Because the education hasn't arrived, how do you play and what missions should be done. But just play, how come, what happened. The important thing is that it can be fusio"&amp;"n.")</f>
        <v>This LV4 ppkm like me when I tried to play yu gi oh on the ps1, where did you look! Because the education hasn't arrived, how do you play and what missions should be done. But just play, how come, what happened. The important thing is that it can be fusion.</v>
      </c>
    </row>
    <row r="7030" ht="15.75" customHeight="1">
      <c r="A7030" s="2">
        <v>7033.0</v>
      </c>
      <c r="B7030" s="5" t="s">
        <v>12864</v>
      </c>
      <c r="C7030" s="6">
        <v>2.0</v>
      </c>
      <c r="D7030" s="7" t="s">
        <v>12864</v>
      </c>
      <c r="E7030" s="8" t="str">
        <f>IFERROR(__xludf.DUMMYFUNCTION("googletranslate(D7030,""id"",""en"")"),"Had thought to move the country that was no PPKM.")</f>
        <v>Had thought to move the country that was no PPKM.</v>
      </c>
    </row>
    <row r="7031" ht="15.75" customHeight="1">
      <c r="A7031" s="2">
        <v>7034.0</v>
      </c>
      <c r="B7031" s="5" t="s">
        <v>12865</v>
      </c>
      <c r="C7031" s="6">
        <v>1.0</v>
      </c>
      <c r="D7031" s="7" t="s">
        <v>12866</v>
      </c>
      <c r="E7031" s="8" t="str">
        <f>IFERROR(__xludf.DUMMYFUNCTION("googletranslate(D7031,""id"",""en"")"),"The body of the body extends because during his life likes to extend PPKM")</f>
        <v>The body of the body extends because during his life likes to extend PPKM</v>
      </c>
    </row>
    <row r="7032" ht="15.75" customHeight="1">
      <c r="A7032" s="2">
        <v>7035.0</v>
      </c>
      <c r="B7032" s="5" t="s">
        <v>12867</v>
      </c>
      <c r="C7032" s="6">
        <v>1.0</v>
      </c>
      <c r="D7032" s="7" t="s">
        <v>12868</v>
      </c>
      <c r="E7032" s="8" t="str">
        <f>IFERROR(__xludf.DUMMYFUNCTION("googletranslate(D7032,""id"",""en"")"),"PSBB2021 ppkmeehh bansos in corruption")</f>
        <v>PSBB2021 ppkmeehh bansos in corruption</v>
      </c>
    </row>
    <row r="7033" ht="15.75" customHeight="1">
      <c r="A7033" s="2">
        <v>7036.0</v>
      </c>
      <c r="B7033" s="5" t="s">
        <v>12869</v>
      </c>
      <c r="C7033" s="6">
        <v>2.0</v>
      </c>
      <c r="D7033" s="7" t="s">
        <v>12870</v>
      </c>
      <c r="E7033" s="8" t="str">
        <f>IFERROR(__xludf.DUMMYFUNCTION("googletranslate(D7033,""id"",""en"")"),"Do you know PPKM extended?")</f>
        <v>Do you know PPKM extended?</v>
      </c>
    </row>
    <row r="7034" ht="15.75" customHeight="1">
      <c r="A7034" s="2">
        <v>7037.0</v>
      </c>
      <c r="B7034" s="5" t="s">
        <v>12871</v>
      </c>
      <c r="C7034" s="6">
        <v>1.0</v>
      </c>
      <c r="D7034" s="9" t="s">
        <v>12872</v>
      </c>
      <c r="E7034" s="8" t="str">
        <f>IFERROR(__xludf.DUMMYFUNCTION("googletranslate(D7034,""id"",""en"")"),"How else, the PPKM just still have someone who doesn't make a mask, hang out, how come the road if the PPKM is dismissed? Corona is getting more fun")</f>
        <v>How else, the PPKM just still have someone who doesn't make a mask, hang out, how come the road if the PPKM is dismissed? Corona is getting more fun</v>
      </c>
    </row>
    <row r="7035" ht="15.75" customHeight="1">
      <c r="A7035" s="2">
        <v>7038.0</v>
      </c>
      <c r="B7035" s="5" t="s">
        <v>12873</v>
      </c>
      <c r="C7035" s="6">
        <v>2.0</v>
      </c>
      <c r="D7035" s="9" t="s">
        <v>12874</v>
      </c>
      <c r="E7035" s="8" t="str">
        <f>IFERROR(__xludf.DUMMYFUNCTION("googletranslate(D7035,""id"",""en"")"),"Do you want to ask you, if the vehicle tax payment is, during the Emergency PPKM to PPKM this level? Thank you in advance")</f>
        <v>Do you want to ask you, if the vehicle tax payment is, during the Emergency PPKM to PPKM this level? Thank you in advance</v>
      </c>
    </row>
    <row r="7036" ht="15.75" customHeight="1">
      <c r="A7036" s="2">
        <v>7039.0</v>
      </c>
      <c r="B7036" s="5" t="s">
        <v>12875</v>
      </c>
      <c r="C7036" s="6">
        <v>1.0</v>
      </c>
      <c r="D7036" s="9" t="s">
        <v>12876</v>
      </c>
      <c r="E7036" s="8" t="str">
        <f>IFERROR(__xludf.DUMMYFUNCTION("googletranslate(D7036,""id"",""en"")"),"So I asked for a BPK to think again to help people while getting can't even berate the scholars and other people. Even though it was my comment, many people wanted to help with his work because of the effects of PPKM and C19.")</f>
        <v>So I asked for a BPK to think again to help people while getting can't even berate the scholars and other people. Even though it was my comment, many people wanted to help with his work because of the effects of PPKM and C19.</v>
      </c>
    </row>
    <row r="7037" ht="15.75" customHeight="1">
      <c r="A7037" s="2">
        <v>7040.0</v>
      </c>
      <c r="B7037" s="5" t="s">
        <v>12877</v>
      </c>
      <c r="C7037" s="6">
        <v>1.0</v>
      </c>
      <c r="D7037" s="7" t="s">
        <v>12878</v>
      </c>
      <c r="E7037" s="8" t="str">
        <f>IFERROR(__xludf.DUMMYFUNCTION("googletranslate(D7037,""id"",""en"")"),"It's free, it's free, but I asked, because during the PPKM there was no prohibition for it, it was hanging out for hours there")</f>
        <v>It's free, it's free, but I asked, because during the PPKM there was no prohibition for it, it was hanging out for hours there</v>
      </c>
    </row>
    <row r="7038" ht="15.75" customHeight="1">
      <c r="A7038" s="2">
        <v>7041.0</v>
      </c>
      <c r="B7038" s="5" t="s">
        <v>12879</v>
      </c>
      <c r="C7038" s="6">
        <v>1.0</v>
      </c>
      <c r="D7038" s="9" t="s">
        <v>12880</v>
      </c>
      <c r="E7038" s="8" t="str">
        <f>IFERROR(__xludf.DUMMYFUNCTION("googletranslate(D7038,""id"",""en"")"),"PPKM to date the number of tests is reduced by death is ignored ... the date can state independence from the climit. Extraordinary independence gift ...")</f>
        <v>PPKM to date the number of tests is reduced by death is ignored ... the date can state independence from the climit. Extraordinary independence gift ...</v>
      </c>
    </row>
    <row r="7039" ht="15.75" customHeight="1">
      <c r="A7039" s="2">
        <v>7042.0</v>
      </c>
      <c r="B7039" s="5" t="s">
        <v>12881</v>
      </c>
      <c r="C7039" s="6">
        <v>1.0</v>
      </c>
      <c r="D7039" s="9" t="s">
        <v>12882</v>
      </c>
      <c r="E7039" s="8" t="str">
        <f>IFERROR(__xludf.DUMMYFUNCTION("googletranslate(D7039,""id"",""en"")"),"Karuan quarantine Udaaaah uses PPKM extension all of them are also pro restrictions for safety, but yes it won't use your mind too. RB Capital Trillion Lho In Pockets, It's hard to do it to eat the folk of babe during quarantine.")</f>
        <v>Karuan quarantine Udaaaah uses PPKM extension all of them are also pro restrictions for safety, but yes it won't use your mind too. RB Capital Trillion Lho In Pockets, It's hard to do it to eat the folk of babe during quarantine.</v>
      </c>
    </row>
    <row r="7040" ht="15.75" customHeight="1">
      <c r="A7040" s="2">
        <v>7043.0</v>
      </c>
      <c r="B7040" s="5" t="s">
        <v>12883</v>
      </c>
      <c r="C7040" s="6">
        <v>2.0</v>
      </c>
      <c r="D7040" s="7" t="s">
        <v>12883</v>
      </c>
      <c r="E7040" s="8" t="str">
        <f>IFERROR(__xludf.DUMMYFUNCTION("googletranslate(D7040,""id"",""en"")"),"PPKM continues to be installed every week, your fasting debt is when it was relief?")</f>
        <v>PPKM continues to be installed every week, your fasting debt is when it was relief?</v>
      </c>
    </row>
    <row r="7041" ht="15.75" customHeight="1">
      <c r="A7041" s="2">
        <v>7044.0</v>
      </c>
      <c r="B7041" s="5" t="s">
        <v>12884</v>
      </c>
      <c r="C7041" s="6">
        <v>1.0</v>
      </c>
      <c r="D7041" s="7" t="s">
        <v>12885</v>
      </c>
      <c r="E7041" s="8" t="str">
        <f>IFERROR(__xludf.DUMMYFUNCTION("googletranslate(D7041,""id"",""en"")"),"Yes micro emergency ppkm may only be a day off, namely next August Emergency PPKM in the continuation")</f>
        <v>Yes micro emergency ppkm may only be a day off, namely next August Emergency PPKM in the continuation</v>
      </c>
    </row>
    <row r="7042" ht="15.75" customHeight="1">
      <c r="A7042" s="2">
        <v>7045.0</v>
      </c>
      <c r="B7042" s="5" t="s">
        <v>12886</v>
      </c>
      <c r="C7042" s="6">
        <v>1.0</v>
      </c>
      <c r="D7042" s="7" t="s">
        <v>12887</v>
      </c>
      <c r="E7042" s="8" t="str">
        <f>IFERROR(__xludf.DUMMYFUNCTION("googletranslate(D7042,""id"",""en"")"),"PPKM bansos extortion? Why happen? Watch ... !!!")</f>
        <v>PPKM bansos extortion? Why happen? Watch ... !!!</v>
      </c>
    </row>
    <row r="7043" ht="15.75" customHeight="1">
      <c r="A7043" s="2">
        <v>7046.0</v>
      </c>
      <c r="B7043" s="5" t="s">
        <v>12888</v>
      </c>
      <c r="C7043" s="6">
        <v>1.0</v>
      </c>
      <c r="D7043" s="7" t="s">
        <v>12888</v>
      </c>
      <c r="E7043" s="8" t="str">
        <f>IFERROR(__xludf.DUMMYFUNCTION("googletranslate(D7043,""id"",""en"")"),"PPKM continues, Hadeh")</f>
        <v>PPKM continues, Hadeh</v>
      </c>
    </row>
    <row r="7044" ht="15.75" customHeight="1">
      <c r="A7044" s="2">
        <v>7047.0</v>
      </c>
      <c r="B7044" s="5" t="s">
        <v>12889</v>
      </c>
      <c r="C7044" s="6">
        <v>2.0</v>
      </c>
      <c r="D7044" s="7" t="s">
        <v>12890</v>
      </c>
      <c r="E7044" s="8" t="str">
        <f>IFERROR(__xludf.DUMMYFUNCTION("googletranslate(D7044,""id"",""en"")"),"This is the way the government is for PPKM moon but in Cicil hehehezaya has risen the price of gasoline")</f>
        <v>This is the way the government is for PPKM moon but in Cicil hehehezaya has risen the price of gasoline</v>
      </c>
    </row>
    <row r="7045" ht="15.75" customHeight="1">
      <c r="A7045" s="2">
        <v>7048.0</v>
      </c>
      <c r="B7045" s="5" t="s">
        <v>12891</v>
      </c>
      <c r="C7045" s="6">
        <v>3.0</v>
      </c>
      <c r="D7045" s="7" t="s">
        <v>12892</v>
      </c>
      <c r="E7045" s="8" t="str">
        <f>IFERROR(__xludf.DUMMYFUNCTION("googletranslate(D7045,""id"",""en"")"),"Just an extended holiday, the PPKM is also extended, still enthusiastically")</f>
        <v>Just an extended holiday, the PPKM is also extended, still enthusiastically</v>
      </c>
    </row>
    <row r="7046" ht="15.75" customHeight="1">
      <c r="A7046" s="2">
        <v>7049.0</v>
      </c>
      <c r="B7046" s="5" t="s">
        <v>12893</v>
      </c>
      <c r="C7046" s="6">
        <v>2.0</v>
      </c>
      <c r="D7046" s="7" t="s">
        <v>12894</v>
      </c>
      <c r="E7046" s="8" t="str">
        <f>IFERROR(__xludf.DUMMYFUNCTION("googletranslate(D7046,""id"",""en"")"),"Finally, work in after being unemployed because it was laid off.")</f>
        <v>Finally, work in after being unemployed because it was laid off.</v>
      </c>
    </row>
    <row r="7047" ht="15.75" customHeight="1">
      <c r="A7047" s="2">
        <v>7050.0</v>
      </c>
      <c r="B7047" s="5" t="s">
        <v>12895</v>
      </c>
      <c r="C7047" s="6">
        <v>1.0</v>
      </c>
      <c r="D7047" s="7" t="s">
        <v>12895</v>
      </c>
      <c r="E7047" s="8" t="str">
        <f>IFERROR(__xludf.DUMMYFUNCTION("googletranslate(D7047,""id"",""en"")"),"Udh tau ppkm, still there are hanging out, stupid bgtt")</f>
        <v>Udh tau ppkm, still there are hanging out, stupid bgtt</v>
      </c>
    </row>
    <row r="7048" ht="15.75" customHeight="1">
      <c r="A7048" s="2">
        <v>7051.0</v>
      </c>
      <c r="B7048" s="5" t="s">
        <v>12896</v>
      </c>
      <c r="C7048" s="6">
        <v>1.0</v>
      </c>
      <c r="D7048" s="7" t="s">
        <v>12897</v>
      </c>
      <c r="E7048" s="8" t="str">
        <f>IFERROR(__xludf.DUMMYFUNCTION("googletranslate(D7048,""id"",""en"")"),"Street winding towards, in any way will be tried to boost the image such as installing billboards in the middle of the emergency PPKM and people's suffering.")</f>
        <v>Street winding towards, in any way will be tried to boost the image such as installing billboards in the middle of the emergency PPKM and people's suffering.</v>
      </c>
    </row>
    <row r="7049" ht="15.75" customHeight="1">
      <c r="A7049" s="2">
        <v>7052.0</v>
      </c>
      <c r="B7049" s="5" t="s">
        <v>12898</v>
      </c>
      <c r="C7049" s="6">
        <v>2.0</v>
      </c>
      <c r="D7049" s="7" t="s">
        <v>12898</v>
      </c>
      <c r="E7049" s="8" t="str">
        <f>IFERROR(__xludf.DUMMYFUNCTION("googletranslate(D7049,""id"",""en"")"),"Emergency PPKM is extended until you realize that you and him cannot united")</f>
        <v>Emergency PPKM is extended until you realize that you and him cannot united</v>
      </c>
    </row>
    <row r="7050" ht="15.75" customHeight="1">
      <c r="A7050" s="2">
        <v>7053.0</v>
      </c>
      <c r="B7050" s="5" t="s">
        <v>12899</v>
      </c>
      <c r="C7050" s="6">
        <v>1.0</v>
      </c>
      <c r="D7050" s="7" t="s">
        <v>12900</v>
      </c>
      <c r="E7050" s="8" t="str">
        <f>IFERROR(__xludf.DUMMYFUNCTION("googletranslate(D7050,""id"",""en"")"),"Morning Make Planning, Night OverTTHinkingHiking and Camping Failed because PPKM was expanated")</f>
        <v>Morning Make Planning, Night OverTTHinkingHiking and Camping Failed because PPKM was expanated</v>
      </c>
    </row>
    <row r="7051" ht="15.75" customHeight="1">
      <c r="A7051" s="2">
        <v>7054.0</v>
      </c>
      <c r="B7051" s="5" t="s">
        <v>12901</v>
      </c>
      <c r="C7051" s="6">
        <v>1.0</v>
      </c>
      <c r="D7051" s="9" t="s">
        <v>12902</v>
      </c>
      <c r="E7051" s="8" t="str">
        <f>IFERROR(__xludf.DUMMYFUNCTION("googletranslate(D7051,""id"",""en"")"),"Boro Boro was asked for rewards, during this PPKM I could not get BST.")</f>
        <v>Boro Boro was asked for rewards, during this PPKM I could not get BST.</v>
      </c>
    </row>
    <row r="7052" ht="15.75" customHeight="1">
      <c r="A7052" s="2">
        <v>7055.0</v>
      </c>
      <c r="B7052" s="5" t="s">
        <v>12903</v>
      </c>
      <c r="C7052" s="6">
        <v>1.0</v>
      </c>
      <c r="D7052" s="7" t="s">
        <v>12904</v>
      </c>
      <c r="E7052" s="8" t="str">
        <f>IFERROR(__xludf.DUMMYFUNCTION("googletranslate(D7052,""id"",""en"")"),"gray ni gegara ppkm continues kak")</f>
        <v>gray ni gegara ppkm continues kak</v>
      </c>
    </row>
    <row r="7053" ht="15.75" customHeight="1">
      <c r="A7053" s="2">
        <v>7056.0</v>
      </c>
      <c r="B7053" s="5" t="s">
        <v>12905</v>
      </c>
      <c r="C7053" s="6">
        <v>1.0</v>
      </c>
      <c r="D7053" s="7" t="s">
        <v>12906</v>
      </c>
      <c r="E7053" s="8" t="str">
        <f>IFERROR(__xludf.DUMMYFUNCTION("googletranslate(D7053,""id"",""en"")"),"Mantabs ... Continue the Perjuanganmundak Cares for Your People Ndak Eating Because of this PPKM PolicyBravo ...")</f>
        <v>Mantabs ... Continue the Perjuanganmundak Cares for Your People Ndak Eating Because of this PPKM PolicyBravo ...</v>
      </c>
    </row>
    <row r="7054" ht="15.75" customHeight="1">
      <c r="A7054" s="2">
        <v>7057.0</v>
      </c>
      <c r="B7054" s="5" t="s">
        <v>12907</v>
      </c>
      <c r="C7054" s="6">
        <v>1.0</v>
      </c>
      <c r="D7054" s="7" t="s">
        <v>12907</v>
      </c>
      <c r="E7054" s="8" t="str">
        <f>IFERROR(__xludf.DUMMYFUNCTION("googletranslate(D7054,""id"",""en"")"),"LG PPKM trials are never underestimated")</f>
        <v>LG PPKM trials are never underestimated</v>
      </c>
    </row>
    <row r="7055" ht="15.75" customHeight="1">
      <c r="A7055" s="2">
        <v>7058.0</v>
      </c>
      <c r="B7055" s="5" t="s">
        <v>12908</v>
      </c>
      <c r="C7055" s="6">
        <v>2.0</v>
      </c>
      <c r="D7055" s="7" t="s">
        <v>12909</v>
      </c>
      <c r="E7055" s="8" t="str">
        <f>IFERROR(__xludf.DUMMYFUNCTION("googletranslate(D7055,""id"",""en"")"),"friend info dong culinary morning in poor which is recommended and still ttp on at the time of the ppkm, bro, bro? Thankks ...")</f>
        <v>friend info dong culinary morning in poor which is recommended and still ttp on at the time of the ppkm, bro, bro? Thankks ...</v>
      </c>
    </row>
    <row r="7056" ht="15.75" customHeight="1">
      <c r="A7056" s="2">
        <v>7059.0</v>
      </c>
      <c r="B7056" s="5" t="s">
        <v>12910</v>
      </c>
      <c r="C7056" s="6">
        <v>1.0</v>
      </c>
      <c r="D7056" s="7" t="s">
        <v>12911</v>
      </c>
      <c r="E7056" s="8" t="str">
        <f>IFERROR(__xludf.DUMMYFUNCTION("googletranslate(D7056,""id"",""en"")"),"emergency ppkm that has no emergency again ... it feels like")</f>
        <v>emergency ppkm that has no emergency again ... it feels like</v>
      </c>
    </row>
    <row r="7057" ht="15.75" customHeight="1">
      <c r="A7057" s="2">
        <v>7060.0</v>
      </c>
      <c r="B7057" s="5" t="s">
        <v>12912</v>
      </c>
      <c r="C7057" s="6">
        <v>1.0</v>
      </c>
      <c r="D7057" s="7" t="s">
        <v>12913</v>
      </c>
      <c r="E7057" s="8" t="str">
        <f>IFERROR(__xludf.DUMMYFUNCTION("googletranslate(D7057,""id"",""en"")"),"Debt nagih to the former BOSS, even though he was because he was again PPKM.")</f>
        <v>Debt nagih to the former BOSS, even though he was because he was again PPKM.</v>
      </c>
    </row>
    <row r="7058" ht="15.75" customHeight="1">
      <c r="A7058" s="2">
        <v>7061.0</v>
      </c>
      <c r="B7058" s="5" t="s">
        <v>12914</v>
      </c>
      <c r="C7058" s="6">
        <v>1.0</v>
      </c>
      <c r="D7058" s="7" t="s">
        <v>12915</v>
      </c>
      <c r="E7058" s="8" t="str">
        <f>IFERROR(__xludf.DUMMYFUNCTION("googletranslate(D7058,""id"",""en"")"),"I ask my brother: eh ppkm continued until August? My brother: until the end he said")</f>
        <v>I ask my brother: eh ppkm continued until August? My brother: until the end he said</v>
      </c>
    </row>
    <row r="7059" ht="15.75" customHeight="1">
      <c r="A7059" s="2">
        <v>7062.0</v>
      </c>
      <c r="B7059" s="5" t="s">
        <v>12916</v>
      </c>
      <c r="C7059" s="6">
        <v>1.0</v>
      </c>
      <c r="D7059" s="9" t="s">
        <v>12917</v>
      </c>
      <c r="E7059" s="8" t="str">
        <f>IFERROR(__xludf.DUMMYFUNCTION("googletranslate(D7059,""id"",""en"")"),"But it's not for immigration services, as long as the PPKM is only able to get to get it up ...")</f>
        <v>But it's not for immigration services, as long as the PPKM is only able to get to get it up ...</v>
      </c>
    </row>
    <row r="7060" ht="15.75" customHeight="1">
      <c r="A7060" s="2">
        <v>7063.0</v>
      </c>
      <c r="B7060" s="5" t="s">
        <v>12918</v>
      </c>
      <c r="C7060" s="6">
        <v>1.0</v>
      </c>
      <c r="D7060" s="7" t="s">
        <v>12919</v>
      </c>
      <c r="E7060" s="8" t="str">
        <f>IFERROR(__xludf.DUMMYFUNCTION("googletranslate(D7060,""id"",""en"")"),"Ppkm = slowly we mabur (flying) how to fly, just on the road to be covered")</f>
        <v>Ppkm = slowly we mabur (flying) how to fly, just on the road to be covered</v>
      </c>
    </row>
    <row r="7061" ht="15.75" customHeight="1">
      <c r="A7061" s="2">
        <v>7064.0</v>
      </c>
      <c r="B7061" s="5" t="s">
        <v>12920</v>
      </c>
      <c r="C7061" s="6">
        <v>2.0</v>
      </c>
      <c r="D7061" s="7" t="s">
        <v>12921</v>
      </c>
      <c r="E7061" s="8" t="str">
        <f>IFERROR(__xludf.DUMMYFUNCTION("googletranslate(D7061,""id"",""en"")"),"Wait for the PPKM to finish, really want to come here")</f>
        <v>Wait for the PPKM to finish, really want to come here</v>
      </c>
    </row>
    <row r="7062" ht="15.75" customHeight="1">
      <c r="A7062" s="2">
        <v>7065.0</v>
      </c>
      <c r="B7062" s="5" t="s">
        <v>12922</v>
      </c>
      <c r="C7062" s="6">
        <v>1.0</v>
      </c>
      <c r="D7062" s="9" t="s">
        <v>12923</v>
      </c>
      <c r="E7062" s="8" t="str">
        <f>IFERROR(__xludf.DUMMYFUNCTION("googletranslate(D7062,""id"",""en"")"),"If he is married because of love yes good for her, if you don't want to get married because I think I have everything, I don't have to hang out, you want to get married, your mother just helped Riweuh, Ni PPKM extended more and more strange people appeare"&amp;"d, yes, this is what this is brought to base ga phm")</f>
        <v>If he is married because of love yes good for her, if you don't want to get married because I think I have everything, I don't have to hang out, you want to get married, your mother just helped Riweuh, Ni PPKM extended more and more strange people appeared, yes, this is what this is brought to base ga phm</v>
      </c>
    </row>
    <row r="7063" ht="15.75" customHeight="1">
      <c r="A7063" s="2">
        <v>7066.0</v>
      </c>
      <c r="B7063" s="5" t="s">
        <v>12924</v>
      </c>
      <c r="C7063" s="6">
        <v>2.0</v>
      </c>
      <c r="D7063" s="9" t="s">
        <v>12925</v>
      </c>
      <c r="E7063" s="8" t="str">
        <f>IFERROR(__xludf.DUMMYFUNCTION("googletranslate(D7063,""id"",""en"")"),"Excuse me to ask. For example, the cellphone memory is full (dh gaada who can be pitted), the laptop doesn't support it because it's old (likes to take it), it can't be a parent cellphone because it's worn out. Again PPKM, Gabisa Minjem Device friend. Kee"&amp;"p going? But still ask for friends to please?")</f>
        <v>Excuse me to ask. For example, the cellphone memory is full (dh gaada who can be pitted), the laptop doesn't support it because it's old (likes to take it), it can't be a parent cellphone because it's worn out. Again PPKM, Gabisa Minjem Device friend. Keep going? But still ask for friends to please?</v>
      </c>
    </row>
    <row r="7064" ht="15.75" customHeight="1">
      <c r="A7064" s="2">
        <v>7067.0</v>
      </c>
      <c r="B7064" s="5" t="s">
        <v>12926</v>
      </c>
      <c r="C7064" s="6">
        <v>1.0</v>
      </c>
      <c r="D7064" s="9" t="s">
        <v>12927</v>
      </c>
      <c r="E7064" s="8" t="str">
        <f>IFERROR(__xludf.DUMMYFUNCTION("googletranslate(D7064,""id"",""en"")"),"My friend came home from runny, then ngechat to tell. I've known it code from him to invite me to meet. But I'm lazy to meet, don't have money, the PPKM is extended, plus now my job is a lot. Then he's just a bales ""oh yes it's already done"", does it fe"&amp;"el guilty, it's wrong?")</f>
        <v>My friend came home from runny, then ngechat to tell. I've known it code from him to invite me to meet. But I'm lazy to meet, don't have money, the PPKM is extended, plus now my job is a lot. Then he's just a bales "oh yes it's already done", does it feel guilty, it's wrong?</v>
      </c>
    </row>
    <row r="7065" ht="15.75" customHeight="1">
      <c r="A7065" s="2">
        <v>7068.0</v>
      </c>
      <c r="B7065" s="5" t="s">
        <v>12928</v>
      </c>
      <c r="C7065" s="6">
        <v>1.0</v>
      </c>
      <c r="D7065" s="9" t="s">
        <v>12929</v>
      </c>
      <c r="E7065" s="8" t="str">
        <f>IFERROR(__xludf.DUMMYFUNCTION("googletranslate(D7065,""id"",""en"")"),"I know the PPKM adds us so it's hard to but it's really stupid, it's really rich, it's also ya'lah, what's good to think that is rich, my advice is that my friend is rukiah, the stupid is unlimited")</f>
        <v>I know the PPKM adds us so it's hard to but it's really stupid, it's really rich, it's also ya'lah, what's good to think that is rich, my advice is that my friend is rukiah, the stupid is unlimited</v>
      </c>
    </row>
    <row r="7066" ht="15.75" customHeight="1">
      <c r="A7066" s="2">
        <v>7069.0</v>
      </c>
      <c r="B7066" s="5" t="s">
        <v>12930</v>
      </c>
      <c r="C7066" s="6">
        <v>2.0</v>
      </c>
      <c r="D7066" s="7" t="s">
        <v>12930</v>
      </c>
      <c r="E7066" s="8" t="str">
        <f>IFERROR(__xludf.DUMMYFUNCTION("googletranslate(D7066,""id"",""en"")"),"Want to ask, if stay cation to the hotel can not be during this PPKM?")</f>
        <v>Want to ask, if stay cation to the hotel can not be during this PPKM?</v>
      </c>
    </row>
    <row r="7067" ht="15.75" customHeight="1">
      <c r="A7067" s="2">
        <v>7070.0</v>
      </c>
      <c r="B7067" s="5" t="s">
        <v>12931</v>
      </c>
      <c r="C7067" s="6">
        <v>1.0</v>
      </c>
      <c r="D7067" s="9" t="s">
        <v>12932</v>
      </c>
      <c r="E7067" s="8" t="str">
        <f>IFERROR(__xludf.DUMMYFUNCTION("googletranslate(D7067,""id"",""en"")"),"Do you try riding a public vehicle at SALAMA PPKM? Driver of angkot compounding is quiet. Public vehicle is not just a bus, if you want to comfortably take a taxi. Don't have money to ride overwrite sustenance. Cape thinking about Corona eh Elo instead ta"&amp;"ught not really.")</f>
        <v>Do you try riding a public vehicle at SALAMA PPKM? Driver of angkot compounding is quiet. Public vehicle is not just a bus, if you want to comfortably take a taxi. Don't have money to ride overwrite sustenance. Cape thinking about Corona eh Elo instead taught not really.</v>
      </c>
    </row>
    <row r="7068" ht="15.75" customHeight="1">
      <c r="A7068" s="2">
        <v>7071.0</v>
      </c>
      <c r="B7068" s="5" t="s">
        <v>12933</v>
      </c>
      <c r="C7068" s="6">
        <v>2.0</v>
      </c>
      <c r="D7068" s="9" t="s">
        <v>12934</v>
      </c>
      <c r="E7068" s="8" t="str">
        <f>IFERROR(__xludf.DUMMYFUNCTION("googletranslate(D7068,""id"",""en"")"),"Semeton friends cannot always wait for the right time. Sometimes you have to dare to jump. - But wait for PPKM to finish first - good morning")</f>
        <v>Semeton friends cannot always wait for the right time. Sometimes you have to dare to jump. - But wait for PPKM to finish first - good morning</v>
      </c>
    </row>
    <row r="7069" ht="15.75" customHeight="1">
      <c r="A7069" s="2">
        <v>7072.0</v>
      </c>
      <c r="B7069" s="5" t="s">
        <v>12935</v>
      </c>
      <c r="C7069" s="6">
        <v>1.0</v>
      </c>
      <c r="D7069" s="7" t="s">
        <v>12935</v>
      </c>
      <c r="E7069" s="8" t="str">
        <f>IFERROR(__xludf.DUMMYFUNCTION("googletranslate(D7069,""id"",""en"")"),"PPKM extended until the prophet was dropped. Means that the Dajjal will not go to Indo. Nyabarin is the same slander, through zoom. Good grief.")</f>
        <v>PPKM extended until the prophet was dropped. Means that the Dajjal will not go to Indo. Nyabarin is the same slander, through zoom. Good grief.</v>
      </c>
    </row>
    <row r="7070" ht="15.75" customHeight="1">
      <c r="A7070" s="2">
        <v>7073.0</v>
      </c>
      <c r="B7070" s="5" t="s">
        <v>12936</v>
      </c>
      <c r="C7070" s="6">
        <v>2.0</v>
      </c>
      <c r="D7070" s="7" t="s">
        <v>12937</v>
      </c>
      <c r="E7070" s="8" t="str">
        <f>IFERROR(__xludf.DUMMYFUNCTION("googletranslate(D7070,""id"",""en"")"),"When will it open the cinema ... ?? just high school, the ppkm is finished ... ??")</f>
        <v>When will it open the cinema ... ?? just high school, the ppkm is finished ... ??</v>
      </c>
    </row>
    <row r="7071" ht="15.75" customHeight="1">
      <c r="A7071" s="2">
        <v>7074.0</v>
      </c>
      <c r="B7071" s="5" t="s">
        <v>12938</v>
      </c>
      <c r="C7071" s="6">
        <v>2.0</v>
      </c>
      <c r="D7071" s="9" t="s">
        <v>12939</v>
      </c>
      <c r="E7071" s="8" t="str">
        <f>IFERROR(__xludf.DUMMYFUNCTION("googletranslate(D7071,""id"",""en"")"),"I'm a strong PPKM level, especially if only Richeese")</f>
        <v>I'm a strong PPKM level, especially if only Richeese</v>
      </c>
    </row>
    <row r="7072" ht="15.75" customHeight="1">
      <c r="A7072" s="2">
        <v>7075.0</v>
      </c>
      <c r="B7072" s="5" t="s">
        <v>12940</v>
      </c>
      <c r="C7072" s="6">
        <v>1.0</v>
      </c>
      <c r="D7072" s="9" t="s">
        <v>12941</v>
      </c>
      <c r="E7072" s="8" t="str">
        <f>IFERROR(__xludf.DUMMYFUNCTION("googletranslate(D7072,""id"",""en"")"),"Ati2 kualat yes. Life is hard to even increasingly mandarat. Ati2. PPKM slowly quietly")</f>
        <v>Ati2 kualat yes. Life is hard to even increasingly mandarat. Ati2. PPKM slowly quietly</v>
      </c>
    </row>
    <row r="7073" ht="15.75" customHeight="1">
      <c r="A7073" s="2">
        <v>7076.0</v>
      </c>
      <c r="B7073" s="5" t="s">
        <v>12942</v>
      </c>
      <c r="C7073" s="6">
        <v>2.0</v>
      </c>
      <c r="D7073" s="7" t="s">
        <v>12942</v>
      </c>
      <c r="E7073" s="8" t="str">
        <f>IFERROR(__xludf.DUMMYFUNCTION("googletranslate(D7073,""id"",""en"")"),"Off Begawi amidst the ppkm Here is the way?")</f>
        <v>Off Begawi amidst the ppkm Here is the way?</v>
      </c>
    </row>
    <row r="7074" ht="15.75" customHeight="1">
      <c r="A7074" s="2">
        <v>7077.0</v>
      </c>
      <c r="B7074" s="5" t="s">
        <v>12943</v>
      </c>
      <c r="C7074" s="6">
        <v>2.0</v>
      </c>
      <c r="D7074" s="7" t="s">
        <v>12944</v>
      </c>
      <c r="E7074" s="8" t="str">
        <f>IFERROR(__xludf.DUMMYFUNCTION("googletranslate(D7074,""id"",""en"")"),"abis ppkm, ppkm again sir")</f>
        <v>abis ppkm, ppkm again sir</v>
      </c>
    </row>
    <row r="7075" ht="15.75" customHeight="1">
      <c r="A7075" s="2">
        <v>7078.0</v>
      </c>
      <c r="B7075" s="5" t="s">
        <v>12945</v>
      </c>
      <c r="C7075" s="6">
        <v>1.0</v>
      </c>
      <c r="D7075" s="7" t="s">
        <v>12946</v>
      </c>
      <c r="E7075" s="8" t="str">
        <f>IFERROR(__xludf.DUMMYFUNCTION("googletranslate(D7075,""id"",""en"")"),"Long hard durable makes it difficult for PPKM")</f>
        <v>Long hard durable makes it difficult for PPKM</v>
      </c>
    </row>
    <row r="7076" ht="15.75" customHeight="1">
      <c r="A7076" s="2">
        <v>7079.0</v>
      </c>
      <c r="B7076" s="5" t="s">
        <v>12947</v>
      </c>
      <c r="C7076" s="6">
        <v>2.0</v>
      </c>
      <c r="D7076" s="7" t="s">
        <v>12947</v>
      </c>
      <c r="E7076" s="8" t="str">
        <f>IFERROR(__xludf.DUMMYFUNCTION("googletranslate(D7076,""id"",""en"")"),"I said, what, the PPKM was actually a year, just beat the announcement")</f>
        <v>I said, what, the PPKM was actually a year, just beat the announcement</v>
      </c>
    </row>
    <row r="7077" ht="15.75" customHeight="1">
      <c r="A7077" s="2">
        <v>7080.0</v>
      </c>
      <c r="B7077" s="5" t="s">
        <v>12948</v>
      </c>
      <c r="C7077" s="6">
        <v>2.0</v>
      </c>
      <c r="D7077" s="7" t="s">
        <v>12948</v>
      </c>
      <c r="E7077" s="8" t="str">
        <f>IFERROR(__xludf.DUMMYFUNCTION("googletranslate(D7077,""id"",""en"")"),"PPKM is accompanied by Words Messi Memorahahah to Bournemouth ....")</f>
        <v>PPKM is accompanied by Words Messi Memorahahah to Bournemouth ....</v>
      </c>
    </row>
    <row r="7078" ht="15.75" customHeight="1">
      <c r="A7078" s="2">
        <v>7081.0</v>
      </c>
      <c r="B7078" s="5" t="s">
        <v>12949</v>
      </c>
      <c r="C7078" s="6">
        <v>1.0</v>
      </c>
      <c r="D7078" s="9" t="s">
        <v>12950</v>
      </c>
      <c r="E7078" s="8" t="str">
        <f>IFERROR(__xludf.DUMMYFUNCTION("googletranslate(D7078,""id"",""en"")"),"Ppkm when is the wrong si, want my vacation")</f>
        <v>Ppkm when is the wrong si, want my vacation</v>
      </c>
    </row>
    <row r="7079" ht="15.75" customHeight="1">
      <c r="A7079" s="2">
        <v>7082.0</v>
      </c>
      <c r="B7079" s="5" t="s">
        <v>12951</v>
      </c>
      <c r="C7079" s="6">
        <v>3.0</v>
      </c>
      <c r="D7079" s="9" t="s">
        <v>12952</v>
      </c>
      <c r="E7079" s="8" t="str">
        <f>IFERROR(__xludf.DUMMYFUNCTION("googletranslate(D7079,""id"",""en"")"),"Hopefully the bansos are channeled well. Amen. PPKM further spirit")</f>
        <v>Hopefully the bansos are channeled well. Amen. PPKM further spirit</v>
      </c>
    </row>
    <row r="7080" ht="15.75" customHeight="1">
      <c r="A7080" s="2">
        <v>7083.0</v>
      </c>
      <c r="B7080" s="5" t="s">
        <v>12953</v>
      </c>
      <c r="C7080" s="6">
        <v>1.0</v>
      </c>
      <c r="D7080" s="9" t="s">
        <v>12954</v>
      </c>
      <c r="E7080" s="8" t="str">
        <f>IFERROR(__xludf.DUMMYFUNCTION("googletranslate(D7080,""id"",""en"")"),"Nganji, the most people who feel the burden of Lu Lbih big dri traders who are determined to sell in pandemic and ppkm, you can still enjoy the money you're late as you don't have the people who suffer and don't want to be released. Your brain is gerekan "&amp;"or what?! Gedek I see this orng")</f>
        <v>Nganji, the most people who feel the burden of Lu Lbih big dri traders who are determined to sell in pandemic and ppkm, you can still enjoy the money you're late as you don't have the people who suffer and don't want to be released. Your brain is gerekan or what?! Gedek I see this orng</v>
      </c>
    </row>
    <row r="7081" ht="15.75" customHeight="1">
      <c r="A7081" s="2">
        <v>7084.0</v>
      </c>
      <c r="B7081" s="5" t="s">
        <v>12955</v>
      </c>
      <c r="C7081" s="6">
        <v>2.0</v>
      </c>
      <c r="D7081" s="7" t="s">
        <v>12956</v>
      </c>
      <c r="E7081" s="8" t="str">
        <f>IFERROR(__xludf.DUMMYFUNCTION("googletranslate(D7081,""id"",""en"")"),"Come on, which I opened the PPKM Gini Bray")</f>
        <v>Come on, which I opened the PPKM Gini Bray</v>
      </c>
    </row>
    <row r="7082" ht="15.75" customHeight="1">
      <c r="A7082" s="2">
        <v>7085.0</v>
      </c>
      <c r="B7082" s="5" t="s">
        <v>12957</v>
      </c>
      <c r="C7082" s="6">
        <v>2.0</v>
      </c>
      <c r="D7082" s="9" t="s">
        <v>12958</v>
      </c>
      <c r="E7082" s="8" t="str">
        <f>IFERROR(__xludf.DUMMYFUNCTION("googletranslate(D7082,""id"",""en"")"),"I'm even the habit of diem home nder, it's just work, now it's skrg if it comes out, it's lazy, so it likes it, it's used to get used to the PPKM")</f>
        <v>I'm even the habit of diem home nder, it's just work, now it's skrg if it comes out, it's lazy, so it likes it, it's used to get used to the PPKM</v>
      </c>
    </row>
    <row r="7083" ht="15.75" customHeight="1">
      <c r="A7083" s="2">
        <v>7086.0</v>
      </c>
      <c r="B7083" s="5" t="s">
        <v>12959</v>
      </c>
      <c r="C7083" s="6">
        <v>2.0</v>
      </c>
      <c r="D7083" s="9" t="s">
        <v>12960</v>
      </c>
      <c r="E7083" s="8" t="str">
        <f>IFERROR(__xludf.DUMMYFUNCTION("googletranslate(D7083,""id"",""en"")"),"September yaa gaes ... if the ppkm is not extended terooos ..")</f>
        <v>September yaa gaes ... if the ppkm is not extended terooos ..</v>
      </c>
    </row>
    <row r="7084" ht="15.75" customHeight="1">
      <c r="A7084" s="2">
        <v>7087.0</v>
      </c>
      <c r="B7084" s="5" t="s">
        <v>12961</v>
      </c>
      <c r="C7084" s="6">
        <v>1.0</v>
      </c>
      <c r="D7084" s="7" t="s">
        <v>12962</v>
      </c>
      <c r="E7084" s="8" t="str">
        <f>IFERROR(__xludf.DUMMYFUNCTION("googletranslate(D7084,""id"",""en"")"),"PPKM: Government employees are full of eating,")</f>
        <v>PPKM: Government employees are full of eating,</v>
      </c>
    </row>
    <row r="7085" ht="15.75" customHeight="1">
      <c r="A7085" s="2">
        <v>7088.0</v>
      </c>
      <c r="B7085" s="5" t="s">
        <v>12963</v>
      </c>
      <c r="C7085" s="6">
        <v>2.0</v>
      </c>
      <c r="D7085" s="10" t="s">
        <v>12964</v>
      </c>
      <c r="E7085" s="8" t="str">
        <f>IFERROR(__xludf.DUMMYFUNCTION("googletranslate(D7085,""id"",""en"")"),"PPKM, Boy.")</f>
        <v>PPKM, Boy.</v>
      </c>
    </row>
    <row r="7086" ht="15.75" customHeight="1">
      <c r="A7086" s="2">
        <v>7089.0</v>
      </c>
      <c r="B7086" s="5" t="s">
        <v>12965</v>
      </c>
      <c r="C7086" s="6">
        <v>2.0</v>
      </c>
      <c r="D7086" s="7" t="s">
        <v>12966</v>
      </c>
      <c r="E7086" s="8" t="str">
        <f>IFERROR(__xludf.DUMMYFUNCTION("googletranslate(D7086,""id"",""en"")"),"- PPKM extended - PPKM paid in installments")</f>
        <v>- PPKM extended - PPKM paid in installments</v>
      </c>
    </row>
    <row r="7087" ht="15.75" customHeight="1">
      <c r="A7087" s="2">
        <v>7090.0</v>
      </c>
      <c r="B7087" s="5" t="s">
        <v>12967</v>
      </c>
      <c r="C7087" s="6">
        <v>2.0</v>
      </c>
      <c r="D7087" s="7" t="s">
        <v>12968</v>
      </c>
      <c r="E7087" s="8" t="str">
        <f>IFERROR(__xludf.DUMMYFUNCTION("googletranslate(D7087,""id"",""en"")"),"Pedes are answered so that it is rich in PPKM")</f>
        <v>Pedes are answered so that it is rich in PPKM</v>
      </c>
    </row>
    <row r="7088" ht="15.75" customHeight="1">
      <c r="A7088" s="2">
        <v>7091.0</v>
      </c>
      <c r="B7088" s="5" t="s">
        <v>12969</v>
      </c>
      <c r="C7088" s="6">
        <v>1.0</v>
      </c>
      <c r="D7088" s="9" t="s">
        <v>12970</v>
      </c>
      <c r="E7088" s="8" t="str">
        <f>IFERROR(__xludf.DUMMYFUNCTION("googletranslate(D7088,""id"",""en"")"),"PPKM, how come, just all, all, a month")</f>
        <v>PPKM, how come, just all, all, a month</v>
      </c>
    </row>
    <row r="7089" ht="15.75" customHeight="1">
      <c r="A7089" s="2">
        <v>7092.0</v>
      </c>
      <c r="B7089" s="5" t="s">
        <v>12971</v>
      </c>
      <c r="C7089" s="6">
        <v>2.0</v>
      </c>
      <c r="D7089" s="7" t="s">
        <v>12972</v>
      </c>
      <c r="E7089" s="8" t="str">
        <f>IFERROR(__xludf.DUMMYFUNCTION("googletranslate(D7089,""id"",""en"")"),"[cm] Who is the FKG Professional Education, Are you a holiday not during PPKM?")</f>
        <v>[cm] Who is the FKG Professional Education, Are you a holiday not during PPKM?</v>
      </c>
    </row>
    <row r="7090" ht="15.75" customHeight="1">
      <c r="A7090" s="2">
        <v>7093.0</v>
      </c>
      <c r="B7090" s="5" t="s">
        <v>12973</v>
      </c>
      <c r="C7090" s="6">
        <v>1.0</v>
      </c>
      <c r="D7090" s="7" t="s">
        <v>12974</v>
      </c>
      <c r="E7090" s="8" t="str">
        <f>IFERROR(__xludf.DUMMYFUNCTION("googletranslate(D7090,""id"",""en"")"),"An extension of any PPKM title is only the government's efforts to escape from the responsibility of Law No. TTG quarantine. This Government SPT has not deserved to be maintained. Must be immediately lowered and responsible for more rb victims who died")</f>
        <v>An extension of any PPKM title is only the government's efforts to escape from the responsibility of Law No. TTG quarantine. This Government SPT has not deserved to be maintained. Must be immediately lowered and responsible for more rb victims who died</v>
      </c>
    </row>
    <row r="7091" ht="15.75" customHeight="1">
      <c r="A7091" s="2">
        <v>7094.0</v>
      </c>
      <c r="B7091" s="5" t="s">
        <v>12975</v>
      </c>
      <c r="C7091" s="6">
        <v>1.0</v>
      </c>
      <c r="D7091" s="7" t="s">
        <v>12976</v>
      </c>
      <c r="E7091" s="8" t="str">
        <f>IFERROR(__xludf.DUMMYFUNCTION("googletranslate(D7091,""id"",""en"")"),"Ppkm level kek fortress yajuj and forward")</f>
        <v>Ppkm level kek fortress yajuj and forward</v>
      </c>
    </row>
    <row r="7092" ht="15.75" customHeight="1">
      <c r="A7092" s="2">
        <v>7095.0</v>
      </c>
      <c r="B7092" s="5" t="s">
        <v>12977</v>
      </c>
      <c r="C7092" s="6">
        <v>2.0</v>
      </c>
      <c r="D7092" s="7" t="s">
        <v>12978</v>
      </c>
      <c r="E7092" s="8" t="str">
        <f>IFERROR(__xludf.DUMMYFUNCTION("googletranslate(D7092,""id"",""en"")"),"instead of PPKM tomorrow tomorrow AK told to test face to face")</f>
        <v>instead of PPKM tomorrow tomorrow AK told to test face to face</v>
      </c>
    </row>
    <row r="7093" ht="15.75" customHeight="1">
      <c r="A7093" s="2">
        <v>7096.0</v>
      </c>
      <c r="B7093" s="5" t="s">
        <v>12979</v>
      </c>
      <c r="C7093" s="6">
        <v>1.0</v>
      </c>
      <c r="D7093" s="7" t="s">
        <v>12979</v>
      </c>
      <c r="E7093" s="8" t="str">
        <f>IFERROR(__xludf.DUMMYFUNCTION("googletranslate(D7093,""id"",""en"")"),"PPKM committed continuously, the punishment of corruptors continued to be reduced .... Heyuu")</f>
        <v>PPKM committed continuously, the punishment of corruptors continued to be reduced .... Heyuu</v>
      </c>
    </row>
    <row r="7094" ht="15.75" customHeight="1">
      <c r="A7094" s="2">
        <v>7097.0</v>
      </c>
      <c r="B7094" s="5" t="s">
        <v>12980</v>
      </c>
      <c r="C7094" s="6">
        <v>2.0</v>
      </c>
      <c r="D7094" s="9" t="s">
        <v>12981</v>
      </c>
      <c r="E7094" s="8" t="str">
        <f>IFERROR(__xludf.DUMMYFUNCTION("googletranslate(D7094,""id"",""en"")"),"Taichan Taichan, PPKM extended first. Hopefully my efforts can fight against this")</f>
        <v>Taichan Taichan, PPKM extended first. Hopefully my efforts can fight against this</v>
      </c>
    </row>
    <row r="7095" ht="15.75" customHeight="1">
      <c r="A7095" s="2">
        <v>7098.0</v>
      </c>
      <c r="B7095" s="5" t="s">
        <v>12982</v>
      </c>
      <c r="C7095" s="6">
        <v>1.0</v>
      </c>
      <c r="D7095" s="7" t="s">
        <v>12983</v>
      </c>
      <c r="E7095" s="8" t="str">
        <f>IFERROR(__xludf.DUMMYFUNCTION("googletranslate(D7095,""id"",""en"")"),"It seems like yes, PPKM continues until")</f>
        <v>It seems like yes, PPKM continues until</v>
      </c>
    </row>
    <row r="7096" ht="15.75" customHeight="1">
      <c r="A7096" s="2">
        <v>7099.0</v>
      </c>
      <c r="B7096" s="5" t="s">
        <v>12984</v>
      </c>
      <c r="C7096" s="6">
        <v>3.0</v>
      </c>
      <c r="D7096" s="9" t="s">
        <v>12985</v>
      </c>
      <c r="E7096" s="8" t="str">
        <f>IFERROR(__xludf.DUMMYFUNCTION("googletranslate(D7096,""id"",""en"")"),"KRN PPKM is extended, still hrs reduce mobility outside the house even though it is holiday. Well, so it's not bored at home, I have an idea of ​​facial care + body that can be done at home, and there is also your favorite song that can be requested from "&amp;"now ~")</f>
        <v>KRN PPKM is extended, still hrs reduce mobility outside the house even though it is holiday. Well, so it's not bored at home, I have an idea of ​​facial care + body that can be done at home, and there is also your favorite song that can be requested from now ~</v>
      </c>
    </row>
    <row r="7097" ht="15.75" customHeight="1">
      <c r="A7097" s="2">
        <v>7100.0</v>
      </c>
      <c r="B7097" s="5" t="s">
        <v>12986</v>
      </c>
      <c r="C7097" s="6">
        <v>2.0</v>
      </c>
      <c r="D7097" s="7" t="s">
        <v>12986</v>
      </c>
      <c r="E7097" s="8" t="str">
        <f>IFERROR(__xludf.DUMMYFUNCTION("googletranslate(D7097,""id"",""en"")"),"Said the PPKM Ampe in December")</f>
        <v>Said the PPKM Ampe in December</v>
      </c>
    </row>
    <row r="7098" ht="15.75" customHeight="1">
      <c r="A7098" s="2">
        <v>7101.0</v>
      </c>
      <c r="B7098" s="5" t="s">
        <v>12987</v>
      </c>
      <c r="C7098" s="6">
        <v>1.0</v>
      </c>
      <c r="D7098" s="9" t="s">
        <v>12988</v>
      </c>
      <c r="E7098" s="8" t="str">
        <f>IFERROR(__xludf.DUMMYFUNCTION("googletranslate(D7098,""id"",""en"")"),"My ppkm, my vaccine is successful, but if it's extended and then when the trader returns a stupid business ... you think it's easy to change offline so online?")</f>
        <v>My ppkm, my vaccine is successful, but if it's extended and then when the trader returns a stupid business ... you think it's easy to change offline so online?</v>
      </c>
    </row>
    <row r="7099" ht="15.75" customHeight="1">
      <c r="A7099" s="2">
        <v>7102.0</v>
      </c>
      <c r="B7099" s="5" t="s">
        <v>12989</v>
      </c>
      <c r="C7099" s="6">
        <v>3.0</v>
      </c>
      <c r="D7099" s="7" t="s">
        <v>12990</v>
      </c>
      <c r="E7099" s="8" t="str">
        <f>IFERROR(__xludf.DUMMYFUNCTION("googletranslate(D7099,""id"",""en"")"),"Very useful because the PPKM concept is just going first")</f>
        <v>Very useful because the PPKM concept is just going first</v>
      </c>
    </row>
    <row r="7100" ht="15.75" customHeight="1">
      <c r="A7100" s="2">
        <v>7103.0</v>
      </c>
      <c r="B7100" s="5" t="s">
        <v>12991</v>
      </c>
      <c r="C7100" s="6">
        <v>1.0</v>
      </c>
      <c r="D7100" s="7" t="s">
        <v>12992</v>
      </c>
      <c r="E7100" s="8" t="str">
        <f>IFERROR(__xludf.DUMMYFUNCTION("googletranslate(D7100,""id"",""en"")"),"Mr. Gub will take care of the administration in the sub-district rejected on the grounds of PPKM.")</f>
        <v>Mr. Gub will take care of the administration in the sub-district rejected on the grounds of PPKM.</v>
      </c>
    </row>
    <row r="7101" ht="15.75" customHeight="1">
      <c r="A7101" s="2">
        <v>7104.0</v>
      </c>
      <c r="B7101" s="5" t="s">
        <v>12993</v>
      </c>
      <c r="C7101" s="6">
        <v>2.0</v>
      </c>
      <c r="D7101" s="7" t="s">
        <v>12993</v>
      </c>
      <c r="E7101" s="8" t="str">
        <f>IFERROR(__xludf.DUMMYFUNCTION("googletranslate(D7101,""id"",""en"")"),"""PPKM is extended, our relationship is what? Extended or not?""")</f>
        <v>"PPKM is extended, our relationship is what? Extended or not?"</v>
      </c>
    </row>
    <row r="7102" ht="15.75" customHeight="1">
      <c r="A7102" s="2">
        <v>7105.0</v>
      </c>
      <c r="B7102" s="5" t="s">
        <v>12994</v>
      </c>
      <c r="C7102" s="6">
        <v>1.0</v>
      </c>
      <c r="D7102" s="7" t="s">
        <v>12995</v>
      </c>
      <c r="E7102" s="8" t="str">
        <f>IFERROR(__xludf.DUMMYFUNCTION("googletranslate(D7102,""id"",""en"")"),"This PPKM Policy is taught during a pandemic, why try trying the city in the city to be cleared, many places are closed too except certain sectors, making it difficult for anyone who works can't WFH. for what is the red date shifted, it can't be a vacatio"&amp;"n")</f>
        <v>This PPKM Policy is taught during a pandemic, why try trying the city in the city to be cleared, many places are closed too except certain sectors, making it difficult for anyone who works can't WFH. for what is the red date shifted, it can't be a vacation</v>
      </c>
    </row>
    <row r="7103" ht="15.75" customHeight="1">
      <c r="A7103" s="2">
        <v>7106.0</v>
      </c>
      <c r="B7103" s="5" t="s">
        <v>12996</v>
      </c>
      <c r="C7103" s="6">
        <v>2.0</v>
      </c>
      <c r="D7103" s="7" t="s">
        <v>12997</v>
      </c>
      <c r="E7103" s="8" t="str">
        <f>IFERROR(__xludf.DUMMYFUNCTION("googletranslate(D7103,""id"",""en"")"),"Continuing Kayak PPKM.")</f>
        <v>Continuing Kayak PPKM.</v>
      </c>
    </row>
    <row r="7104" ht="15.75" customHeight="1">
      <c r="A7104" s="2">
        <v>7107.0</v>
      </c>
      <c r="B7104" s="5" t="s">
        <v>12998</v>
      </c>
      <c r="C7104" s="6">
        <v>2.0</v>
      </c>
      <c r="D7104" s="7" t="s">
        <v>12999</v>
      </c>
      <c r="E7104" s="8" t="str">
        <f>IFERROR(__xludf.DUMMYFUNCTION("googletranslate(D7104,""id"",""en"")"),"Expires the term PPKM on December or January ... ending.")</f>
        <v>Expires the term PPKM on December or January ... ending.</v>
      </c>
    </row>
    <row r="7105" ht="15.75" customHeight="1">
      <c r="A7105" s="2">
        <v>7108.0</v>
      </c>
      <c r="B7105" s="5" t="s">
        <v>13000</v>
      </c>
      <c r="C7105" s="6">
        <v>2.0</v>
      </c>
      <c r="D7105" s="10" t="s">
        <v>13000</v>
      </c>
      <c r="E7105" s="8" t="str">
        <f>IFERROR(__xludf.DUMMYFUNCTION("googletranslate(D7105,""id"",""en"")"),"PPKM continues")</f>
        <v>PPKM continues</v>
      </c>
    </row>
    <row r="7106" ht="15.75" customHeight="1">
      <c r="A7106" s="2">
        <v>7109.0</v>
      </c>
      <c r="B7106" s="5" t="s">
        <v>13001</v>
      </c>
      <c r="C7106" s="6">
        <v>1.0</v>
      </c>
      <c r="D7106" s="9" t="s">
        <v>13001</v>
      </c>
      <c r="E7106" s="8" t="str">
        <f>IFERROR(__xludf.DUMMYFUNCTION("googletranslate(D7106,""id"",""en"")"),"The trend of the case rises lo. The PPKM is extended means it does not ngefek blas")</f>
        <v>The trend of the case rises lo. The PPKM is extended means it does not ngefek blas</v>
      </c>
    </row>
    <row r="7107" ht="15.75" customHeight="1">
      <c r="A7107" s="2">
        <v>7110.0</v>
      </c>
      <c r="B7107" s="5" t="s">
        <v>13002</v>
      </c>
      <c r="C7107" s="6">
        <v>3.0</v>
      </c>
      <c r="D7107" s="7" t="s">
        <v>13003</v>
      </c>
      <c r="E7107" s="8" t="str">
        <f>IFERROR(__xludf.DUMMYFUNCTION("googletranslate(D7107,""id"",""en"")"),"PPKMPLelanPelan we won, the exact step Nastiti Lan ngati-ATI, surely our victory was getinsinsanyaAllah. Amen")</f>
        <v>PPKMPLelanPelan we won, the exact step Nastiti Lan ngati-ATI, surely our victory was getinsinsanyaAllah. Amen</v>
      </c>
    </row>
    <row r="7108" ht="15.75" customHeight="1">
      <c r="A7108" s="2">
        <v>7111.0</v>
      </c>
      <c r="B7108" s="5" t="s">
        <v>13004</v>
      </c>
      <c r="C7108" s="6">
        <v>2.0</v>
      </c>
      <c r="D7108" s="7" t="s">
        <v>13005</v>
      </c>
      <c r="E7108" s="8" t="str">
        <f>IFERROR(__xludf.DUMMYFUNCTION("googletranslate(D7108,""id"",""en"")"),"Really ppkm in installments for a year")</f>
        <v>Really ppkm in installments for a year</v>
      </c>
    </row>
    <row r="7109" ht="15.75" customHeight="1">
      <c r="A7109" s="2">
        <v>7112.0</v>
      </c>
      <c r="B7109" s="5" t="s">
        <v>13006</v>
      </c>
      <c r="C7109" s="6">
        <v>1.0</v>
      </c>
      <c r="D7109" s="7" t="s">
        <v>13007</v>
      </c>
      <c r="E7109" s="8" t="str">
        <f>IFERROR(__xludf.DUMMYFUNCTION("googletranslate(D7109,""id"",""en"")"),"Sdh tau ppkm, intentionally let this be mah.Dibuan as if the race is there, pdhal know it will not be done")</f>
        <v>Sdh tau ppkm, intentionally let this be mah.Dibuan as if the race is there, pdhal know it will not be done</v>
      </c>
    </row>
    <row r="7110" ht="15.75" customHeight="1">
      <c r="A7110" s="2">
        <v>7113.0</v>
      </c>
      <c r="B7110" s="5" t="s">
        <v>13008</v>
      </c>
      <c r="C7110" s="6">
        <v>2.0</v>
      </c>
      <c r="D7110" s="7" t="s">
        <v>13009</v>
      </c>
      <c r="E7110" s="8" t="str">
        <f>IFERROR(__xludf.DUMMYFUNCTION("googletranslate(D7110,""id"",""en"")"),"As long as there are Law or PPKM regulations, is there a mayor clause to free offenders ???")</f>
        <v>As long as there are Law or PPKM regulations, is there a mayor clause to free offenders ???</v>
      </c>
    </row>
    <row r="7111" ht="15.75" customHeight="1">
      <c r="A7111" s="2">
        <v>7114.0</v>
      </c>
      <c r="B7111" s="5" t="s">
        <v>13010</v>
      </c>
      <c r="C7111" s="6">
        <v>3.0</v>
      </c>
      <c r="D7111" s="7" t="s">
        <v>13011</v>
      </c>
      <c r="E7111" s="8" t="str">
        <f>IFERROR(__xludf.DUMMYFUNCTION("googletranslate(D7111,""id"",""en"")"),"Ppkm on fertile yes that is already married")</f>
        <v>Ppkm on fertile yes that is already married</v>
      </c>
    </row>
    <row r="7112" ht="15.75" customHeight="1">
      <c r="A7112" s="2">
        <v>7115.0</v>
      </c>
      <c r="B7112" s="5" t="s">
        <v>13012</v>
      </c>
      <c r="C7112" s="6">
        <v>1.0</v>
      </c>
      <c r="D7112" s="7" t="s">
        <v>13013</v>
      </c>
      <c r="E7112" s="8" t="str">
        <f>IFERROR(__xludf.DUMMYFUNCTION("googletranslate(D7112,""id"",""en"")"),"Albody, after PSBB unemployed for a long time there was no permanent income, in this PPKM program, I actually got a lot of money even though there was no work for my house, I had over my home loans, even though it had a provision of life, the house had to"&amp;" hover the PPKM level")</f>
        <v>Albody, after PSBB unemployed for a long time there was no permanent income, in this PPKM program, I actually got a lot of money even though there was no work for my house, I had over my home loans, even though it had a provision of life, the house had to hover the PPKM level</v>
      </c>
    </row>
    <row r="7113" ht="15.75" customHeight="1">
      <c r="A7113" s="2">
        <v>7116.0</v>
      </c>
      <c r="B7113" s="5" t="s">
        <v>13014</v>
      </c>
      <c r="C7113" s="6">
        <v>1.0</v>
      </c>
      <c r="D7113" s="9" t="s">
        <v>13015</v>
      </c>
      <c r="E7113" s="8" t="str">
        <f>IFERROR(__xludf.DUMMYFUNCTION("googletranslate(D7113,""id"",""en"")"),"It's okay for PPKM it continues. Forever you can. Our people are obedient. The important thing is that you can enter. If you need to give a red carpet!")</f>
        <v>It's okay for PPKM it continues. Forever you can. Our people are obedient. The important thing is that you can enter. If you need to give a red carpet!</v>
      </c>
    </row>
    <row r="7114" ht="15.75" customHeight="1">
      <c r="A7114" s="2">
        <v>7117.0</v>
      </c>
      <c r="B7114" s="5" t="s">
        <v>13016</v>
      </c>
      <c r="C7114" s="6">
        <v>2.0</v>
      </c>
      <c r="D7114" s="7" t="s">
        <v>13017</v>
      </c>
      <c r="E7114" s="8" t="str">
        <f>IFERROR(__xludf.DUMMYFUNCTION("googletranslate(D7114,""id"",""en"")"),"Since PPKM is extended")</f>
        <v>Since PPKM is extended</v>
      </c>
    </row>
    <row r="7115" ht="15.75" customHeight="1">
      <c r="A7115" s="2">
        <v>7118.0</v>
      </c>
      <c r="B7115" s="5" t="s">
        <v>13018</v>
      </c>
      <c r="C7115" s="6">
        <v>2.0</v>
      </c>
      <c r="D7115" s="7" t="s">
        <v>13019</v>
      </c>
      <c r="E7115" s="8" t="str">
        <f>IFERROR(__xludf.DUMMYFUNCTION("googletranslate(D7115,""id"",""en"")"),"It's really good to stay safe, it doesn't come, brother, just waiting for the PPKM")</f>
        <v>It's really good to stay safe, it doesn't come, brother, just waiting for the PPKM</v>
      </c>
    </row>
    <row r="7116" ht="15.75" customHeight="1">
      <c r="A7116" s="2">
        <v>7119.0</v>
      </c>
      <c r="B7116" s="5" t="s">
        <v>13020</v>
      </c>
      <c r="C7116" s="6">
        <v>1.0</v>
      </c>
      <c r="D7116" s="7" t="s">
        <v>13021</v>
      </c>
      <c r="E7116" s="8" t="str">
        <f>IFERROR(__xludf.DUMMYFUNCTION("googletranslate(D7116,""id"",""en"")"),"PPKM Level Either Disapamatahahari Seck Meanwhile Allowed many billboards covering the pertiwim maybe if the sun has a hand, surely the billboards are torn off. Budiman politicians, are there benefits for your people?")</f>
        <v>PPKM Level Either Disapamatahahari Seck Meanwhile Allowed many billboards covering the pertiwim maybe if the sun has a hand, surely the billboards are torn off. Budiman politicians, are there benefits for your people?</v>
      </c>
    </row>
    <row r="7117" ht="15.75" customHeight="1">
      <c r="A7117" s="2">
        <v>7120.0</v>
      </c>
      <c r="B7117" s="5" t="s">
        <v>13022</v>
      </c>
      <c r="C7117" s="6">
        <v>2.0</v>
      </c>
      <c r="D7117" s="7" t="s">
        <v>13023</v>
      </c>
      <c r="E7117" s="8" t="str">
        <f>IFERROR(__xludf.DUMMYFUNCTION("googletranslate(D7117,""id"",""en"")"),"Rich PPKM Well Pedes Level")</f>
        <v>Rich PPKM Well Pedes Level</v>
      </c>
    </row>
    <row r="7118" ht="15.75" customHeight="1">
      <c r="A7118" s="2">
        <v>7121.0</v>
      </c>
      <c r="B7118" s="5" t="s">
        <v>13024</v>
      </c>
      <c r="C7118" s="6">
        <v>2.0</v>
      </c>
      <c r="D7118" s="7" t="s">
        <v>13024</v>
      </c>
      <c r="E7118" s="8" t="str">
        <f>IFERROR(__xludf.DUMMYFUNCTION("googletranslate(D7118,""id"",""en"")"),"Intrigued by our regional PPKM NE, AE usual taste")</f>
        <v>Intrigued by our regional PPKM NE, AE usual taste</v>
      </c>
    </row>
    <row r="7119" ht="15.75" customHeight="1">
      <c r="A7119" s="2">
        <v>7122.0</v>
      </c>
      <c r="B7119" s="5" t="s">
        <v>13025</v>
      </c>
      <c r="C7119" s="6">
        <v>3.0</v>
      </c>
      <c r="D7119" s="9" t="s">
        <v>13026</v>
      </c>
      <c r="E7119" s="8" t="str">
        <f>IFERROR(__xludf.DUMMYFUNCTION("googletranslate(D7119,""id"",""en"")"),"There is fortunately also the ppkm, if it can't break it a day can come to the wedding a day")</f>
        <v>There is fortunately also the ppkm, if it can't break it a day can come to the wedding a day</v>
      </c>
    </row>
    <row r="7120" ht="15.75" customHeight="1">
      <c r="A7120" s="2">
        <v>7123.0</v>
      </c>
      <c r="B7120" s="5" t="s">
        <v>13027</v>
      </c>
      <c r="C7120" s="6">
        <v>1.0</v>
      </c>
      <c r="D7120" s="7" t="s">
        <v>13028</v>
      </c>
      <c r="E7120" s="8" t="str">
        <f>IFERROR(__xludf.DUMMYFUNCTION("googletranslate(D7120,""id"",""en"")"),"Just all the ppkm to let no strange strange term anymore")</f>
        <v>Just all the ppkm to let no strange strange term anymore</v>
      </c>
    </row>
    <row r="7121" ht="15.75" customHeight="1">
      <c r="A7121" s="2">
        <v>7124.0</v>
      </c>
      <c r="B7121" s="5" t="s">
        <v>13029</v>
      </c>
      <c r="C7121" s="6">
        <v>2.0</v>
      </c>
      <c r="D7121" s="7" t="s">
        <v>13030</v>
      </c>
      <c r="E7121" s="8" t="str">
        <f>IFERROR(__xludf.DUMMYFUNCTION("googletranslate(D7121,""id"",""en"")"),"Finally ... the final destination is almost trapapai ... and this APK doesn't extend the mission then continuously PPKM?")</f>
        <v>Finally ... the final destination is almost trapapai ... and this APK doesn't extend the mission then continuously PPKM?</v>
      </c>
    </row>
    <row r="7122" ht="15.75" customHeight="1">
      <c r="A7122" s="2">
        <v>7125.0</v>
      </c>
      <c r="B7122" s="5" t="s">
        <v>13031</v>
      </c>
      <c r="C7122" s="6">
        <v>1.0</v>
      </c>
      <c r="D7122" s="9" t="s">
        <v>13032</v>
      </c>
      <c r="E7122" s="8" t="str">
        <f>IFERROR(__xludf.DUMMYFUNCTION("googletranslate(D7122,""id"",""en"")"),"Lu Se Nolep, what can it be sensitive to what is wrong? I'm the one who is nolep, tw ppkm is extended once a week ...")</f>
        <v>Lu Se Nolep, what can it be sensitive to what is wrong? I'm the one who is nolep, tw ppkm is extended once a week ...</v>
      </c>
    </row>
    <row r="7123" ht="15.75" customHeight="1">
      <c r="A7123" s="2">
        <v>7126.0</v>
      </c>
      <c r="B7123" s="5" t="s">
        <v>13033</v>
      </c>
      <c r="C7123" s="6">
        <v>2.0</v>
      </c>
      <c r="D7123" s="7" t="s">
        <v>13034</v>
      </c>
      <c r="E7123" s="8" t="str">
        <f>IFERROR(__xludf.DUMMYFUNCTION("googletranslate(D7123,""id"",""en"")"),"Rather the PPKM is just like that. Amen.")</f>
        <v>Rather the PPKM is just like that. Amen.</v>
      </c>
    </row>
    <row r="7124" ht="15.75" customHeight="1">
      <c r="A7124" s="2">
        <v>7127.0</v>
      </c>
      <c r="B7124" s="5" t="s">
        <v>13035</v>
      </c>
      <c r="C7124" s="6">
        <v>2.0</v>
      </c>
      <c r="D7124" s="7" t="s">
        <v>13036</v>
      </c>
      <c r="E7124" s="8" t="str">
        <f>IFERROR(__xludf.DUMMYFUNCTION("googletranslate(D7124,""id"",""en"")"),"Already know the advanced PPKM and Alhamdulillah already finished the vaccine")</f>
        <v>Already know the advanced PPKM and Alhamdulillah already finished the vaccine</v>
      </c>
    </row>
    <row r="7125" ht="15.75" customHeight="1">
      <c r="A7125" s="2">
        <v>7128.0</v>
      </c>
      <c r="B7125" s="5" t="s">
        <v>13037</v>
      </c>
      <c r="C7125" s="6">
        <v>1.0</v>
      </c>
      <c r="D7125" s="7" t="s">
        <v>13038</v>
      </c>
      <c r="E7125" s="8" t="str">
        <f>IFERROR(__xludf.DUMMYFUNCTION("googletranslate(D7125,""id"",""en"")"),"on the PPKM, close the Gaseru clock")</f>
        <v>on the PPKM, close the Gaseru clock</v>
      </c>
    </row>
    <row r="7126" ht="15.75" customHeight="1">
      <c r="A7126" s="2">
        <v>7129.0</v>
      </c>
      <c r="B7126" s="5" t="s">
        <v>13039</v>
      </c>
      <c r="C7126" s="6">
        <v>2.0</v>
      </c>
      <c r="D7126" s="9" t="s">
        <v>13040</v>
      </c>
      <c r="E7126" s="8" t="str">
        <f>IFERROR(__xludf.DUMMYFUNCTION("googletranslate(D7126,""id"",""en"")"),"Start today, diet !! Just eat cm times. It seems like my ppkm.")</f>
        <v>Start today, diet !! Just eat cm times. It seems like my ppkm.</v>
      </c>
    </row>
    <row r="7127" ht="15.75" customHeight="1">
      <c r="A7127" s="2">
        <v>7130.0</v>
      </c>
      <c r="B7127" s="5" t="s">
        <v>13041</v>
      </c>
      <c r="C7127" s="6">
        <v>1.0</v>
      </c>
      <c r="D7127" s="7" t="s">
        <v>13042</v>
      </c>
      <c r="E7127" s="8" t="str">
        <f>IFERROR(__xludf.DUMMYFUNCTION("googletranslate(D7127,""id"",""en"")"),"Come on, Bang FZ Agenda the Rights of the DPR's inquiry why did TKA be left to enter our country when the people of PPKM SDG.")</f>
        <v>Come on, Bang FZ Agenda the Rights of the DPR's inquiry why did TKA be left to enter our country when the people of PPKM SDG.</v>
      </c>
    </row>
    <row r="7128" ht="15.75" customHeight="1">
      <c r="A7128" s="2">
        <v>7131.0</v>
      </c>
      <c r="B7128" s="5" t="s">
        <v>13043</v>
      </c>
      <c r="C7128" s="6">
        <v>2.0</v>
      </c>
      <c r="D7128" s="7" t="s">
        <v>13044</v>
      </c>
      <c r="E7128" s="8" t="str">
        <f>IFERROR(__xludf.DUMMYFUNCTION("googletranslate(D7128,""id"",""en"")"),"My guess, the PPKM will begin again after the August celebration. Just guess. Can miss.")</f>
        <v>My guess, the PPKM will begin again after the August celebration. Just guess. Can miss.</v>
      </c>
    </row>
    <row r="7129" ht="15.75" customHeight="1">
      <c r="A7129" s="2">
        <v>7132.0</v>
      </c>
      <c r="B7129" s="5" t="s">
        <v>13045</v>
      </c>
      <c r="C7129" s="6">
        <v>1.0</v>
      </c>
      <c r="D7129" s="7" t="s">
        <v>13046</v>
      </c>
      <c r="E7129" s="8" t="str">
        <f>IFERROR(__xludf.DUMMYFUNCTION("googletranslate(D7129,""id"",""en"")"),"Pas PPKM GA GA")</f>
        <v>Pas PPKM GA GA</v>
      </c>
    </row>
    <row r="7130" ht="15.75" customHeight="1">
      <c r="A7130" s="2">
        <v>7133.0</v>
      </c>
      <c r="B7130" s="5" t="s">
        <v>13047</v>
      </c>
      <c r="C7130" s="6">
        <v>2.0</v>
      </c>
      <c r="D7130" s="7" t="s">
        <v>13048</v>
      </c>
      <c r="E7130" s="8" t="str">
        <f>IFERROR(__xludf.DUMMYFUNCTION("googletranslate(D7130,""id"",""en"")"),"Pandemic cok is still ppkm")</f>
        <v>Pandemic cok is still ppkm</v>
      </c>
    </row>
    <row r="7131" ht="15.75" customHeight="1">
      <c r="A7131" s="2">
        <v>7134.0</v>
      </c>
      <c r="B7131" s="5" t="s">
        <v>13049</v>
      </c>
      <c r="C7131" s="6">
        <v>1.0</v>
      </c>
      <c r="D7131" s="9" t="s">
        <v>13050</v>
      </c>
      <c r="E7131" s="8" t="str">
        <f>IFERROR(__xludf.DUMMYFUNCTION("googletranslate(D7131,""id"",""en"")"),"How do you want Moving PPKM Mulu")</f>
        <v>How do you want Moving PPKM Mulu</v>
      </c>
    </row>
    <row r="7132" ht="15.75" customHeight="1">
      <c r="A7132" s="2">
        <v>7135.0</v>
      </c>
      <c r="B7132" s="5" t="s">
        <v>13051</v>
      </c>
      <c r="C7132" s="6">
        <v>2.0</v>
      </c>
      <c r="D7132" s="9" t="s">
        <v>13052</v>
      </c>
      <c r="E7132" s="8" t="str">
        <f>IFERROR(__xludf.DUMMYFUNCTION("googletranslate(D7132,""id"",""en"")"),"Just pray for prayers, I hope it's gapapa, again, if it's not possible for parents, I just need it. the blessing of the parents of the child, ni again, ppkm, also the city")</f>
        <v>Just pray for prayers, I hope it's gapapa, again, if it's not possible for parents, I just need it. the blessing of the parents of the child, ni again, ppkm, also the city</v>
      </c>
    </row>
    <row r="7133" ht="15.75" customHeight="1">
      <c r="A7133" s="2">
        <v>7136.0</v>
      </c>
      <c r="B7133" s="5" t="s">
        <v>13053</v>
      </c>
      <c r="C7133" s="6">
        <v>2.0</v>
      </c>
      <c r="D7133" s="7" t="s">
        <v>13054</v>
      </c>
      <c r="E7133" s="8" t="str">
        <f>IFERROR(__xludf.DUMMYFUNCTION("googletranslate(D7133,""id"",""en"")"),"APKh This is the ppkm mission which is the explanation then?")</f>
        <v>APKh This is the ppkm mission which is the explanation then?</v>
      </c>
    </row>
    <row r="7134" ht="15.75" customHeight="1">
      <c r="A7134" s="2">
        <v>7137.0</v>
      </c>
      <c r="B7134" s="5" t="s">
        <v>13055</v>
      </c>
      <c r="C7134" s="6">
        <v>1.0</v>
      </c>
      <c r="D7134" s="7" t="s">
        <v>13056</v>
      </c>
      <c r="E7134" s="8" t="str">
        <f>IFERROR(__xludf.DUMMYFUNCTION("googletranslate(D7134,""id"",""en"")"),"Now the target is UDH Mall. Try to see the Kmaren PPKM, it's not different. Just a moment at the beginning. Jakarta Udh turned over again.")</f>
        <v>Now the target is UDH Mall. Try to see the Kmaren PPKM, it's not different. Just a moment at the beginning. Jakarta Udh turned over again.</v>
      </c>
    </row>
    <row r="7135" ht="15.75" customHeight="1">
      <c r="A7135" s="2">
        <v>7138.0</v>
      </c>
      <c r="B7135" s="5" t="s">
        <v>13057</v>
      </c>
      <c r="C7135" s="6">
        <v>1.0</v>
      </c>
      <c r="D7135" s="9" t="s">
        <v>13058</v>
      </c>
      <c r="E7135" s="8" t="str">
        <f>IFERROR(__xludf.DUMMYFUNCTION("googletranslate(D7135,""id"",""en"")"),"PPKM which is indeed aimed at lifting vaccination projects before August2021 through various coercions &amp; amp; threat. What are the results / fruit? Get the highest champion / record of death in the world during the PPKM period. MasihCaya?")</f>
        <v>PPKM which is indeed aimed at lifting vaccination projects before August2021 through various coercions &amp; amp; threat. What are the results / fruit? Get the highest champion / record of death in the world during the PPKM period. MasihCaya?</v>
      </c>
    </row>
    <row r="7136" ht="15.75" customHeight="1">
      <c r="A7136" s="2">
        <v>7139.0</v>
      </c>
      <c r="B7136" s="5" t="s">
        <v>13059</v>
      </c>
      <c r="C7136" s="6">
        <v>3.0</v>
      </c>
      <c r="D7136" s="9" t="s">
        <v>13060</v>
      </c>
      <c r="E7136" s="8" t="str">
        <f>IFERROR(__xludf.DUMMYFUNCTION("googletranslate(D7136,""id"",""en"")"),"Se77 if the ppkm is extended to the date")</f>
        <v>Se77 if the ppkm is extended to the date</v>
      </c>
    </row>
    <row r="7137" ht="15.75" customHeight="1">
      <c r="A7137" s="2">
        <v>7140.0</v>
      </c>
      <c r="B7137" s="5" t="s">
        <v>13061</v>
      </c>
      <c r="C7137" s="6">
        <v>2.0</v>
      </c>
      <c r="D7137" s="7" t="s">
        <v>13062</v>
      </c>
      <c r="E7137" s="8" t="str">
        <f>IFERROR(__xludf.DUMMYFUNCTION("googletranslate(D7137,""id"",""en"")"),"PPKM Sugan effect")</f>
        <v>PPKM Sugan effect</v>
      </c>
    </row>
    <row r="7138" ht="15.75" customHeight="1">
      <c r="A7138" s="2">
        <v>7141.0</v>
      </c>
      <c r="B7138" s="5" t="s">
        <v>13063</v>
      </c>
      <c r="C7138" s="6">
        <v>1.0</v>
      </c>
      <c r="D7138" s="7" t="s">
        <v>13064</v>
      </c>
      <c r="E7138" s="8" t="str">
        <f>IFERROR(__xludf.DUMMYFUNCTION("googletranslate(D7138,""id"",""en"")"),"Suspect this news of bansos corruptors who asked for free to cover PPKM which was extended by Spy Angah Masy. the run into these corruptors doang")</f>
        <v>Suspect this news of bansos corruptors who asked for free to cover PPKM which was extended by Spy Angah Masy. the run into these corruptors doang</v>
      </c>
    </row>
    <row r="7139" ht="15.75" customHeight="1">
      <c r="A7139" s="2">
        <v>7142.0</v>
      </c>
      <c r="B7139" s="5" t="s">
        <v>13065</v>
      </c>
      <c r="C7139" s="6">
        <v>2.0</v>
      </c>
      <c r="D7139" s="7" t="s">
        <v>13066</v>
      </c>
      <c r="E7139" s="8" t="str">
        <f>IFERROR(__xludf.DUMMYFUNCTION("googletranslate(D7139,""id"",""en"")"),"Agustusan race because PPKM is this")</f>
        <v>Agustusan race because PPKM is this</v>
      </c>
    </row>
    <row r="7140" ht="15.75" customHeight="1">
      <c r="A7140" s="2">
        <v>7143.0</v>
      </c>
      <c r="B7140" s="5" t="s">
        <v>13067</v>
      </c>
      <c r="C7140" s="6">
        <v>3.0</v>
      </c>
      <c r="D7140" s="7" t="s">
        <v>13068</v>
      </c>
      <c r="E7140" s="8" t="str">
        <f>IFERROR(__xludf.DUMMYFUNCTION("googletranslate(D7140,""id"",""en"")"),"Be said to have succeeded in this ppkm. Yes even though we have to be patient")</f>
        <v>Be said to have succeeded in this ppkm. Yes even though we have to be patient</v>
      </c>
    </row>
    <row r="7141" ht="15.75" customHeight="1">
      <c r="A7141" s="2">
        <v>7144.0</v>
      </c>
      <c r="B7141" s="5" t="s">
        <v>13069</v>
      </c>
      <c r="C7141" s="6">
        <v>2.0</v>
      </c>
      <c r="D7141" s="7" t="s">
        <v>13070</v>
      </c>
      <c r="E7141" s="8" t="str">
        <f>IFERROR(__xludf.DUMMYFUNCTION("googletranslate(D7141,""id"",""en"")"),"kuy kak hopefully the ppkm is finished we meet up")</f>
        <v>kuy kak hopefully the ppkm is finished we meet up</v>
      </c>
    </row>
    <row r="7142" ht="15.75" customHeight="1">
      <c r="A7142" s="2">
        <v>7145.0</v>
      </c>
      <c r="B7142" s="5" t="s">
        <v>13071</v>
      </c>
      <c r="C7142" s="6">
        <v>1.0</v>
      </c>
      <c r="D7142" s="9" t="s">
        <v>13072</v>
      </c>
      <c r="E7142" s="8" t="str">
        <f>IFERROR(__xludf.DUMMYFUNCTION("googletranslate(D7142,""id"",""en"")"),"But later if you care about this he said the Indo government instead of managing the people who have suffered from PPKM, instead managing this")</f>
        <v>But later if you care about this he said the Indo government instead of managing the people who have suffered from PPKM, instead managing this</v>
      </c>
    </row>
    <row r="7143" ht="15.75" customHeight="1">
      <c r="A7143" s="2">
        <v>7146.0</v>
      </c>
      <c r="B7143" s="5" t="s">
        <v>13073</v>
      </c>
      <c r="C7143" s="6">
        <v>1.0</v>
      </c>
      <c r="D7143" s="7" t="s">
        <v>13074</v>
      </c>
      <c r="E7143" s="8" t="str">
        <f>IFERROR(__xludf.DUMMYFUNCTION("googletranslate(D7143,""id"",""en"")"),"Really smart ente commentnye, unfortunately the study is not as deep as a long-term government plan ... I've ever thought if the PPKM extended until, how the fate of the presidential election? Can be an emergency enactment, the government extends the term"&amp;" ... hopefully Faham all ...")</f>
        <v>Really smart ente commentnye, unfortunately the study is not as deep as a long-term government plan ... I've ever thought if the PPKM extended until, how the fate of the presidential election? Can be an emergency enactment, the government extends the term ... hopefully Faham all ...</v>
      </c>
    </row>
    <row r="7144" ht="15.75" customHeight="1">
      <c r="A7144" s="2">
        <v>7147.0</v>
      </c>
      <c r="B7144" s="5" t="s">
        <v>13075</v>
      </c>
      <c r="C7144" s="6">
        <v>3.0</v>
      </c>
      <c r="D7144" s="7" t="s">
        <v>13076</v>
      </c>
      <c r="E7144" s="8" t="str">
        <f>IFERROR(__xludf.DUMMYFUNCTION("googletranslate(D7144,""id"",""en"")"),"Alhamdulillah yes. PPKM further, but there are still socialities too. Minimal for our basic needs")</f>
        <v>Alhamdulillah yes. PPKM further, but there are still socialities too. Minimal for our basic needs</v>
      </c>
    </row>
    <row r="7145" ht="15.75" customHeight="1">
      <c r="A7145" s="2">
        <v>7148.0</v>
      </c>
      <c r="B7145" s="5" t="s">
        <v>13077</v>
      </c>
      <c r="C7145" s="6">
        <v>1.0</v>
      </c>
      <c r="D7145" s="7" t="s">
        <v>13078</v>
      </c>
      <c r="E7145" s="8" t="str">
        <f>IFERROR(__xludf.DUMMYFUNCTION("googletranslate(D7145,""id"",""en"")"),"Many PPKM Stock ...")</f>
        <v>Many PPKM Stock ...</v>
      </c>
    </row>
    <row r="7146" ht="15.75" customHeight="1">
      <c r="A7146" s="2">
        <v>7149.0</v>
      </c>
      <c r="B7146" s="5" t="s">
        <v>13079</v>
      </c>
      <c r="C7146" s="6">
        <v>2.0</v>
      </c>
      <c r="D7146" s="7" t="s">
        <v>13080</v>
      </c>
      <c r="E7146" s="8" t="str">
        <f>IFERROR(__xludf.DUMMYFUNCTION("googletranslate(D7146,""id"",""en"")"),"HBD Keeps Bo Until Rate PPKM")</f>
        <v>HBD Keeps Bo Until Rate PPKM</v>
      </c>
    </row>
    <row r="7147" ht="15.75" customHeight="1">
      <c r="A7147" s="2">
        <v>7150.0</v>
      </c>
      <c r="B7147" s="5" t="s">
        <v>13081</v>
      </c>
      <c r="C7147" s="6">
        <v>1.0</v>
      </c>
      <c r="D7147" s="9" t="s">
        <v>13082</v>
      </c>
      <c r="E7147" s="8" t="str">
        <f>IFERROR(__xludf.DUMMYFUNCTION("googletranslate(D7147,""id"",""en"")"),"this if September until September still PPKM, I'll pass the phase where the fans are again crowded on Shang-chi, but here it can't, even Black Widow hasn't been until D + Indo Pain")</f>
        <v>this if September until September still PPKM, I'll pass the phase where the fans are again crowded on Shang-chi, but here it can't, even Black Widow hasn't been until D + Indo Pain</v>
      </c>
    </row>
    <row r="7148" ht="15.75" customHeight="1">
      <c r="A7148" s="2">
        <v>7151.0</v>
      </c>
      <c r="B7148" s="5" t="s">
        <v>13083</v>
      </c>
      <c r="C7148" s="6">
        <v>2.0</v>
      </c>
      <c r="D7148" s="7" t="s">
        <v>13083</v>
      </c>
      <c r="E7148" s="8" t="str">
        <f>IFERROR(__xludf.DUMMYFUNCTION("googletranslate(D7148,""id"",""en"")"),"The ppkm is extended again we just sleep again")</f>
        <v>The ppkm is extended again we just sleep again</v>
      </c>
    </row>
    <row r="7149" ht="15.75" customHeight="1">
      <c r="A7149" s="2">
        <v>7152.0</v>
      </c>
      <c r="B7149" s="5" t="s">
        <v>13084</v>
      </c>
      <c r="C7149" s="6">
        <v>2.0</v>
      </c>
      <c r="D7149" s="7" t="s">
        <v>13084</v>
      </c>
      <c r="E7149" s="8" t="str">
        <f>IFERROR(__xludf.DUMMYFUNCTION("googletranslate(D7149,""id"",""en"")"),"It seems that the PPKM wants to be the problem, the problem is that there are those who have been dismantled")</f>
        <v>It seems that the PPKM wants to be the problem, the problem is that there are those who have been dismantled</v>
      </c>
    </row>
    <row r="7150" ht="15.75" customHeight="1">
      <c r="A7150" s="2">
        <v>7153.0</v>
      </c>
      <c r="B7150" s="5" t="s">
        <v>13085</v>
      </c>
      <c r="C7150" s="6">
        <v>1.0</v>
      </c>
      <c r="D7150" s="9" t="s">
        <v>13085</v>
      </c>
      <c r="E7150" s="8" t="str">
        <f>IFERROR(__xludf.DUMMYFUNCTION("googletranslate(D7150,""id"",""en"")"),"Jakarta air pollution is still high, even though the PPKM is extended ...")</f>
        <v>Jakarta air pollution is still high, even though the PPKM is extended ...</v>
      </c>
    </row>
    <row r="7151" ht="15.75" customHeight="1">
      <c r="A7151" s="2">
        <v>7154.0</v>
      </c>
      <c r="B7151" s="5" t="s">
        <v>13086</v>
      </c>
      <c r="C7151" s="6">
        <v>1.0</v>
      </c>
      <c r="D7151" s="7" t="s">
        <v>13087</v>
      </c>
      <c r="E7151" s="8" t="str">
        <f>IFERROR(__xludf.DUMMYFUNCTION("googletranslate(D7151,""id"",""en"")"),"Pcr jd requirements for kmn2, but until exorbitant. (India CM RB). People are told to be proces, but R-1 makes the crowd. The people are saving, but the PJBT spree is. RKYT is locked up by PPKM, but it can be kangkung. Rkyyat DMNTA JGA Harmony, TP Buzzerp"&amp;" is used for Mncing2 Prmusuhn.")</f>
        <v>Pcr jd requirements for kmn2, but until exorbitant. (India CM RB). People are told to be proces, but R-1 makes the crowd. The people are saving, but the PJBT spree is. RKYT is locked up by PPKM, but it can be kangkung. Rkyyat DMNTA JGA Harmony, TP Buzzerp is used for Mncing2 Prmusuhn.</v>
      </c>
    </row>
    <row r="7152" ht="15.75" customHeight="1">
      <c r="A7152" s="2">
        <v>7155.0</v>
      </c>
      <c r="B7152" s="5" t="s">
        <v>13088</v>
      </c>
      <c r="C7152" s="6">
        <v>2.0</v>
      </c>
      <c r="D7152" s="10" t="s">
        <v>13089</v>
      </c>
      <c r="E7152" s="8" t="str">
        <f>IFERROR(__xludf.DUMMYFUNCTION("googletranslate(D7152,""id"",""en"")"),"PPKM NDER")</f>
        <v>PPKM NDER</v>
      </c>
    </row>
    <row r="7153" ht="15.75" customHeight="1">
      <c r="A7153" s="2">
        <v>7156.0</v>
      </c>
      <c r="B7153" s="5" t="s">
        <v>13090</v>
      </c>
      <c r="C7153" s="6">
        <v>3.0</v>
      </c>
      <c r="D7153" s="9" t="s">
        <v>13091</v>
      </c>
      <c r="E7153" s="8" t="str">
        <f>IFERROR(__xludf.DUMMYFUNCTION("googletranslate(D7153,""id"",""en"")"),"Although many complain and grumbling about PPKM, Alhamdulillah in my area the atmosphere was still cool and optimistic to welcome tomorrow. Independent.....!!!!!")</f>
        <v>Although many complain and grumbling about PPKM, Alhamdulillah in my area the atmosphere was still cool and optimistic to welcome tomorrow. Independent.....!!!!!</v>
      </c>
    </row>
    <row r="7154" ht="15.75" customHeight="1">
      <c r="A7154" s="2">
        <v>7157.0</v>
      </c>
      <c r="B7154" s="5" t="s">
        <v>13092</v>
      </c>
      <c r="C7154" s="6">
        <v>1.0</v>
      </c>
      <c r="D7154" s="9" t="s">
        <v>13092</v>
      </c>
      <c r="E7154" s="8" t="str">
        <f>IFERROR(__xludf.DUMMYFUNCTION("googletranslate(D7154,""id"",""en"")"),"Gini life ""mulu. Work can't be paid kagak. After"" in tanbungan anjeenggu !!!! When does PPKM finish Bangst !!!!! Aaaaarrrrggfhhh.")</f>
        <v>Gini life "mulu. Work can't be paid kagak. After" in tanbungan anjeenggu !!!! When does PPKM finish Bangst !!!!! Aaaaarrrrggfhhh.</v>
      </c>
    </row>
    <row r="7155" ht="15.75" customHeight="1">
      <c r="A7155" s="2">
        <v>7158.0</v>
      </c>
      <c r="B7155" s="5" t="s">
        <v>13093</v>
      </c>
      <c r="C7155" s="6">
        <v>1.0</v>
      </c>
      <c r="D7155" s="7" t="s">
        <v>13094</v>
      </c>
      <c r="E7155" s="8" t="str">
        <f>IFERROR(__xludf.DUMMYFUNCTION("googletranslate(D7155,""id"",""en"")"),"Brarti other people are also entitled to holidays. Then what use ppkm?")</f>
        <v>Brarti other people are also entitled to holidays. Then what use ppkm?</v>
      </c>
    </row>
    <row r="7156" ht="15.75" customHeight="1">
      <c r="A7156" s="2">
        <v>7159.0</v>
      </c>
      <c r="B7156" s="5" t="s">
        <v>13095</v>
      </c>
      <c r="C7156" s="6">
        <v>1.0</v>
      </c>
      <c r="D7156" s="9" t="s">
        <v>13096</v>
      </c>
      <c r="E7156" s="8" t="str">
        <f>IFERROR(__xludf.DUMMYFUNCTION("googletranslate(D7156,""id"",""en"")"),"Ppkm plus what? Klu who made it ..... adeh ...")</f>
        <v>Ppkm plus what? Klu who made it ..... adeh ...</v>
      </c>
    </row>
    <row r="7157" ht="15.75" customHeight="1">
      <c r="A7157" s="2">
        <v>7160.0</v>
      </c>
      <c r="B7157" s="5" t="s">
        <v>13097</v>
      </c>
      <c r="C7157" s="6">
        <v>1.0</v>
      </c>
      <c r="D7157" s="7" t="s">
        <v>13098</v>
      </c>
      <c r="E7157" s="8" t="str">
        <f>IFERROR(__xludf.DUMMYFUNCTION("googletranslate(D7157,""id"",""en"")"),"The PPKM effect is horrified huh")</f>
        <v>The PPKM effect is horrified huh</v>
      </c>
    </row>
    <row r="7158" ht="15.75" customHeight="1">
      <c r="A7158" s="2">
        <v>7161.0</v>
      </c>
      <c r="B7158" s="5" t="s">
        <v>13099</v>
      </c>
      <c r="C7158" s="6">
        <v>2.0</v>
      </c>
      <c r="D7158" s="7" t="s">
        <v>13100</v>
      </c>
      <c r="E7158" s="8" t="str">
        <f>IFERROR(__xludf.DUMMYFUNCTION("googletranslate(D7158,""id"",""en"")"),"ppkm until when")</f>
        <v>ppkm until when</v>
      </c>
    </row>
    <row r="7159" ht="15.75" customHeight="1">
      <c r="A7159" s="2">
        <v>7162.0</v>
      </c>
      <c r="B7159" s="5" t="s">
        <v>13101</v>
      </c>
      <c r="C7159" s="6">
        <v>1.0</v>
      </c>
      <c r="D7159" s="7" t="s">
        <v>13102</v>
      </c>
      <c r="E7159" s="8" t="str">
        <f>IFERROR(__xludf.DUMMYFUNCTION("googletranslate(D7159,""id"",""en"")"),"Hatena's pain extended Jiga PPKM Anyeng")</f>
        <v>Hatena's pain extended Jiga PPKM Anyeng</v>
      </c>
    </row>
    <row r="7160" ht="15.75" customHeight="1">
      <c r="A7160" s="2">
        <v>7163.0</v>
      </c>
      <c r="B7160" s="5" t="s">
        <v>13103</v>
      </c>
      <c r="C7160" s="6">
        <v>2.0</v>
      </c>
      <c r="D7160" s="7" t="s">
        <v>13103</v>
      </c>
      <c r="E7160" s="8" t="str">
        <f>IFERROR(__xludf.DUMMYFUNCTION("googletranslate(D7160,""id"",""en"")"),"Marriage Pas PPKM Delicious Nie (Save Budget)")</f>
        <v>Marriage Pas PPKM Delicious Nie (Save Budget)</v>
      </c>
    </row>
    <row r="7161" ht="15.75" customHeight="1">
      <c r="A7161" s="2">
        <v>7164.0</v>
      </c>
      <c r="B7161" s="5" t="s">
        <v>13104</v>
      </c>
      <c r="C7161" s="6">
        <v>1.0</v>
      </c>
      <c r="D7161" s="9" t="s">
        <v>13105</v>
      </c>
      <c r="E7161" s="8" t="str">
        <f>IFERROR(__xludf.DUMMYFUNCTION("googletranslate(D7161,""id"",""en"")"),"First remember Wuhan got the flight virus open. Tube rame World high death ... frozen")</f>
        <v>First remember Wuhan got the flight virus open. Tube rame World high death ... frozen</v>
      </c>
    </row>
    <row r="7162" ht="15.75" customHeight="1">
      <c r="A7162" s="2">
        <v>7165.0</v>
      </c>
      <c r="B7162" s="5" t="s">
        <v>13106</v>
      </c>
      <c r="C7162" s="6">
        <v>2.0</v>
      </c>
      <c r="D7162" s="7" t="s">
        <v>13106</v>
      </c>
      <c r="E7162" s="8" t="str">
        <f>IFERROR(__xludf.DUMMYFUNCTION("googletranslate(D7162,""id"",""en"")"),"ppkm ... want to love kageyama miwa ..")</f>
        <v>ppkm ... want to love kageyama miwa ..</v>
      </c>
    </row>
    <row r="7163" ht="15.75" customHeight="1">
      <c r="A7163" s="2">
        <v>7166.0</v>
      </c>
      <c r="B7163" s="5" t="s">
        <v>13107</v>
      </c>
      <c r="C7163" s="6">
        <v>1.0</v>
      </c>
      <c r="D7163" s="7" t="s">
        <v>13108</v>
      </c>
      <c r="E7163" s="8" t="str">
        <f>IFERROR(__xludf.DUMMYFUNCTION("googletranslate(D7163,""id"",""en"")"),"The point is not daring to take care of the people, the PPKM has a level like food like the pedestal level, but it doesn't think the people live.")</f>
        <v>The point is not daring to take care of the people, the PPKM has a level like food like the pedestal level, but it doesn't think the people live.</v>
      </c>
    </row>
    <row r="7164" ht="15.75" customHeight="1">
      <c r="A7164" s="2">
        <v>7167.0</v>
      </c>
      <c r="B7164" s="5" t="s">
        <v>13109</v>
      </c>
      <c r="C7164" s="6">
        <v>1.0</v>
      </c>
      <c r="D7164" s="7" t="s">
        <v>13110</v>
      </c>
      <c r="E7164" s="8" t="str">
        <f>IFERROR(__xludf.DUMMYFUNCTION("googletranslate(D7164,""id"",""en"")"),"ppkm can't work")</f>
        <v>ppkm can't work</v>
      </c>
    </row>
    <row r="7165" ht="15.75" customHeight="1">
      <c r="A7165" s="2">
        <v>7168.0</v>
      </c>
      <c r="B7165" s="5" t="s">
        <v>13111</v>
      </c>
      <c r="C7165" s="6">
        <v>2.0</v>
      </c>
      <c r="D7165" s="7" t="s">
        <v>13112</v>
      </c>
      <c r="E7165" s="8" t="str">
        <f>IFERROR(__xludf.DUMMYFUNCTION("googletranslate(D7165,""id"",""en"")"),"Sir, you dare to correctly break the Rules of PPKM Mr. Luhut?")</f>
        <v>Sir, you dare to correctly break the Rules of PPKM Mr. Luhut?</v>
      </c>
    </row>
    <row r="7166" ht="15.75" customHeight="1">
      <c r="A7166" s="2">
        <v>7169.0</v>
      </c>
      <c r="B7166" s="5" t="s">
        <v>13113</v>
      </c>
      <c r="C7166" s="6">
        <v>2.0</v>
      </c>
      <c r="D7166" s="7" t="s">
        <v>13114</v>
      </c>
      <c r="E7166" s="8" t="str">
        <f>IFERROR(__xludf.DUMMYFUNCTION("googletranslate(D7166,""id"",""en"")"),"I, since the PPKM")</f>
        <v>I, since the PPKM</v>
      </c>
    </row>
    <row r="7167" ht="15.75" customHeight="1">
      <c r="A7167" s="2">
        <v>7170.0</v>
      </c>
      <c r="B7167" s="5" t="s">
        <v>13115</v>
      </c>
      <c r="C7167" s="6">
        <v>3.0</v>
      </c>
      <c r="D7167" s="7" t="s">
        <v>13116</v>
      </c>
      <c r="E7167" s="8" t="str">
        <f>IFERROR(__xludf.DUMMYFUNCTION("googletranslate(D7167,""id"",""en"")"),"Actually the most suitable marriage is right, ppkm, saving money")</f>
        <v>Actually the most suitable marriage is right, ppkm, saving money</v>
      </c>
    </row>
    <row r="7168" ht="15.75" customHeight="1">
      <c r="A7168" s="2">
        <v>7171.0</v>
      </c>
      <c r="B7168" s="5" t="s">
        <v>13117</v>
      </c>
      <c r="C7168" s="6">
        <v>1.0</v>
      </c>
      <c r="D7168" s="7" t="s">
        <v>13118</v>
      </c>
      <c r="E7168" s="8" t="str">
        <f>IFERROR(__xludf.DUMMYFUNCTION("googletranslate(D7168,""id"",""en"")"),"Others ask for the PPKM to be extended because it can't work and can't eat. This is only a crowded marriage case using everything")</f>
        <v>Others ask for the PPKM to be extended because it can't work and can't eat. This is only a crowded marriage case using everything</v>
      </c>
    </row>
    <row r="7169" ht="15.75" customHeight="1">
      <c r="A7169" s="2">
        <v>7172.0</v>
      </c>
      <c r="B7169" s="5" t="s">
        <v>13119</v>
      </c>
      <c r="C7169" s="6">
        <v>1.0</v>
      </c>
      <c r="D7169" s="9" t="s">
        <v>13120</v>
      </c>
      <c r="E7169" s="8" t="str">
        <f>IFERROR(__xludf.DUMMYFUNCTION("googletranslate(D7169,""id"",""en"")"),"Cons. Gini ppkm, how come it's determined to get married, then after PPKM, want to hold a wedding that can be attended by more people? Want to be covid? Where's the logic tho?")</f>
        <v>Cons. Gini ppkm, how come it's determined to get married, then after PPKM, want to hold a wedding that can be attended by more people? Want to be covid? Where's the logic tho?</v>
      </c>
    </row>
    <row r="7170" ht="15.75" customHeight="1">
      <c r="A7170" s="2">
        <v>7173.0</v>
      </c>
      <c r="B7170" s="5" t="s">
        <v>13121</v>
      </c>
      <c r="C7170" s="6">
        <v>2.0</v>
      </c>
      <c r="D7170" s="7" t="s">
        <v>13122</v>
      </c>
      <c r="E7170" s="8" t="str">
        <f>IFERROR(__xludf.DUMMYFUNCTION("googletranslate(D7170,""id"",""en"")"),"Little little MB don't lose M ppkm,")</f>
        <v>Little little MB don't lose M ppkm,</v>
      </c>
    </row>
    <row r="7171" ht="15.75" customHeight="1">
      <c r="A7171" s="2">
        <v>7174.0</v>
      </c>
      <c r="B7171" s="5" t="s">
        <v>13123</v>
      </c>
      <c r="C7171" s="6">
        <v>3.0</v>
      </c>
      <c r="D7171" s="7" t="s">
        <v>13124</v>
      </c>
      <c r="E7171" s="8" t="str">
        <f>IFERROR(__xludf.DUMMYFUNCTION("googletranslate(D7171,""id"",""en"")"),"Good morning also Mother, the spirit continues even if there is a PPKM not the cascendor")</f>
        <v>Good morning also Mother, the spirit continues even if there is a PPKM not the cascendor</v>
      </c>
    </row>
    <row r="7172" ht="15.75" customHeight="1">
      <c r="A7172" s="2">
        <v>7175.0</v>
      </c>
      <c r="B7172" s="5" t="s">
        <v>13125</v>
      </c>
      <c r="C7172" s="6">
        <v>3.0</v>
      </c>
      <c r="D7172" s="7" t="s">
        <v>13126</v>
      </c>
      <c r="E7172" s="8" t="str">
        <f>IFERROR(__xludf.DUMMYFUNCTION("googletranslate(D7172,""id"",""en"")"),"Really, bro, we must uphold the unity and unity of the nation. Moreover PPKM like this, your spirit")</f>
        <v>Really, bro, we must uphold the unity and unity of the nation. Moreover PPKM like this, your spirit</v>
      </c>
    </row>
    <row r="7173" ht="15.75" customHeight="1">
      <c r="A7173" s="2">
        <v>7176.0</v>
      </c>
      <c r="B7173" s="5" t="s">
        <v>13127</v>
      </c>
      <c r="C7173" s="6">
        <v>1.0</v>
      </c>
      <c r="D7173" s="7" t="s">
        <v>13128</v>
      </c>
      <c r="E7173" s="8" t="str">
        <f>IFERROR(__xludf.DUMMYFUNCTION("googletranslate(D7173,""id"",""en"")"),"Ppkm road keeps the bill also go here here")</f>
        <v>Ppkm road keeps the bill also go here here</v>
      </c>
    </row>
    <row r="7174" ht="15.75" customHeight="1">
      <c r="A7174" s="2">
        <v>7177.0</v>
      </c>
      <c r="B7174" s="5" t="s">
        <v>13129</v>
      </c>
      <c r="C7174" s="6">
        <v>1.0</v>
      </c>
      <c r="D7174" s="7" t="s">
        <v>13129</v>
      </c>
      <c r="E7174" s="8" t="str">
        <f>IFERROR(__xludf.DUMMYFUNCTION("googletranslate(D7174,""id"",""en"")"),"Want to go home, when PPKM is over")</f>
        <v>Want to go home, when PPKM is over</v>
      </c>
    </row>
    <row r="7175" ht="15.75" customHeight="1">
      <c r="A7175" s="2">
        <v>7178.0</v>
      </c>
      <c r="B7175" s="5" t="s">
        <v>13130</v>
      </c>
      <c r="C7175" s="6">
        <v>1.0</v>
      </c>
      <c r="D7175" s="7" t="s">
        <v>13130</v>
      </c>
      <c r="E7175" s="8" t="str">
        <f>IFERROR(__xludf.DUMMYFUNCTION("googletranslate(D7175,""id"",""en"")"),"Suspension of PPKM Tuh Berun, actually the policy is actually installed, a week of a week's rich extension of the bank.")</f>
        <v>Suspension of PPKM Tuh Berun, actually the policy is actually installed, a week of a week's rich extension of the bank.</v>
      </c>
    </row>
    <row r="7176" ht="15.75" customHeight="1">
      <c r="A7176" s="2">
        <v>7179.0</v>
      </c>
      <c r="B7176" s="5" t="s">
        <v>13131</v>
      </c>
      <c r="C7176" s="6">
        <v>1.0</v>
      </c>
      <c r="D7176" s="7" t="s">
        <v>13132</v>
      </c>
      <c r="E7176" s="8" t="str">
        <f>IFERROR(__xludf.DUMMYFUNCTION("googletranslate(D7176,""id"",""en"")"),"PPKM PLANGA PLONGOKACUNG MADAM")</f>
        <v>PPKM PLANGA PLONGOKACUNG MADAM</v>
      </c>
    </row>
    <row r="7177" ht="15.75" customHeight="1">
      <c r="A7177" s="2">
        <v>7180.0</v>
      </c>
      <c r="B7177" s="5" t="s">
        <v>13133</v>
      </c>
      <c r="C7177" s="6">
        <v>1.0</v>
      </c>
      <c r="D7177" s="7" t="s">
        <v>13134</v>
      </c>
      <c r="E7177" s="8" t="str">
        <f>IFERROR(__xludf.DUMMYFUNCTION("googletranslate(D7177,""id"",""en"")"),"Far aahh, the Bogor area is just ... ppkm knows you don't have a vaccine card, it's far from being told to behind LG")</f>
        <v>Far aahh, the Bogor area is just ... ppkm knows you don't have a vaccine card, it's far from being told to behind LG</v>
      </c>
    </row>
    <row r="7178" ht="15.75" customHeight="1">
      <c r="A7178" s="2">
        <v>7181.0</v>
      </c>
      <c r="B7178" s="5" t="s">
        <v>13135</v>
      </c>
      <c r="C7178" s="6">
        <v>1.0</v>
      </c>
      <c r="D7178" s="9" t="s">
        <v>13136</v>
      </c>
      <c r="E7178" s="8" t="str">
        <f>IFERROR(__xludf.DUMMYFUNCTION("googletranslate(D7178,""id"",""en"")"),"Ahhh, just want to be charged, right? Do you think it's easy to lockdown? Wong ppkm just a lot of assistance was cut by many people, how to lock down wah became a person who had so far, liked screaming on Lockdown Donk. It was considered by COIIIII")</f>
        <v>Ahhh, just want to be charged, right? Do you think it's easy to lockdown? Wong ppkm just a lot of assistance was cut by many people, how to lock down wah became a person who had so far, liked screaming on Lockdown Donk. It was considered by COIIIII</v>
      </c>
    </row>
    <row r="7179" ht="15.75" customHeight="1">
      <c r="A7179" s="2">
        <v>7182.0</v>
      </c>
      <c r="B7179" s="5" t="s">
        <v>13137</v>
      </c>
      <c r="C7179" s="6">
        <v>1.0</v>
      </c>
      <c r="D7179" s="9" t="s">
        <v>13138</v>
      </c>
      <c r="E7179" s="8" t="str">
        <f>IFERROR(__xludf.DUMMYFUNCTION("googletranslate(D7179,""id"",""en"")"),"However, I always do it, how come someone who triats triak is trima PPKM CM Case PGN Marriage by inviting Banyan people. Kehord of Lo Ga Seurgent people who are limited to their work grgr PPKM.")</f>
        <v>However, I always do it, how come someone who triats triak is trima PPKM CM Case PGN Marriage by inviting Banyan people. Kehord of Lo Ga Seurgent people who are limited to their work grgr PPKM.</v>
      </c>
    </row>
    <row r="7180" ht="15.75" customHeight="1">
      <c r="A7180" s="2">
        <v>7183.0</v>
      </c>
      <c r="B7180" s="5" t="s">
        <v>13139</v>
      </c>
      <c r="C7180" s="6">
        <v>2.0</v>
      </c>
      <c r="D7180" s="7" t="s">
        <v>13140</v>
      </c>
      <c r="E7180" s="8" t="str">
        <f>IFERROR(__xludf.DUMMYFUNCTION("googletranslate(D7180,""id"",""en"")"),"There is PPKM and far away")</f>
        <v>There is PPKM and far away</v>
      </c>
    </row>
    <row r="7181" ht="15.75" customHeight="1">
      <c r="A7181" s="2">
        <v>7184.0</v>
      </c>
      <c r="B7181" s="5" t="s">
        <v>13141</v>
      </c>
      <c r="C7181" s="6">
        <v>1.0</v>
      </c>
      <c r="D7181" s="9" t="s">
        <v>13141</v>
      </c>
      <c r="E7181" s="8" t="str">
        <f>IFERROR(__xludf.DUMMYFUNCTION("googletranslate(D7181,""id"",""en"")"),"Born Crisis, UN Package, Trial Curriculum, CBT, Online Graduation Trial, PPKM Work. Mentally Yo Can Yo")</f>
        <v>Born Crisis, UN Package, Trial Curriculum, CBT, Online Graduation Trial, PPKM Work. Mentally Yo Can Yo</v>
      </c>
    </row>
    <row r="7182" ht="15.75" customHeight="1">
      <c r="A7182" s="2">
        <v>7185.0</v>
      </c>
      <c r="B7182" s="5" t="s">
        <v>13142</v>
      </c>
      <c r="C7182" s="6">
        <v>1.0</v>
      </c>
      <c r="D7182" s="7" t="s">
        <v>13143</v>
      </c>
      <c r="E7182" s="8" t="str">
        <f>IFERROR(__xludf.DUMMYFUNCTION("googletranslate(D7182,""id"",""en"")"),"Still stronger traders who get the PPKM impact while artists and celebrities arbitrarily need parties or even traveling everywhere!")</f>
        <v>Still stronger traders who get the PPKM impact while artists and celebrities arbitrarily need parties or even traveling everywhere!</v>
      </c>
    </row>
    <row r="7183" ht="15.75" customHeight="1">
      <c r="A7183" s="2">
        <v>7186.0</v>
      </c>
      <c r="B7183" s="5" t="s">
        <v>13144</v>
      </c>
      <c r="C7183" s="6">
        <v>1.0</v>
      </c>
      <c r="D7183" s="7" t="s">
        <v>13145</v>
      </c>
      <c r="E7183" s="8" t="str">
        <f>IFERROR(__xludf.DUMMYFUNCTION("googletranslate(D7183,""id"",""en"")"),"Thousand t money bagged")</f>
        <v>Thousand t money bagged</v>
      </c>
    </row>
    <row r="7184" ht="15.75" customHeight="1">
      <c r="A7184" s="2">
        <v>7187.0</v>
      </c>
      <c r="B7184" s="5" t="s">
        <v>13146</v>
      </c>
      <c r="C7184" s="6">
        <v>1.0</v>
      </c>
      <c r="D7184" s="9" t="s">
        <v>13147</v>
      </c>
      <c r="E7184" s="8" t="str">
        <f>IFERROR(__xludf.DUMMYFUNCTION("googletranslate(D7184,""id"",""en"")"),"Amid the PPKM policy that is getting slower, it's real, it's really news from our loss. super sad, how come you read the story, but the gpp is even the reminder. DRPD believes that the 'looks' is good, how come it feels like you can't")</f>
        <v>Amid the PPKM policy that is getting slower, it's real, it's really news from our loss. super sad, how come you read the story, but the gpp is even the reminder. DRPD believes that the 'looks' is good, how come it feels like you can't</v>
      </c>
    </row>
    <row r="7185" ht="15.75" customHeight="1">
      <c r="A7185" s="2">
        <v>7188.0</v>
      </c>
      <c r="B7185" s="5" t="s">
        <v>13148</v>
      </c>
      <c r="C7185" s="6">
        <v>2.0</v>
      </c>
      <c r="D7185" s="7" t="s">
        <v>13149</v>
      </c>
      <c r="E7185" s="8" t="str">
        <f>IFERROR(__xludf.DUMMYFUNCTION("googletranslate(D7185,""id"",""en"")"),"Gas donk abis ppkm")</f>
        <v>Gas donk abis ppkm</v>
      </c>
    </row>
    <row r="7186" ht="15.75" customHeight="1">
      <c r="A7186" s="2">
        <v>7189.0</v>
      </c>
      <c r="B7186" s="5" t="s">
        <v>13150</v>
      </c>
      <c r="C7186" s="6">
        <v>3.0</v>
      </c>
      <c r="D7186" s="7" t="s">
        <v>13150</v>
      </c>
      <c r="E7186" s="8" t="str">
        <f>IFERROR(__xludf.DUMMYFUNCTION("googletranslate(D7186,""id"",""en"")"),"Hopefully this last PPKM, it's time to turn to economic improvement")</f>
        <v>Hopefully this last PPKM, it's time to turn to economic improvement</v>
      </c>
    </row>
    <row r="7187" ht="15.75" customHeight="1">
      <c r="A7187" s="2">
        <v>7190.0</v>
      </c>
      <c r="B7187" s="5" t="s">
        <v>13151</v>
      </c>
      <c r="C7187" s="6">
        <v>1.0</v>
      </c>
      <c r="D7187" s="9" t="s">
        <v>13152</v>
      </c>
      <c r="E7187" s="8" t="str">
        <f>IFERROR(__xludf.DUMMYFUNCTION("googletranslate(D7187,""id"",""en"")"),"It doesn't need to be taken seriously. Acceptions of the parties only While PPKM is extended for some reason? It's not clear the target")</f>
        <v>It doesn't need to be taken seriously. Acceptions of the parties only While PPKM is extended for some reason? It's not clear the target</v>
      </c>
    </row>
    <row r="7188" ht="15.75" customHeight="1">
      <c r="A7188" s="2">
        <v>7191.0</v>
      </c>
      <c r="B7188" s="5" t="s">
        <v>13153</v>
      </c>
      <c r="C7188" s="6">
        <v>1.0</v>
      </c>
      <c r="D7188" s="7" t="s">
        <v>13154</v>
      </c>
      <c r="E7188" s="8" t="str">
        <f>IFERROR(__xludf.DUMMYFUNCTION("googletranslate(D7188,""id"",""en"")"),"The people aren't really true. The derivative is still a corruption. He has never poured on the small people. PPKM Trs is extended. [TRRRRRRRRRR")</f>
        <v>The people aren't really true. The derivative is still a corruption. He has never poured on the small people. PPKM Trs is extended. [TRRRRRRRRRR</v>
      </c>
    </row>
    <row r="7189" ht="15.75" customHeight="1">
      <c r="A7189" s="2">
        <v>7192.0</v>
      </c>
      <c r="B7189" s="5" t="s">
        <v>13155</v>
      </c>
      <c r="C7189" s="6">
        <v>2.0</v>
      </c>
      <c r="D7189" s="7" t="s">
        <v>13156</v>
      </c>
      <c r="E7189" s="8" t="str">
        <f>IFERROR(__xludf.DUMMYFUNCTION("googletranslate(D7189,""id"",""en"")"),"Epek PPKM Euy so Aga surves. SC: IG FARXD_20")</f>
        <v>Epek PPKM Euy so Aga surves. SC: IG FARXD_20</v>
      </c>
    </row>
    <row r="7190" ht="15.75" customHeight="1">
      <c r="A7190" s="2">
        <v>7193.0</v>
      </c>
      <c r="B7190" s="5" t="s">
        <v>13157</v>
      </c>
      <c r="C7190" s="6">
        <v>1.0</v>
      </c>
      <c r="D7190" s="7" t="s">
        <v>13158</v>
      </c>
      <c r="E7190" s="8" t="str">
        <f>IFERROR(__xludf.DUMMYFUNCTION("googletranslate(D7190,""id"",""en"")"),"Mksud emergency ppkm only for the people?")</f>
        <v>Mksud emergency ppkm only for the people?</v>
      </c>
    </row>
    <row r="7191" ht="15.75" customHeight="1">
      <c r="A7191" s="2">
        <v>7194.0</v>
      </c>
      <c r="B7191" s="5" t="s">
        <v>13159</v>
      </c>
      <c r="C7191" s="6">
        <v>1.0</v>
      </c>
      <c r="D7191" s="9" t="s">
        <v>13160</v>
      </c>
      <c r="E7191" s="8" t="str">
        <f>IFERROR(__xludf.DUMMYFUNCTION("googletranslate(D7191,""id"",""en"")"),"Mon, how come, you want to vacation for a self-reward struggle for the smt, eh instead PPKM. and more weeks have started smt odd [cm]")</f>
        <v>Mon, how come, you want to vacation for a self-reward struggle for the smt, eh instead PPKM. and more weeks have started smt odd [cm]</v>
      </c>
    </row>
    <row r="7192" ht="15.75" customHeight="1">
      <c r="A7192" s="2">
        <v>7195.0</v>
      </c>
      <c r="B7192" s="5" t="s">
        <v>13161</v>
      </c>
      <c r="C7192" s="6">
        <v>1.0</v>
      </c>
      <c r="D7192" s="7" t="s">
        <v>13162</v>
      </c>
      <c r="E7192" s="8" t="str">
        <f>IFERROR(__xludf.DUMMYFUNCTION("googletranslate(D7192,""id"",""en"")"),"Should the PPKM be violated by themselves?")</f>
        <v>Should the PPKM be violated by themselves?</v>
      </c>
    </row>
    <row r="7193" ht="15.75" customHeight="1">
      <c r="A7193" s="2">
        <v>7196.0</v>
      </c>
      <c r="B7193" s="5" t="s">
        <v>13163</v>
      </c>
      <c r="C7193" s="6">
        <v>3.0</v>
      </c>
      <c r="D7193" s="7" t="s">
        <v>13164</v>
      </c>
      <c r="E7193" s="8" t="str">
        <f>IFERROR(__xludf.DUMMYFUNCTION("googletranslate(D7193,""id"",""en"")"),"Just agree that PPKM continues so that Covid can be brakes .....")</f>
        <v>Just agree that PPKM continues so that Covid can be brakes .....</v>
      </c>
    </row>
    <row r="7194" ht="15.75" customHeight="1">
      <c r="A7194" s="2">
        <v>7197.0</v>
      </c>
      <c r="B7194" s="5" t="s">
        <v>13165</v>
      </c>
      <c r="C7194" s="6">
        <v>1.0</v>
      </c>
      <c r="D7194" s="7" t="s">
        <v>13166</v>
      </c>
      <c r="E7194" s="8" t="str">
        <f>IFERROR(__xludf.DUMMYFUNCTION("googletranslate(D7194,""id"",""en"")"),"Selfish isn't the rich people like this? Just the same as the Kintul Padday Birthday Party at the PPKM party yesterday")</f>
        <v>Selfish isn't the rich people like this? Just the same as the Kintul Padday Birthday Party at the PPKM party yesterday</v>
      </c>
    </row>
    <row r="7195" ht="15.75" customHeight="1">
      <c r="A7195" s="2">
        <v>7198.0</v>
      </c>
      <c r="B7195" s="5" t="s">
        <v>13167</v>
      </c>
      <c r="C7195" s="6">
        <v>1.0</v>
      </c>
      <c r="D7195" s="10" t="s">
        <v>13168</v>
      </c>
      <c r="E7195" s="8" t="str">
        <f>IFERROR(__xludf.DUMMYFUNCTION("googletranslate(D7195,""id"",""en"")"),"tired of Kak")</f>
        <v>tired of Kak</v>
      </c>
    </row>
    <row r="7196" ht="15.75" customHeight="1">
      <c r="A7196" s="2">
        <v>7199.0</v>
      </c>
      <c r="B7196" s="5" t="s">
        <v>13169</v>
      </c>
      <c r="C7196" s="6">
        <v>1.0</v>
      </c>
      <c r="D7196" s="7" t="s">
        <v>13170</v>
      </c>
      <c r="E7196" s="8" t="str">
        <f>IFERROR(__xludf.DUMMYFUNCTION("googletranslate(D7196,""id"",""en"")"),"Solama pandemis also turned to the olshop. It's just a sense to make PPKM, just to silence the people so it doesn't demo. Who demo can snare the article.")</f>
        <v>Solama pandemis also turned to the olshop. It's just a sense to make PPKM, just to silence the people so it doesn't demo. Who demo can snare the article.</v>
      </c>
    </row>
    <row r="7197" ht="15.75" customHeight="1">
      <c r="A7197" s="2">
        <v>7200.0</v>
      </c>
      <c r="B7197" s="5" t="s">
        <v>13171</v>
      </c>
      <c r="C7197" s="6">
        <v>2.0</v>
      </c>
      <c r="D7197" s="7" t="s">
        <v>13171</v>
      </c>
      <c r="E7197" s="8" t="str">
        <f>IFERROR(__xludf.DUMMYFUNCTION("googletranslate(D7197,""id"",""en"")"),"Ppkm just extended, our relationship period ends")</f>
        <v>Ppkm just extended, our relationship period ends</v>
      </c>
    </row>
    <row r="7198" ht="15.75" customHeight="1">
      <c r="A7198" s="2">
        <v>7201.0</v>
      </c>
      <c r="B7198" s="5" t="s">
        <v>13172</v>
      </c>
      <c r="C7198" s="6">
        <v>1.0</v>
      </c>
      <c r="D7198" s="7" t="s">
        <v>13173</v>
      </c>
      <c r="E7198" s="8" t="str">
        <f>IFERROR(__xludf.DUMMYFUNCTION("googletranslate(D7198,""id"",""en"")"),"Just week holiday so you still believe the PPKM will be finished soon?")</f>
        <v>Just week holiday so you still believe the PPKM will be finished soon?</v>
      </c>
    </row>
    <row r="7199" ht="15.75" customHeight="1">
      <c r="A7199" s="2">
        <v>7202.0</v>
      </c>
      <c r="B7199" s="5" t="s">
        <v>13174</v>
      </c>
      <c r="C7199" s="6">
        <v>1.0</v>
      </c>
      <c r="D7199" s="9" t="s">
        <v>13175</v>
      </c>
      <c r="E7199" s="8" t="str">
        <f>IFERROR(__xludf.DUMMYFUNCTION("googletranslate(D7199,""id"",""en"")"),"I give me a solution, you who always prep up ppkm. Untk Blaughing Bntuan DRI Which Nmnya PMRinth Hrs Dg Smart, Make Rek Smua Rkyt With Data Nik Dukcapil SJA, DG Note Dukcapil Data True Dlu ... how come the ancient msa ppkm hrsny avoid")</f>
        <v>I give me a solution, you who always prep up ppkm. Untk Blaughing Bntuan DRI Which Nmnya PMRinth Hrs Dg Smart, Make Rek Smua Rkyt With Data Nik Dukcapil SJA, DG Note Dukcapil Data True Dlu ... how come the ancient msa ppkm hrsny avoid</v>
      </c>
    </row>
    <row r="7200" ht="15.75" customHeight="1">
      <c r="A7200" s="2">
        <v>7203.0</v>
      </c>
      <c r="B7200" s="5" t="s">
        <v>13176</v>
      </c>
      <c r="C7200" s="6">
        <v>1.0</v>
      </c>
      <c r="D7200" s="7" t="s">
        <v>13177</v>
      </c>
      <c r="E7200" s="8" t="str">
        <f>IFERROR(__xludf.DUMMYFUNCTION("googletranslate(D7200,""id"",""en"")"),"Because of the PPKM Must PCRMAU FLIGHT AJA SANSAHJAWEAN already reschedules until the bangsatny time is really Jancokgue just want to go home jancokkkkkkkkkkkkkkkkkkkkkkkkkkkkkkkkkkkkkkkkkkkkkkkkkkkkkkkkkkkkkkkkkkkkkkkkkkkkkkkkkkkkkkkkkkkkkkkkkkkkkkkkkkkk"&amp;"kkkkkkkkkkkkkkkkkkkkkkkkkkkkkkkkkkkkkkkkkkkkkkkkkkkkkkkkkkkkkkkkkkkkkkkkkkkkkkkkkkkkkk")</f>
        <v>Because of the PPKM Must PCRMAU FLIGHT AJA SANSAHJAWEAN already reschedules until the bangsatny time is really Jancokgue just want to go home jancokkkkkkkkkkkkkkkkkkkkkkkkkkkkkkkkkkkkkkkkkkkkkkkkkkkkkkkkkkkkkkkkkkkkkkkkkkkkkkkkkkkkkkkkkkkkkkkkkkkkkkkkkkkkkkkkkkkkkkkkkkkkkkkkkkkkkkkkkkkkkkkkkkkkkkkkkkkkkkkkkkkkkkkkkkkkkkkkkkkkkkkkkkkkkkkkkk</v>
      </c>
    </row>
    <row r="7201" ht="15.75" customHeight="1">
      <c r="A7201" s="2">
        <v>7204.0</v>
      </c>
      <c r="B7201" s="5" t="s">
        <v>13178</v>
      </c>
      <c r="C7201" s="6">
        <v>1.0</v>
      </c>
      <c r="D7201" s="9" t="s">
        <v>13179</v>
      </c>
      <c r="E7201" s="8" t="str">
        <f>IFERROR(__xludf.DUMMYFUNCTION("googletranslate(D7201,""id"",""en"")"),"The layout that doesn't know the rules, sitting already given the plan still sitting on him. And the sadst is the PPKM there is no local train so it's hard to come here")</f>
        <v>The layout that doesn't know the rules, sitting already given the plan still sitting on him. And the sadst is the PPKM there is no local train so it's hard to come here</v>
      </c>
    </row>
    <row r="7202" ht="15.75" customHeight="1">
      <c r="A7202" s="2">
        <v>7205.0</v>
      </c>
      <c r="B7202" s="5" t="s">
        <v>13180</v>
      </c>
      <c r="C7202" s="6">
        <v>1.0</v>
      </c>
      <c r="D7202" s="7" t="s">
        <v>13181</v>
      </c>
      <c r="E7202" s="8" t="str">
        <f>IFERROR(__xludf.DUMMYFUNCTION("googletranslate(D7202,""id"",""en"")"),"Your eyes wi...wi..prokas prokes ... you love examples aren't right ... the people are misused ..")</f>
        <v>Your eyes wi...wi..prokas prokes ... you love examples aren't right ... the people are misused ..</v>
      </c>
    </row>
    <row r="7203" ht="15.75" customHeight="1">
      <c r="A7203" s="2">
        <v>7206.0</v>
      </c>
      <c r="B7203" s="5" t="s">
        <v>13182</v>
      </c>
      <c r="C7203" s="6">
        <v>2.0</v>
      </c>
      <c r="D7203" s="7" t="s">
        <v>13183</v>
      </c>
      <c r="E7203" s="8" t="str">
        <f>IFERROR(__xludf.DUMMYFUNCTION("googletranslate(D7203,""id"",""en"")"),"Really want to get married when the pandemic is finished, but with the concept of PPKM aka Gamau waste money for watching noise")</f>
        <v>Really want to get married when the pandemic is finished, but with the concept of PPKM aka Gamau waste money for watching noise</v>
      </c>
    </row>
    <row r="7204" ht="15.75" customHeight="1">
      <c r="A7204" s="2">
        <v>7207.0</v>
      </c>
      <c r="B7204" s="5" t="s">
        <v>13184</v>
      </c>
      <c r="C7204" s="6">
        <v>1.0</v>
      </c>
      <c r="D7204" s="9" t="s">
        <v>13185</v>
      </c>
      <c r="E7204" s="8" t="str">
        <f>IFERROR(__xludf.DUMMYFUNCTION("googletranslate(D7204,""id"",""en"")"),"Well, I really don't want PPKM extended. But if the problem of the monitor, the monitor doesn't have to be festive. The core of marriage is right when you are legally husband and wife. Not fitting jogging jogging with a sexy singer yes njing.")</f>
        <v>Well, I really don't want PPKM extended. But if the problem of the monitor, the monitor doesn't have to be festive. The core of marriage is right when you are legally husband and wife. Not fitting jogging jogging with a sexy singer yes njing.</v>
      </c>
    </row>
    <row r="7205" ht="15.75" customHeight="1">
      <c r="A7205" s="2">
        <v>7208.0</v>
      </c>
      <c r="B7205" s="5" t="s">
        <v>13186</v>
      </c>
      <c r="C7205" s="6">
        <v>3.0</v>
      </c>
      <c r="D7205" s="9" t="s">
        <v>13187</v>
      </c>
      <c r="E7205" s="8" t="str">
        <f>IFERROR(__xludf.DUMMYFUNCTION("googletranslate(D7205,""id"",""en"")"),"PPKM is very effective and effective and not forget to remain proces and vaccination")</f>
        <v>PPKM is very effective and effective and not forget to remain proces and vaccination</v>
      </c>
    </row>
    <row r="7206" ht="15.75" customHeight="1">
      <c r="A7206" s="2">
        <v>7209.0</v>
      </c>
      <c r="B7206" s="5" t="s">
        <v>13188</v>
      </c>
      <c r="C7206" s="6">
        <v>1.0</v>
      </c>
      <c r="D7206" s="7" t="s">
        <v>13189</v>
      </c>
      <c r="E7206" s="8" t="str">
        <f>IFERROR(__xludf.DUMMYFUNCTION("googletranslate(D7206,""id"",""en"")"),"Your eyes wi..prokas prokes...")</f>
        <v>Your eyes wi..prokas prokes...</v>
      </c>
    </row>
    <row r="7207" ht="15.75" customHeight="1">
      <c r="A7207" s="2">
        <v>7210.0</v>
      </c>
      <c r="B7207" s="5" t="s">
        <v>13190</v>
      </c>
      <c r="C7207" s="6">
        <v>1.0</v>
      </c>
      <c r="D7207" s="7" t="s">
        <v>13191</v>
      </c>
      <c r="E7207" s="8" t="str">
        <f>IFERROR(__xludf.DUMMYFUNCTION("googletranslate(D7207,""id"",""en"")"),"Wii ...... Is this ppkm ...? Matanu kuwi wii ... aasssuuuuu")</f>
        <v>Wii ...... Is this ppkm ...? Matanu kuwi wii ... aasssuuuuu</v>
      </c>
    </row>
    <row r="7208" ht="15.75" customHeight="1">
      <c r="A7208" s="2">
        <v>7211.0</v>
      </c>
      <c r="B7208" s="5" t="s">
        <v>13192</v>
      </c>
      <c r="C7208" s="6">
        <v>3.0</v>
      </c>
      <c r="D7208" s="9" t="s">
        <v>13193</v>
      </c>
      <c r="E7208" s="8" t="str">
        <f>IFERROR(__xludf.DUMMYFUNCTION("googletranslate(D7208,""id"",""en"")"),"PPKM is effective and effective and not forget to remain prokes and vaccination")</f>
        <v>PPKM is effective and effective and not forget to remain prokes and vaccination</v>
      </c>
    </row>
    <row r="7209" ht="15.75" customHeight="1">
      <c r="A7209" s="2">
        <v>7212.0</v>
      </c>
      <c r="B7209" s="5" t="s">
        <v>13194</v>
      </c>
      <c r="C7209" s="6">
        <v>2.0</v>
      </c>
      <c r="D7209" s="7" t="s">
        <v>13194</v>
      </c>
      <c r="E7209" s="8" t="str">
        <f>IFERROR(__xludf.DUMMYFUNCTION("googletranslate(D7209,""id"",""en"")"),"Extended PPKM continues, maybe we slowly give me slowly")</f>
        <v>Extended PPKM continues, maybe we slowly give me slowly</v>
      </c>
    </row>
    <row r="7210" ht="15.75" customHeight="1">
      <c r="A7210" s="2">
        <v>7213.0</v>
      </c>
      <c r="B7210" s="5" t="s">
        <v>13195</v>
      </c>
      <c r="C7210" s="6">
        <v>1.0</v>
      </c>
      <c r="D7210" s="7" t="s">
        <v>13196</v>
      </c>
      <c r="E7210" s="8" t="str">
        <f>IFERROR(__xludf.DUMMYFUNCTION("googletranslate(D7210,""id"",""en"")"),"Again PPKM makes its own rules violated by themselves.")</f>
        <v>Again PPKM makes its own rules violated by themselves.</v>
      </c>
    </row>
    <row r="7211" ht="15.75" customHeight="1">
      <c r="A7211" s="2">
        <v>7214.0</v>
      </c>
      <c r="B7211" s="5" t="s">
        <v>13197</v>
      </c>
      <c r="C7211" s="6">
        <v>3.0</v>
      </c>
      <c r="D7211" s="7" t="s">
        <v>13198</v>
      </c>
      <c r="E7211" s="8" t="str">
        <f>IFERROR(__xludf.DUMMYFUNCTION("googletranslate(D7211,""id"",""en"")"),"Yes, if the people are obedient to running PPKM, God willing, Covit is decreasing")</f>
        <v>Yes, if the people are obedient to running PPKM, God willing, Covit is decreasing</v>
      </c>
    </row>
    <row r="7212" ht="15.75" customHeight="1">
      <c r="A7212" s="2">
        <v>7215.0</v>
      </c>
      <c r="B7212" s="5" t="s">
        <v>13199</v>
      </c>
      <c r="C7212" s="6">
        <v>1.0</v>
      </c>
      <c r="D7212" s="7" t="s">
        <v>13200</v>
      </c>
      <c r="E7212" s="8" t="str">
        <f>IFERROR(__xludf.DUMMYFUNCTION("googletranslate(D7212,""id"",""en"")"),"The noble is busy for groceries while making a ppmm puzzle ..")</f>
        <v>The noble is busy for groceries while making a ppmm puzzle ..</v>
      </c>
    </row>
    <row r="7213" ht="15.75" customHeight="1">
      <c r="A7213" s="2">
        <v>7216.0</v>
      </c>
      <c r="B7213" s="5" t="s">
        <v>13201</v>
      </c>
      <c r="C7213" s="6">
        <v>2.0</v>
      </c>
      <c r="D7213" s="7" t="s">
        <v>13202</v>
      </c>
      <c r="E7213" s="8" t="str">
        <f>IFERROR(__xludf.DUMMYFUNCTION("googletranslate(D7213,""id"",""en"")"),"Continued birthday because the PPKM was extended by YH Father?")</f>
        <v>Continued birthday because the PPKM was extended by YH Father?</v>
      </c>
    </row>
    <row r="7214" ht="15.75" customHeight="1">
      <c r="A7214" s="2">
        <v>7217.0</v>
      </c>
      <c r="B7214" s="5" t="s">
        <v>13203</v>
      </c>
      <c r="C7214" s="6">
        <v>1.0</v>
      </c>
      <c r="D7214" s="9" t="s">
        <v>13204</v>
      </c>
      <c r="E7214" s="8" t="str">
        <f>IFERROR(__xludf.DUMMYFUNCTION("googletranslate(D7214,""id"",""en"")"),"If for example, I say to the school about the school, it will be paid, it will be paid, you don't want the ppkm, you want to call a jdi massage service, I'm afraid of the ecolahan be like: ""Yes my money is safe to maintain hahahahha""")</f>
        <v>If for example, I say to the school about the school, it will be paid, it will be paid, you don't want the ppkm, you want to call a jdi massage service, I'm afraid of the ecolahan be like: "Yes my money is safe to maintain hahahahha"</v>
      </c>
    </row>
    <row r="7215" ht="15.75" customHeight="1">
      <c r="A7215" s="2">
        <v>7218.0</v>
      </c>
      <c r="B7215" s="5" t="s">
        <v>13205</v>
      </c>
      <c r="C7215" s="6">
        <v>2.0</v>
      </c>
      <c r="D7215" s="7" t="s">
        <v>13205</v>
      </c>
      <c r="E7215" s="8" t="str">
        <f>IFERROR(__xludf.DUMMYFUNCTION("googletranslate(D7215,""id"",""en"")"),"PPKM is just extended, our relationship period doesn't")</f>
        <v>PPKM is just extended, our relationship period doesn't</v>
      </c>
    </row>
    <row r="7216" ht="15.75" customHeight="1">
      <c r="A7216" s="2">
        <v>7219.0</v>
      </c>
      <c r="B7216" s="5" t="s">
        <v>13206</v>
      </c>
      <c r="C7216" s="6">
        <v>1.0</v>
      </c>
      <c r="D7216" s="7" t="s">
        <v>13207</v>
      </c>
      <c r="E7216" s="8" t="str">
        <f>IFERROR(__xludf.DUMMYFUNCTION("googletranslate(D7216,""id"",""en"")"),"Canda Sheyeng, just Nde Wakanda Doang PPKM Seblak Mix Level ~ WKWK")</f>
        <v>Canda Sheyeng, just Nde Wakanda Doang PPKM Seblak Mix Level ~ WKWK</v>
      </c>
    </row>
    <row r="7217" ht="15.75" customHeight="1">
      <c r="A7217" s="2">
        <v>7220.0</v>
      </c>
      <c r="B7217" s="5" t="s">
        <v>13208</v>
      </c>
      <c r="C7217" s="6">
        <v>3.0</v>
      </c>
      <c r="D7217" s="7" t="s">
        <v>13209</v>
      </c>
      <c r="E7217" s="8" t="str">
        <f>IFERROR(__xludf.DUMMYFUNCTION("googletranslate(D7217,""id"",""en"")"),"Ohiye Should / 7/12/365 Thanks Sis His Revislation Very Helping Micro Business in the Middle of PPKM")</f>
        <v>Ohiye Should / 7/12/365 Thanks Sis His Revislation Very Helping Micro Business in the Middle of PPKM</v>
      </c>
    </row>
    <row r="7218" ht="15.75" customHeight="1">
      <c r="A7218" s="2">
        <v>7221.0</v>
      </c>
      <c r="B7218" s="5" t="s">
        <v>13210</v>
      </c>
      <c r="C7218" s="6">
        <v>3.0</v>
      </c>
      <c r="D7218" s="7" t="s">
        <v>13211</v>
      </c>
      <c r="E7218" s="8" t="str">
        <f>IFERROR(__xludf.DUMMYFUNCTION("googletranslate(D7218,""id"",""en"")"),"Even though it's delicious to get married, ppkm, you don't need to invite many people.")</f>
        <v>Even though it's delicious to get married, ppkm, you don't need to invite many people.</v>
      </c>
    </row>
    <row r="7219" ht="15.75" customHeight="1">
      <c r="A7219" s="2">
        <v>7222.0</v>
      </c>
      <c r="B7219" s="5" t="s">
        <v>13212</v>
      </c>
      <c r="C7219" s="6">
        <v>1.0</v>
      </c>
      <c r="D7219" s="9" t="s">
        <v>13212</v>
      </c>
      <c r="E7219" s="8" t="str">
        <f>IFERROR(__xludf.DUMMYFUNCTION("googletranslate(D7219,""id"",""en"")"),"Ppkm nga napa ajg. I want to meet Doi Cokkkk")</f>
        <v>Ppkm nga napa ajg. I want to meet Doi Cokkkk</v>
      </c>
    </row>
    <row r="7220" ht="15.75" customHeight="1">
      <c r="A7220" s="2">
        <v>7223.0</v>
      </c>
      <c r="B7220" s="5" t="s">
        <v>13213</v>
      </c>
      <c r="C7220" s="6">
        <v>1.0</v>
      </c>
      <c r="D7220" s="9" t="s">
        <v>13213</v>
      </c>
      <c r="E7220" s="8" t="str">
        <f>IFERROR(__xludf.DUMMYFUNCTION("googletranslate(D7220,""id"",""en"")"),"PPKM is extended but there is no Win Win solution for flight using PCR")</f>
        <v>PPKM is extended but there is no Win Win solution for flight using PCR</v>
      </c>
    </row>
    <row r="7221" ht="15.75" customHeight="1">
      <c r="A7221" s="2">
        <v>7224.0</v>
      </c>
      <c r="B7221" s="5" t="s">
        <v>13214</v>
      </c>
      <c r="C7221" s="6">
        <v>1.0</v>
      </c>
      <c r="D7221" s="7" t="s">
        <v>13215</v>
      </c>
      <c r="E7221" s="8" t="str">
        <f>IFERROR(__xludf.DUMMYFUNCTION("googletranslate(D7221,""id"",""en"")"),"Mntchch does not keep the distance of the ppkm ppkm wkwkwk")</f>
        <v>Mntchch does not keep the distance of the ppkm ppkm wkwkwk</v>
      </c>
    </row>
    <row r="7222" ht="15.75" customHeight="1">
      <c r="A7222" s="2">
        <v>7225.0</v>
      </c>
      <c r="B7222" s="5" t="s">
        <v>13216</v>
      </c>
      <c r="C7222" s="6">
        <v>1.0</v>
      </c>
      <c r="D7222" s="9" t="s">
        <v>13217</v>
      </c>
      <c r="E7222" s="8" t="str">
        <f>IFERROR(__xludf.DUMMYFUNCTION("googletranslate(D7222,""id"",""en"")"),"Halah my friend PPKM, PPKM still has a gedean celebration. I was invited to be able to arrive at the clock passing, let me immediately eat, after all over. So it's no longer crowding. where is the gadikasih distance seat.")</f>
        <v>Halah my friend PPKM, PPKM still has a gedean celebration. I was invited to be able to arrive at the clock passing, let me immediately eat, after all over. So it's no longer crowding. where is the gadikasih distance seat.</v>
      </c>
    </row>
    <row r="7223" ht="15.75" customHeight="1">
      <c r="A7223" s="2">
        <v>7226.0</v>
      </c>
      <c r="B7223" s="5" t="s">
        <v>13218</v>
      </c>
      <c r="C7223" s="6">
        <v>2.0</v>
      </c>
      <c r="D7223" s="7" t="s">
        <v>13219</v>
      </c>
      <c r="E7223" s="8" t="str">
        <f>IFERROR(__xludf.DUMMYFUNCTION("googletranslate(D7223,""id"",""en"")"),"I'll wait for the PPKM, we don't renew, we can Hepi Hepi, again")</f>
        <v>I'll wait for the PPKM, we don't renew, we can Hepi Hepi, again</v>
      </c>
    </row>
    <row r="7224" ht="15.75" customHeight="1">
      <c r="A7224" s="2">
        <v>7227.0</v>
      </c>
      <c r="B7224" s="5" t="s">
        <v>13220</v>
      </c>
      <c r="C7224" s="6">
        <v>2.0</v>
      </c>
      <c r="D7224" s="7" t="s">
        <v>13220</v>
      </c>
      <c r="E7224" s="8" t="str">
        <f>IFERROR(__xludf.DUMMYFUNCTION("googletranslate(D7224,""id"",""en"")"),"Snacks ah, it's been a long time since PPKM")</f>
        <v>Snacks ah, it's been a long time since PPKM</v>
      </c>
    </row>
    <row r="7225" ht="15.75" customHeight="1">
      <c r="A7225" s="2">
        <v>7228.0</v>
      </c>
      <c r="B7225" s="5" t="s">
        <v>13221</v>
      </c>
      <c r="C7225" s="6">
        <v>1.0</v>
      </c>
      <c r="D7225" s="9" t="s">
        <v>13222</v>
      </c>
      <c r="E7225" s="8" t="str">
        <f>IFERROR(__xludf.DUMMYFUNCTION("googletranslate(D7225,""id"",""en"")"),"The organizers must be dealt with min then in jail, the crowd of the order, you just jail, what is Jakarta Cape-Cape PPKM if you let the chucks like gini! boils")</f>
        <v>The organizers must be dealt with min then in jail, the crowd of the order, you just jail, what is Jakarta Cape-Cape PPKM if you let the chucks like gini! boils</v>
      </c>
    </row>
    <row r="7226" ht="15.75" customHeight="1">
      <c r="A7226" s="2">
        <v>7229.0</v>
      </c>
      <c r="B7226" s="5" t="s">
        <v>13223</v>
      </c>
      <c r="C7226" s="6">
        <v>1.0</v>
      </c>
      <c r="D7226" s="7" t="s">
        <v>13224</v>
      </c>
      <c r="E7226" s="8" t="str">
        <f>IFERROR(__xludf.DUMMYFUNCTION("googletranslate(D7226,""id"",""en"")"),"Sad bgt pngen dftar internship in mojok co but one of the conditions it could be in Jogja Huaaa. Just try ga ppkm")</f>
        <v>Sad bgt pngen dftar internship in mojok co but one of the conditions it could be in Jogja Huaaa. Just try ga ppkm</v>
      </c>
    </row>
    <row r="7227" ht="15.75" customHeight="1">
      <c r="A7227" s="2">
        <v>7230.0</v>
      </c>
      <c r="B7227" s="5" t="s">
        <v>13225</v>
      </c>
      <c r="C7227" s="6">
        <v>1.0</v>
      </c>
      <c r="D7227" s="9" t="s">
        <v>13225</v>
      </c>
      <c r="E7227" s="8" t="str">
        <f>IFERROR(__xludf.DUMMYFUNCTION("googletranslate(D7227,""id"",""en"")"),"Why is the vaccine card used as administrative requirements? Want this to use a vaccine card while the vaccine has not been evenly distributed. want to cross the port using a vaccine card, want to enter the ppkm zone using a vaccine card, want to enter th"&amp;"e mall using a vaccine card. Better these rules are reviewed.")</f>
        <v>Why is the vaccine card used as administrative requirements? Want this to use a vaccine card while the vaccine has not been evenly distributed. want to cross the port using a vaccine card, want to enter the ppkm zone using a vaccine card, want to enter the mall using a vaccine card. Better these rules are reviewed.</v>
      </c>
    </row>
    <row r="7228" ht="15.75" customHeight="1">
      <c r="A7228" s="2">
        <v>7231.0</v>
      </c>
      <c r="B7228" s="5" t="s">
        <v>13226</v>
      </c>
      <c r="C7228" s="6">
        <v>1.0</v>
      </c>
      <c r="D7228" s="9" t="s">
        <v>13227</v>
      </c>
      <c r="E7228" s="8" t="str">
        <f>IFERROR(__xludf.DUMMYFUNCTION("googletranslate(D7228,""id"",""en"")"),"Last month, he was talking to MM, many of them were weird, I was strange to bring the celebration, I was already married to marriage, which became the main actor, bro and the bride, if it should be a pandemic + ppkm, but the gangadin gangadin. Is it not t"&amp;"ested by a resident because of TTP Ramein?")</f>
        <v>Last month, he was talking to MM, many of them were weird, I was strange to bring the celebration, I was already married to marriage, which became the main actor, bro and the bride, if it should be a pandemic + ppkm, but the gangadin gangadin. Is it not tested by a resident because of TTP Ramein?</v>
      </c>
    </row>
    <row r="7229" ht="15.75" customHeight="1">
      <c r="A7229" s="2">
        <v>7232.0</v>
      </c>
      <c r="B7229" s="5" t="s">
        <v>13228</v>
      </c>
      <c r="C7229" s="6">
        <v>1.0</v>
      </c>
      <c r="D7229" s="9" t="s">
        <v>13228</v>
      </c>
      <c r="E7229" s="8" t="str">
        <f>IFERROR(__xludf.DUMMYFUNCTION("googletranslate(D7229,""id"",""en"")"),"I was sent to really know Tech, tofu mixed, tofu Lamongan eggs. This time Kalai GA PPKM uda darted to Jakarta just want to buy it tok. Ohiya forgot not vaccine. Ohiya must be PCR. Oh.")</f>
        <v>I was sent to really know Tech, tofu mixed, tofu Lamongan eggs. This time Kalai GA PPKM uda darted to Jakarta just want to buy it tok. Ohiya forgot not vaccine. Ohiya must be PCR. Oh.</v>
      </c>
    </row>
    <row r="7230" ht="15.75" customHeight="1">
      <c r="A7230" s="2">
        <v>7233.0</v>
      </c>
      <c r="B7230" s="5" t="s">
        <v>13229</v>
      </c>
      <c r="C7230" s="6">
        <v>1.0</v>
      </c>
      <c r="D7230" s="7" t="s">
        <v>13230</v>
      </c>
      <c r="E7230" s="8" t="str">
        <f>IFERROR(__xludf.DUMMYFUNCTION("googletranslate(D7230,""id"",""en"")"),"never. poor thing. PPKM too.")</f>
        <v>never. poor thing. PPKM too.</v>
      </c>
    </row>
    <row r="7231" ht="15.75" customHeight="1">
      <c r="A7231" s="2">
        <v>7234.0</v>
      </c>
      <c r="B7231" s="5" t="s">
        <v>13231</v>
      </c>
      <c r="C7231" s="6">
        <v>2.0</v>
      </c>
      <c r="D7231" s="7" t="s">
        <v>13231</v>
      </c>
      <c r="E7231" s="8" t="str">
        <f>IFERROR(__xludf.DUMMYFUNCTION("googletranslate(D7231,""id"",""en"")"),"Emergency PPKM is extended, until you realize that you and yourself cannot unite")</f>
        <v>Emergency PPKM is extended, until you realize that you and yourself cannot unite</v>
      </c>
    </row>
    <row r="7232" ht="15.75" customHeight="1">
      <c r="A7232" s="2">
        <v>7235.0</v>
      </c>
      <c r="B7232" s="5" t="s">
        <v>13232</v>
      </c>
      <c r="C7232" s="6">
        <v>1.0</v>
      </c>
      <c r="D7232" s="9" t="s">
        <v>13232</v>
      </c>
      <c r="E7232" s="8" t="str">
        <f>IFERROR(__xludf.DUMMYFUNCTION("googletranslate(D7232,""id"",""en"")"),"As a result of the PPKM, it is increasingly chronic")</f>
        <v>As a result of the PPKM, it is increasingly chronic</v>
      </c>
    </row>
    <row r="7233" ht="15.75" customHeight="1">
      <c r="A7233" s="2">
        <v>7236.0</v>
      </c>
      <c r="B7233" s="5" t="s">
        <v>13233</v>
      </c>
      <c r="C7233" s="6">
        <v>1.0</v>
      </c>
      <c r="D7233" s="7" t="s">
        <v>13233</v>
      </c>
      <c r="E7233" s="8" t="str">
        <f>IFERROR(__xludf.DUMMYFUNCTION("googletranslate(D7233,""id"",""en"")"),"Kepengen jogging, TP PPKM continues: "")")</f>
        <v>Kepengen jogging, TP PPKM continues: ")</v>
      </c>
    </row>
    <row r="7234" ht="15.75" customHeight="1">
      <c r="A7234" s="2">
        <v>7237.0</v>
      </c>
      <c r="B7234" s="5" t="s">
        <v>13234</v>
      </c>
      <c r="C7234" s="6">
        <v>2.0</v>
      </c>
      <c r="D7234" s="7" t="s">
        <v>13235</v>
      </c>
      <c r="E7234" s="8" t="str">
        <f>IFERROR(__xludf.DUMMYFUNCTION("googletranslate(D7234,""id"",""en"")"),"Ca, my body is getting chaotic, even though again PPKM")</f>
        <v>Ca, my body is getting chaotic, even though again PPKM</v>
      </c>
    </row>
    <row r="7235" ht="15.75" customHeight="1">
      <c r="A7235" s="2">
        <v>7238.0</v>
      </c>
      <c r="B7235" s="5" t="s">
        <v>13236</v>
      </c>
      <c r="C7235" s="6">
        <v>2.0</v>
      </c>
      <c r="D7235" s="7" t="s">
        <v>13237</v>
      </c>
      <c r="E7235" s="8" t="str">
        <f>IFERROR(__xludf.DUMMYFUNCTION("googletranslate(D7235,""id"",""en"")"),"Ppkm ...? Ever ... he ... then ... disappeared ...")</f>
        <v>Ppkm ...? Ever ... he ... then ... disappeared ...</v>
      </c>
    </row>
    <row r="7236" ht="15.75" customHeight="1">
      <c r="A7236" s="2">
        <v>7239.0</v>
      </c>
      <c r="B7236" s="5" t="s">
        <v>13238</v>
      </c>
      <c r="C7236" s="6">
        <v>1.0</v>
      </c>
      <c r="D7236" s="7" t="s">
        <v>13239</v>
      </c>
      <c r="E7236" s="8" t="str">
        <f>IFERROR(__xludf.DUMMYFUNCTION("googletranslate(D7236,""id"",""en"")"),"Are there justice in this country? Look, is there a police who caused the existence of this crowd? Is there a court who tried this? SPTnya is safe, regardless of the lawnes. How come according to? This is the PPKM.")</f>
        <v>Are there justice in this country? Look, is there a police who caused the existence of this crowd? Is there a court who tried this? SPTnya is safe, regardless of the lawnes. How come according to? This is the PPKM.</v>
      </c>
    </row>
    <row r="7237" ht="15.75" customHeight="1">
      <c r="A7237" s="2">
        <v>7240.0</v>
      </c>
      <c r="B7237" s="5" t="s">
        <v>13240</v>
      </c>
      <c r="C7237" s="6">
        <v>3.0</v>
      </c>
      <c r="D7237" s="9" t="s">
        <v>13241</v>
      </c>
      <c r="E7237" s="8" t="str">
        <f>IFERROR(__xludf.DUMMYFUNCTION("googletranslate(D7237,""id"",""en"")"),"GWS for me who is getting crazy because of climbing, pandemic &amp; amp; PPKM Come PLS Dong Patuhin Government Im Done With Covid Seriously Setaun Ga Ngepain Asjxksik")</f>
        <v>GWS for me who is getting crazy because of climbing, pandemic &amp; amp; PPKM Come PLS Dong Patuhin Government Im Done With Covid Seriously Setaun Ga Ngepain Asjxksik</v>
      </c>
    </row>
    <row r="7238" ht="15.75" customHeight="1">
      <c r="A7238" s="2">
        <v>7241.0</v>
      </c>
      <c r="B7238" s="5" t="s">
        <v>13242</v>
      </c>
      <c r="C7238" s="6">
        <v>2.0</v>
      </c>
      <c r="D7238" s="7" t="s">
        <v>13242</v>
      </c>
      <c r="E7238" s="8" t="str">
        <f>IFERROR(__xludf.DUMMYFUNCTION("googletranslate(D7238,""id"",""en"")"),"Ppkm's chance?")</f>
        <v>Ppkm's chance?</v>
      </c>
    </row>
    <row r="7239" ht="15.75" customHeight="1">
      <c r="A7239" s="2">
        <v>7242.0</v>
      </c>
      <c r="B7239" s="5" t="s">
        <v>13243</v>
      </c>
      <c r="C7239" s="6">
        <v>2.0</v>
      </c>
      <c r="D7239" s="7" t="s">
        <v>13244</v>
      </c>
      <c r="E7239" s="8" t="str">
        <f>IFERROR(__xludf.DUMMYFUNCTION("googletranslate(D7239,""id"",""en"")"),"Yuuuuu ppkm nih ahhhh")</f>
        <v>Yuuuuu ppkm nih ahhhh</v>
      </c>
    </row>
    <row r="7240" ht="15.75" customHeight="1">
      <c r="A7240" s="2">
        <v>7243.0</v>
      </c>
      <c r="B7240" s="5" t="s">
        <v>13245</v>
      </c>
      <c r="C7240" s="6">
        <v>1.0</v>
      </c>
      <c r="D7240" s="7" t="s">
        <v>13245</v>
      </c>
      <c r="E7240" s="8" t="str">
        <f>IFERROR(__xludf.DUMMYFUNCTION("googletranslate(D7240,""id"",""en"")"),"Gajelas working hours because of the ppkm annoying, yesterday it was morning now what afternoon I wanted to know -_-")</f>
        <v>Gajelas working hours because of the ppkm annoying, yesterday it was morning now what afternoon I wanted to know -_-</v>
      </c>
    </row>
    <row r="7241" ht="15.75" customHeight="1">
      <c r="A7241" s="2">
        <v>7244.0</v>
      </c>
      <c r="B7241" s="5" t="s">
        <v>13246</v>
      </c>
      <c r="C7241" s="6">
        <v>2.0</v>
      </c>
      <c r="D7241" s="9" t="s">
        <v>13247</v>
      </c>
      <c r="E7241" s="8" t="str">
        <f>IFERROR(__xludf.DUMMYFUNCTION("googletranslate(D7241,""id"",""en"")"),"""Sir, I want to get married."" And ""I just want him to your thing"" it doesn't enter the cave if the context discussed about the ppkm wkwkwk")</f>
        <v>"Sir, I want to get married." And "I just want him to your thing" it doesn't enter the cave if the context discussed about the ppkm wkwkwk</v>
      </c>
    </row>
    <row r="7242" ht="15.75" customHeight="1">
      <c r="A7242" s="2">
        <v>7245.0</v>
      </c>
      <c r="B7242" s="5" t="s">
        <v>13248</v>
      </c>
      <c r="C7242" s="6">
        <v>1.0</v>
      </c>
      <c r="D7242" s="9" t="s">
        <v>13249</v>
      </c>
      <c r="E7242" s="8" t="str">
        <f>IFERROR(__xludf.DUMMYFUNCTION("googletranslate(D7242,""id"",""en"")"),"Fuck in my area even though PPKM, the celebration still road tuh. Rame Rame Pulak. This is how if the policy is wise. Cm just a regulation. Sister a small group of Tok.")</f>
        <v>Fuck in my area even though PPKM, the celebration still road tuh. Rame Rame Pulak. This is how if the policy is wise. Cm just a regulation. Sister a small group of Tok.</v>
      </c>
    </row>
    <row r="7243" ht="15.75" customHeight="1">
      <c r="A7243" s="2">
        <v>7246.0</v>
      </c>
      <c r="B7243" s="5" t="s">
        <v>13250</v>
      </c>
      <c r="C7243" s="6">
        <v>1.0</v>
      </c>
      <c r="D7243" s="9" t="s">
        <v>13251</v>
      </c>
      <c r="E7243" s="8" t="str">
        <f>IFERROR(__xludf.DUMMYFUNCTION("googletranslate(D7243,""id"",""en"")"),"Sorry! We haven't glanced at the time since the child he walked abroad when we were stretched when PPKM.")</f>
        <v>Sorry! We haven't glanced at the time since the child he walked abroad when we were stretched when PPKM.</v>
      </c>
    </row>
    <row r="7244" ht="15.75" customHeight="1">
      <c r="A7244" s="2">
        <v>7247.0</v>
      </c>
      <c r="B7244" s="5" t="s">
        <v>13252</v>
      </c>
      <c r="C7244" s="6">
        <v>3.0</v>
      </c>
      <c r="D7244" s="9" t="s">
        <v>13253</v>
      </c>
      <c r="E7244" s="8" t="str">
        <f>IFERROR(__xludf.DUMMYFUNCTION("googletranslate(D7244,""id"",""en"")"),"I don't even want to make PPKM as a reason, you don't need to invite the crowd fitting. Notifications are married and ask for blessings can also take advantage of social media. Do you need to invite the soda or whatever. If so, catering is saving.")</f>
        <v>I don't even want to make PPKM as a reason, you don't need to invite the crowd fitting. Notifications are married and ask for blessings can also take advantage of social media. Do you need to invite the soda or whatever. If so, catering is saving.</v>
      </c>
    </row>
    <row r="7245" ht="15.75" customHeight="1">
      <c r="A7245" s="2">
        <v>7248.0</v>
      </c>
      <c r="B7245" s="5" t="s">
        <v>13254</v>
      </c>
      <c r="C7245" s="6">
        <v>1.0</v>
      </c>
      <c r="D7245" s="9" t="s">
        <v>13255</v>
      </c>
      <c r="E7245" s="8" t="str">
        <f>IFERROR(__xludf.DUMMYFUNCTION("googletranslate(D7245,""id"",""en"")"),"He said PPKM Lockdown but almost every city I see there is a breathtaking attribute of the wings? I don't work, who is Masang? PPKM Koki told the PanjanV people attribute to every city road")</f>
        <v>He said PPKM Lockdown but almost every city I see there is a breathtaking attribute of the wings? I don't work, who is Masang? PPKM Koki told the PanjanV people attribute to every city road</v>
      </c>
    </row>
    <row r="7246" ht="15.75" customHeight="1">
      <c r="A7246" s="2">
        <v>7249.0</v>
      </c>
      <c r="B7246" s="5" t="s">
        <v>13256</v>
      </c>
      <c r="C7246" s="6">
        <v>3.0</v>
      </c>
      <c r="D7246" s="9" t="s">
        <v>13257</v>
      </c>
      <c r="E7246" s="8" t="str">
        <f>IFERROR(__xludf.DUMMYFUNCTION("googletranslate(D7246,""id"",""en"")"),"Benerr instead, it's good to invite it, just the one who really friend, the point is that it's clear, it's clear, there is a rule for the PPKM Sayy Wkwk the money makes the road (if the pandemic has finished --aamiin)")</f>
        <v>Benerr instead, it's good to invite it, just the one who really friend, the point is that it's clear, it's clear, there is a rule for the PPKM Sayy Wkwk the money makes the road (if the pandemic has finished --aamiin)</v>
      </c>
    </row>
    <row r="7247" ht="15.75" customHeight="1">
      <c r="A7247" s="2">
        <v>7250.0</v>
      </c>
      <c r="B7247" s="5" t="s">
        <v>13258</v>
      </c>
      <c r="C7247" s="6">
        <v>1.0</v>
      </c>
      <c r="D7247" s="7" t="s">
        <v>13259</v>
      </c>
      <c r="E7247" s="8" t="str">
        <f>IFERROR(__xludf.DUMMYFUNCTION("googletranslate(D7247,""id"",""en"")"),"The new DPRD members will just strike and continue the MU people who have the money for their lives in the need without income because of PPKM etc.")</f>
        <v>The new DPRD members will just strike and continue the MU people who have the money for their lives in the need without income because of PPKM etc.</v>
      </c>
    </row>
    <row r="7248" ht="15.75" customHeight="1">
      <c r="A7248" s="2">
        <v>7251.0</v>
      </c>
      <c r="B7248" s="5" t="s">
        <v>13260</v>
      </c>
      <c r="C7248" s="6">
        <v>2.0</v>
      </c>
      <c r="D7248" s="7" t="s">
        <v>13261</v>
      </c>
      <c r="E7248" s="8" t="str">
        <f>IFERROR(__xludf.DUMMYFUNCTION("googletranslate(D7248,""id"",""en"")"),"There is a PPKM")</f>
        <v>There is a PPKM</v>
      </c>
    </row>
    <row r="7249" ht="15.75" customHeight="1">
      <c r="A7249" s="2">
        <v>7252.0</v>
      </c>
      <c r="B7249" s="5" t="s">
        <v>13262</v>
      </c>
      <c r="C7249" s="6">
        <v>3.0</v>
      </c>
      <c r="D7249" s="9" t="s">
        <v>13263</v>
      </c>
      <c r="E7249" s="8" t="str">
        <f>IFERROR(__xludf.DUMMYFUNCTION("googletranslate(D7249,""id"",""en"")"),"IMO, it's better not to mistake PPKM anymore. This is not the time to selfish, everything must understand if this is an emergency situation. After all, it's easy to give it to people, just benefit it's good. If about the dream of marriage, yes, it means t"&amp;"hat it hasn't been a manifestation")</f>
        <v>IMO, it's better not to mistake PPKM anymore. This is not the time to selfish, everything must understand if this is an emergency situation. After all, it's easy to give it to people, just benefit it's good. If about the dream of marriage, yes, it means that it hasn't been a manifestation</v>
      </c>
    </row>
    <row r="7250" ht="15.75" customHeight="1">
      <c r="A7250" s="2">
        <v>7253.0</v>
      </c>
      <c r="B7250" s="5" t="s">
        <v>13264</v>
      </c>
      <c r="C7250" s="6">
        <v>1.0</v>
      </c>
      <c r="D7250" s="9" t="s">
        <v>13265</v>
      </c>
      <c r="E7250" s="8" t="str">
        <f>IFERROR(__xludf.DUMMYFUNCTION("googletranslate(D7250,""id"",""en"")"),"PPKM is extended, without clarity when it ends. When will it be clear if there is no clear: v")</f>
        <v>PPKM is extended, without clarity when it ends. When will it be clear if there is no clear: v</v>
      </c>
    </row>
    <row r="7251" ht="15.75" customHeight="1">
      <c r="A7251" s="2">
        <v>7254.0</v>
      </c>
      <c r="B7251" s="5" t="s">
        <v>13266</v>
      </c>
      <c r="C7251" s="6">
        <v>2.0</v>
      </c>
      <c r="D7251" s="7" t="s">
        <v>13267</v>
      </c>
      <c r="E7251" s="8" t="str">
        <f>IFERROR(__xludf.DUMMYFUNCTION("googletranslate(D7251,""id"",""en"")"),"PPKM slowly we (realize, avoid, njuhi)")</f>
        <v>PPKM slowly we (realize, avoid, njuhi)</v>
      </c>
    </row>
    <row r="7252" ht="15.75" customHeight="1">
      <c r="A7252" s="2">
        <v>7255.0</v>
      </c>
      <c r="B7252" s="5" t="s">
        <v>13268</v>
      </c>
      <c r="C7252" s="6">
        <v>1.0</v>
      </c>
      <c r="D7252" s="7" t="s">
        <v>13269</v>
      </c>
      <c r="E7252" s="8" t="str">
        <f>IFERROR(__xludf.DUMMYFUNCTION("googletranslate(D7252,""id"",""en"")"),"Since when the bull has wings, it should be a blind horn, like people's horns, the people are made to run helter-skelter with PPKM")</f>
        <v>Since when the bull has wings, it should be a blind horn, like people's horns, the people are made to run helter-skelter with PPKM</v>
      </c>
    </row>
    <row r="7253" ht="15.75" customHeight="1">
      <c r="A7253" s="2">
        <v>7256.0</v>
      </c>
      <c r="B7253" s="5" t="s">
        <v>13270</v>
      </c>
      <c r="C7253" s="6">
        <v>1.0</v>
      </c>
      <c r="D7253" s="7" t="s">
        <v>13271</v>
      </c>
      <c r="E7253" s="8" t="str">
        <f>IFERROR(__xludf.DUMMYFUNCTION("googletranslate(D7253,""id"",""en"")"),"ppkm until when it's not clear too")</f>
        <v>ppkm until when it's not clear too</v>
      </c>
    </row>
    <row r="7254" ht="15.75" customHeight="1">
      <c r="A7254" s="2">
        <v>7257.0</v>
      </c>
      <c r="B7254" s="5" t="s">
        <v>13272</v>
      </c>
      <c r="C7254" s="6">
        <v>2.0</v>
      </c>
      <c r="D7254" s="7" t="s">
        <v>13273</v>
      </c>
      <c r="E7254" s="8" t="str">
        <f>IFERROR(__xludf.DUMMYFUNCTION("googletranslate(D7254,""id"",""en"")"),"ppkm = want your girlfriend")</f>
        <v>ppkm = want your girlfriend</v>
      </c>
    </row>
    <row r="7255" ht="15.75" customHeight="1">
      <c r="A7255" s="2">
        <v>7258.0</v>
      </c>
      <c r="B7255" s="5" t="s">
        <v>13274</v>
      </c>
      <c r="C7255" s="6">
        <v>2.0</v>
      </c>
      <c r="D7255" s="7" t="s">
        <v>13275</v>
      </c>
      <c r="E7255" s="8" t="str">
        <f>IFERROR(__xludf.DUMMYFUNCTION("googletranslate(D7255,""id"",""en"")"),"Mang Hold Still PPKM")</f>
        <v>Mang Hold Still PPKM</v>
      </c>
    </row>
    <row r="7256" ht="15.75" customHeight="1">
      <c r="A7256" s="2">
        <v>7259.0</v>
      </c>
      <c r="B7256" s="5" t="s">
        <v>13276</v>
      </c>
      <c r="C7256" s="6">
        <v>1.0</v>
      </c>
      <c r="D7256" s="9" t="s">
        <v>13277</v>
      </c>
      <c r="E7256" s="8" t="str">
        <f>IFERROR(__xludf.DUMMYFUNCTION("googletranslate(D7256,""id"",""en"")"),"Wagilanasih nyari ATM Malem in Margahayu Raya During the PPKM period it tastes sucks ... It's time for ATMs outside Alfa / Indo / Griya / Superindo / Borma ...")</f>
        <v>Wagilanasih nyari ATM Malem in Margahayu Raya During the PPKM period it tastes sucks ... It's time for ATMs outside Alfa / Indo / Griya / Superindo / Borma ...</v>
      </c>
    </row>
    <row r="7257" ht="15.75" customHeight="1">
      <c r="A7257" s="2">
        <v>7260.0</v>
      </c>
      <c r="B7257" s="5" t="s">
        <v>13278</v>
      </c>
      <c r="C7257" s="6">
        <v>1.0</v>
      </c>
      <c r="D7257" s="7" t="s">
        <v>13279</v>
      </c>
      <c r="E7257" s="8" t="str">
        <f>IFERROR(__xludf.DUMMYFUNCTION("googletranslate(D7257,""id"",""en"")"),"Indonesia has not been independent anymore, the proof of the Chinese TKA is free to enter, the people are not free to work again with the pretext of PPKM")</f>
        <v>Indonesia has not been independent anymore, the proof of the Chinese TKA is free to enter, the people are not free to work again with the pretext of PPKM</v>
      </c>
    </row>
    <row r="7258" ht="15.75" customHeight="1">
      <c r="A7258" s="2">
        <v>7261.0</v>
      </c>
      <c r="B7258" s="5" t="s">
        <v>13280</v>
      </c>
      <c r="C7258" s="6">
        <v>1.0</v>
      </c>
      <c r="D7258" s="7" t="s">
        <v>13281</v>
      </c>
      <c r="E7258" s="8" t="str">
        <f>IFERROR(__xludf.DUMMYFUNCTION("googletranslate(D7258,""id"",""en"")"),"What is the most Malesi besides getting on a plane when the PPKM period is this? Riding a plane when the PPKM period is Gini and gets reschedules.")</f>
        <v>What is the most Malesi besides getting on a plane when the PPKM period is this? Riding a plane when the PPKM period is Gini and gets reschedules.</v>
      </c>
    </row>
    <row r="7259" ht="15.75" customHeight="1">
      <c r="A7259" s="2">
        <v>7262.0</v>
      </c>
      <c r="B7259" s="5" t="s">
        <v>13282</v>
      </c>
      <c r="C7259" s="6">
        <v>3.0</v>
      </c>
      <c r="D7259" s="9" t="s">
        <v>13283</v>
      </c>
      <c r="E7259" s="8" t="str">
        <f>IFERROR(__xludf.DUMMYFUNCTION("googletranslate(D7259,""id"",""en"")"),"Lee's spirit, hopefully smoothly, congratulations, healthy! btw le, learn from the case ""Selebgram at the time of ppkm gini yes, I'm afraid you are blasphemed because it comes out at the ppkm gini while we are at home just good Lee")</f>
        <v>Lee's spirit, hopefully smoothly, congratulations, healthy! btw le, learn from the case "Selebgram at the time of ppkm gini yes, I'm afraid you are blasphemed because it comes out at the ppkm gini while we are at home just good Lee</v>
      </c>
    </row>
    <row r="7260" ht="15.75" customHeight="1">
      <c r="A7260" s="2">
        <v>7263.0</v>
      </c>
      <c r="B7260" s="5" t="s">
        <v>13284</v>
      </c>
      <c r="C7260" s="6">
        <v>1.0</v>
      </c>
      <c r="D7260" s="7" t="s">
        <v>13285</v>
      </c>
      <c r="E7260" s="8" t="str">
        <f>IFERROR(__xludf.DUMMYFUNCTION("googletranslate(D7260,""id"",""en"")"),"Bani Rice Wrap !!! The police are also soft !!! Look, they don't berkasken it is left at the time of the PPKM level !!!! Hadeeeeh .....")</f>
        <v>Bani Rice Wrap !!! The police are also soft !!! Look, they don't berkasken it is left at the time of the PPKM level !!!! Hadeeeeh .....</v>
      </c>
    </row>
    <row r="7261" ht="15.75" customHeight="1">
      <c r="A7261" s="2">
        <v>7264.0</v>
      </c>
      <c r="B7261" s="5" t="s">
        <v>13286</v>
      </c>
      <c r="C7261" s="6">
        <v>2.0</v>
      </c>
      <c r="D7261" s="9" t="s">
        <v>13286</v>
      </c>
      <c r="E7261" s="8" t="str">
        <f>IFERROR(__xludf.DUMMYFUNCTION("googletranslate(D7261,""id"",""en"")"),"Next month if the PPKM changes the name, the PPHP name proposal. Either the abbreviation of what. Just hurry up the name ...")</f>
        <v>Next month if the PPKM changes the name, the PPHP name proposal. Either the abbreviation of what. Just hurry up the name ...</v>
      </c>
    </row>
    <row r="7262" ht="15.75" customHeight="1">
      <c r="A7262" s="2">
        <v>7265.0</v>
      </c>
      <c r="B7262" s="5" t="s">
        <v>13287</v>
      </c>
      <c r="C7262" s="6">
        <v>1.0</v>
      </c>
      <c r="D7262" s="7" t="s">
        <v>13288</v>
      </c>
      <c r="E7262" s="8" t="str">
        <f>IFERROR(__xludf.DUMMYFUNCTION("googletranslate(D7262,""id"",""en"")"),"Rules of staying rules ... violations of PPKM Woy ...")</f>
        <v>Rules of staying rules ... violations of PPKM Woy ...</v>
      </c>
    </row>
    <row r="7263" ht="15.75" customHeight="1">
      <c r="A7263" s="2">
        <v>7266.0</v>
      </c>
      <c r="B7263" s="5" t="s">
        <v>13289</v>
      </c>
      <c r="C7263" s="6">
        <v>1.0</v>
      </c>
      <c r="D7263" s="7" t="s">
        <v>13290</v>
      </c>
      <c r="E7263" s="8" t="str">
        <f>IFERROR(__xludf.DUMMYFUNCTION("googletranslate(D7263,""id"",""en"")"),"again ppkm, gabisa")</f>
        <v>again ppkm, gabisa</v>
      </c>
    </row>
    <row r="7264" ht="15.75" customHeight="1">
      <c r="A7264" s="2">
        <v>7267.0</v>
      </c>
      <c r="B7264" s="5" t="s">
        <v>13291</v>
      </c>
      <c r="C7264" s="6">
        <v>1.0</v>
      </c>
      <c r="D7264" s="9" t="s">
        <v>13292</v>
      </c>
      <c r="E7264" s="8" t="str">
        <f>IFERROR(__xludf.DUMMYFUNCTION("googletranslate(D7264,""id"",""en"")"),"Work at the time of PPKM Doi Mah made the crowd at the Grogol tar Klu Jd Cluster Covid lived in the governor's governor")</f>
        <v>Work at the time of PPKM Doi Mah made the crowd at the Grogol tar Klu Jd Cluster Covid lived in the governor's governor</v>
      </c>
    </row>
    <row r="7265" ht="15.75" customHeight="1">
      <c r="A7265" s="2">
        <v>7268.0</v>
      </c>
      <c r="B7265" s="5" t="s">
        <v>13293</v>
      </c>
      <c r="C7265" s="6">
        <v>1.0</v>
      </c>
      <c r="D7265" s="10" t="s">
        <v>13294</v>
      </c>
      <c r="E7265" s="8" t="str">
        <f>IFERROR(__xludf.DUMMYFUNCTION("googletranslate(D7265,""id"",""en"")"),"Victims of PPKM")</f>
        <v>Victims of PPKM</v>
      </c>
    </row>
    <row r="7266" ht="15.75" customHeight="1">
      <c r="A7266" s="2">
        <v>7269.0</v>
      </c>
      <c r="B7266" s="5" t="s">
        <v>13295</v>
      </c>
      <c r="C7266" s="6">
        <v>1.0</v>
      </c>
      <c r="D7266" s="9" t="s">
        <v>13296</v>
      </c>
      <c r="E7266" s="8" t="str">
        <f>IFERROR(__xludf.DUMMYFUNCTION("googletranslate(D7266,""id"",""en"")"),"Huhuhu is rather sad, the PPKM is extended, so it is rarely the muzziness of my mother who works really really feels really impact. But yes you want to go again, the situation isn't it. I hope we keep it always")</f>
        <v>Huhuhu is rather sad, the PPKM is extended, so it is rarely the muzziness of my mother who works really really feels really impact. But yes you want to go again, the situation isn't it. I hope we keep it always</v>
      </c>
    </row>
    <row r="7267" ht="15.75" customHeight="1">
      <c r="A7267" s="2">
        <v>7270.0</v>
      </c>
      <c r="B7267" s="5" t="s">
        <v>13297</v>
      </c>
      <c r="C7267" s="6">
        <v>1.0</v>
      </c>
      <c r="D7267" s="7" t="s">
        <v>13298</v>
      </c>
      <c r="E7267" s="8" t="str">
        <f>IFERROR(__xludf.DUMMYFUNCTION("googletranslate(D7267,""id"",""en"")"),"Gatau ah dizzy, the pokmm impact pokmkkkkk. Healthy Healthy Everyone !!")</f>
        <v>Gatau ah dizzy, the pokmm impact pokmkkkkk. Healthy Healthy Everyone !!</v>
      </c>
    </row>
    <row r="7268" ht="15.75" customHeight="1">
      <c r="A7268" s="2">
        <v>7271.0</v>
      </c>
      <c r="B7268" s="5" t="s">
        <v>13299</v>
      </c>
      <c r="C7268" s="6">
        <v>2.0</v>
      </c>
      <c r="D7268" s="7" t="s">
        <v>13300</v>
      </c>
      <c r="E7268" s="8" t="str">
        <f>IFERROR(__xludf.DUMMYFUNCTION("googletranslate(D7268,""id"",""en"")"),"Sela-MA PPKM takes place")</f>
        <v>Sela-MA PPKM takes place</v>
      </c>
    </row>
    <row r="7269" ht="15.75" customHeight="1">
      <c r="A7269" s="2">
        <v>7272.0</v>
      </c>
      <c r="B7269" s="5" t="s">
        <v>13301</v>
      </c>
      <c r="C7269" s="6">
        <v>1.0</v>
      </c>
      <c r="D7269" s="7" t="s">
        <v>13302</v>
      </c>
      <c r="E7269" s="8" t="str">
        <f>IFERROR(__xludf.DUMMYFUNCTION("googletranslate(D7269,""id"",""en"")"),"Hmm, it turns out that Ukai is postponed by GRG PPKmya, is it ayok we sell ~~")</f>
        <v>Hmm, it turns out that Ukai is postponed by GRG PPKmya, is it ayok we sell ~~</v>
      </c>
    </row>
    <row r="7270" ht="15.75" customHeight="1">
      <c r="A7270" s="2">
        <v>7273.0</v>
      </c>
      <c r="B7270" s="5" t="s">
        <v>13303</v>
      </c>
      <c r="C7270" s="6">
        <v>2.0</v>
      </c>
      <c r="D7270" s="9" t="s">
        <v>13304</v>
      </c>
      <c r="E7270" s="8" t="str">
        <f>IFERROR(__xludf.DUMMYFUNCTION("googletranslate(D7270,""id"",""en"")"),"Kmren first left the house during the PPKM it was like KY out of Goa")</f>
        <v>Kmren first left the house during the PPKM it was like KY out of Goa</v>
      </c>
    </row>
    <row r="7271" ht="15.75" customHeight="1">
      <c r="A7271" s="2">
        <v>7274.0</v>
      </c>
      <c r="B7271" s="5" t="s">
        <v>13305</v>
      </c>
      <c r="C7271" s="6">
        <v>1.0</v>
      </c>
      <c r="D7271" s="9" t="s">
        <v>13306</v>
      </c>
      <c r="E7271" s="8" t="str">
        <f>IFERROR(__xludf.DUMMYFUNCTION("googletranslate(D7271,""id"",""en"")"),"Anyway, the big days of Islam are narrowed, first Eid Al-Fitr Psbbkini PPKM, plus prayers in congregation must be vaccinated .... BeUUH !!!! Kepriben?")</f>
        <v>Anyway, the big days of Islam are narrowed, first Eid Al-Fitr Psbbkini PPKM, plus prayers in congregation must be vaccinated .... BeUUH !!!! Kepriben?</v>
      </c>
    </row>
    <row r="7272" ht="15.75" customHeight="1">
      <c r="A7272" s="2">
        <v>7275.0</v>
      </c>
      <c r="B7272" s="5" t="s">
        <v>13307</v>
      </c>
      <c r="C7272" s="6">
        <v>2.0</v>
      </c>
      <c r="D7272" s="9" t="s">
        <v>13308</v>
      </c>
      <c r="E7272" s="8" t="str">
        <f>IFERROR(__xludf.DUMMYFUNCTION("googletranslate(D7272,""id"",""en"")"),"Even though if indeed intention, PPKM is not an obstacle to hold")</f>
        <v>Even though if indeed intention, PPKM is not an obstacle to hold</v>
      </c>
    </row>
    <row r="7273" ht="15.75" customHeight="1">
      <c r="A7273" s="2">
        <v>7276.0</v>
      </c>
      <c r="B7273" s="5" t="s">
        <v>13309</v>
      </c>
      <c r="C7273" s="6">
        <v>1.0</v>
      </c>
      <c r="D7273" s="7" t="s">
        <v>13310</v>
      </c>
      <c r="E7273" s="8" t="str">
        <f>IFERROR(__xludf.DUMMYFUNCTION("googletranslate(D7273,""id"",""en"")"),"Hurray ... Covid's death rate has been zero ... Indonesia is free of Covid ... but how come PPKM ... continues to extend ... like a repair of credit ...")</f>
        <v>Hurray ... Covid's death rate has been zero ... Indonesia is free of Covid ... but how come PPKM ... continues to extend ... like a repair of credit ...</v>
      </c>
    </row>
    <row r="7274" ht="15.75" customHeight="1">
      <c r="A7274" s="2">
        <v>7277.0</v>
      </c>
      <c r="B7274" s="5" t="s">
        <v>13311</v>
      </c>
      <c r="C7274" s="6">
        <v>1.0</v>
      </c>
      <c r="D7274" s="7" t="s">
        <v>13312</v>
      </c>
      <c r="E7274" s="8" t="str">
        <f>IFERROR(__xludf.DUMMYFUNCTION("googletranslate(D7274,""id"",""en"")"),"Then what is it? What intentions want to marry what you want to talk at the cashier? WKWKTOH, if it's not yet a relatively little PPKM donation, during this pandemic of the female income lately, it will decline hehe")</f>
        <v>Then what is it? What intentions want to marry what you want to talk at the cashier? WKWKTOH, if it's not yet a relatively little PPKM donation, during this pandemic of the female income lately, it will decline hehe</v>
      </c>
    </row>
    <row r="7275" ht="15.75" customHeight="1">
      <c r="A7275" s="2">
        <v>7278.0</v>
      </c>
      <c r="B7275" s="5" t="s">
        <v>13313</v>
      </c>
      <c r="C7275" s="6">
        <v>1.0</v>
      </c>
      <c r="D7275" s="9" t="s">
        <v>13314</v>
      </c>
      <c r="E7275" s="8" t="str">
        <f>IFERROR(__xludf.DUMMYFUNCTION("googletranslate(D7275,""id"",""en"")"),"I don't follow it, but if it's rich, it's not just realistic. Emg the program is better if it's offline because there is a program that makes you know the culture of the KMPUS intended, but try to think that the PPKM is extended especially if there are of"&amp;"fline activities. Or not the pandemal")</f>
        <v>I don't follow it, but if it's rich, it's not just realistic. Emg the program is better if it's offline because there is a program that makes you know the culture of the KMPUS intended, but try to think that the PPKM is extended especially if there are offline activities. Or not the pandemal</v>
      </c>
    </row>
    <row r="7276" ht="15.75" customHeight="1">
      <c r="A7276" s="2">
        <v>7279.0</v>
      </c>
      <c r="B7276" s="5" t="s">
        <v>13315</v>
      </c>
      <c r="C7276" s="6">
        <v>1.0</v>
      </c>
      <c r="D7276" s="7" t="s">
        <v>13316</v>
      </c>
      <c r="E7276" s="8" t="str">
        <f>IFERROR(__xludf.DUMMYFUNCTION("googletranslate(D7276,""id"",""en"")"),"Fixed wrong, Habib Riziq, the main thing, Corona will disappear not because of PPKM but because of changing leaders.")</f>
        <v>Fixed wrong, Habib Riziq, the main thing, Corona will disappear not because of PPKM but because of changing leaders.</v>
      </c>
    </row>
    <row r="7277" ht="15.75" customHeight="1">
      <c r="A7277" s="2">
        <v>7280.0</v>
      </c>
      <c r="B7277" s="5" t="s">
        <v>13317</v>
      </c>
      <c r="C7277" s="6">
        <v>2.0</v>
      </c>
      <c r="D7277" s="9" t="s">
        <v>13318</v>
      </c>
      <c r="E7277" s="8" t="str">
        <f>IFERROR(__xludf.DUMMYFUNCTION("googletranslate(D7277,""id"",""en"")"),"My guess was done to repair loans a week a week until it was paid off, only guess could miss")</f>
        <v>My guess was done to repair loans a week a week until it was paid off, only guess could miss</v>
      </c>
    </row>
    <row r="7278" ht="15.75" customHeight="1">
      <c r="A7278" s="2">
        <v>7281.0</v>
      </c>
      <c r="B7278" s="5" t="s">
        <v>13319</v>
      </c>
      <c r="C7278" s="6">
        <v>1.0</v>
      </c>
      <c r="D7278" s="9" t="s">
        <v>13320</v>
      </c>
      <c r="E7278" s="8" t="str">
        <f>IFERROR(__xludf.DUMMYFUNCTION("googletranslate(D7278,""id"",""en"")"),"Mom, what's the difference between them broke down with no? The problem is now the people's representatives don't just strike them like breaking down. The people implemented PPKM foreigners easily exit. The majority they are silent. Only a handful feels d"&amp;"isturbed.")</f>
        <v>Mom, what's the difference between them broke down with no? The problem is now the people's representatives don't just strike them like breaking down. The people implemented PPKM foreigners easily exit. The majority they are silent. Only a handful feels disturbed.</v>
      </c>
    </row>
    <row r="7279" ht="15.75" customHeight="1">
      <c r="A7279" s="2">
        <v>7282.0</v>
      </c>
      <c r="B7279" s="5" t="s">
        <v>13321</v>
      </c>
      <c r="C7279" s="6">
        <v>1.0</v>
      </c>
      <c r="D7279" s="9" t="s">
        <v>13322</v>
      </c>
      <c r="E7279" s="8" t="str">
        <f>IFERROR(__xludf.DUMMYFUNCTION("googletranslate(D7279,""id"",""en"")"),"Yes, if you want people who come to get married when they are pandemic, you can't get a lot of ppkm. In fact, it's good, it's not a max person, at least it's just a core family and it minimizes Km hit by Covid. Mbok Jd is a smart and supportive resident t"&amp;"oo")</f>
        <v>Yes, if you want people who come to get married when they are pandemic, you can't get a lot of ppkm. In fact, it's good, it's not a max person, at least it's just a core family and it minimizes Km hit by Covid. Mbok Jd is a smart and supportive resident too</v>
      </c>
    </row>
    <row r="7280" ht="15.75" customHeight="1">
      <c r="A7280" s="2">
        <v>7283.0</v>
      </c>
      <c r="B7280" s="5" t="s">
        <v>13323</v>
      </c>
      <c r="C7280" s="6">
        <v>2.0</v>
      </c>
      <c r="D7280" s="10" t="s">
        <v>13324</v>
      </c>
      <c r="E7280" s="8" t="str">
        <f>IFERROR(__xludf.DUMMYFUNCTION("googletranslate(D7280,""id"",""en"")"),"Masi PPKM.")</f>
        <v>Masi PPKM.</v>
      </c>
    </row>
    <row r="7281" ht="15.75" customHeight="1">
      <c r="A7281" s="2">
        <v>7284.0</v>
      </c>
      <c r="B7281" s="5" t="s">
        <v>13325</v>
      </c>
      <c r="C7281" s="6">
        <v>2.0</v>
      </c>
      <c r="D7281" s="9" t="s">
        <v>13326</v>
      </c>
      <c r="E7281" s="8" t="str">
        <f>IFERROR(__xludf.DUMMYFUNCTION("googletranslate(D7281,""id"",""en"")"),"As a marriage person in the PPKM time actually understands because it was once in position. Even though we want to be simple, the marriage program has a family gawe. Not necessarily the same perception is the same. It wants to talk like that")</f>
        <v>As a marriage person in the PPKM time actually understands because it was once in position. Even though we want to be simple, the marriage program has a family gawe. Not necessarily the same perception is the same. It wants to talk like that</v>
      </c>
    </row>
    <row r="7282" ht="15.75" customHeight="1">
      <c r="A7282" s="2">
        <v>7285.0</v>
      </c>
      <c r="B7282" s="5" t="s">
        <v>13327</v>
      </c>
      <c r="C7282" s="6">
        <v>1.0</v>
      </c>
      <c r="D7282" s="7" t="s">
        <v>13328</v>
      </c>
      <c r="E7282" s="8" t="str">
        <f>IFERROR(__xludf.DUMMYFUNCTION("googletranslate(D7282,""id"",""en"")"),"Agree to break up, they're working, PPKM in Cicil like the credit of their pot credit is diem2 Bae,")</f>
        <v>Agree to break up, they're working, PPKM in Cicil like the credit of their pot credit is diem2 Bae,</v>
      </c>
    </row>
    <row r="7283" ht="15.75" customHeight="1">
      <c r="A7283" s="2">
        <v>7286.0</v>
      </c>
      <c r="B7283" s="5" t="s">
        <v>13329</v>
      </c>
      <c r="C7283" s="6">
        <v>2.0</v>
      </c>
      <c r="D7283" s="7" t="s">
        <v>13329</v>
      </c>
      <c r="E7283" s="8" t="str">
        <f>IFERROR(__xludf.DUMMYFUNCTION("googletranslate(D7283,""id"",""en"")"),"Napa Napa PPKM. I want to live without a maskerr. Because dear makeup hahaha")</f>
        <v>Napa Napa PPKM. I want to live without a maskerr. Because dear makeup hahaha</v>
      </c>
    </row>
    <row r="7284" ht="15.75" customHeight="1">
      <c r="A7284" s="2">
        <v>7287.0</v>
      </c>
      <c r="B7284" s="5" t="s">
        <v>13330</v>
      </c>
      <c r="C7284" s="6">
        <v>2.0</v>
      </c>
      <c r="D7284" s="7" t="s">
        <v>13331</v>
      </c>
      <c r="E7284" s="8" t="str">
        <f>IFERROR(__xludf.DUMMYFUNCTION("googletranslate(D7284,""id"",""en"")"),"Gakenal ppkm is sure")</f>
        <v>Gakenal ppkm is sure</v>
      </c>
    </row>
    <row r="7285" ht="15.75" customHeight="1">
      <c r="A7285" s="2">
        <v>7288.0</v>
      </c>
      <c r="B7285" s="5" t="s">
        <v>13332</v>
      </c>
      <c r="C7285" s="6">
        <v>2.0</v>
      </c>
      <c r="D7285" s="9" t="s">
        <v>13333</v>
      </c>
      <c r="E7285" s="8" t="str">
        <f>IFERROR(__xludf.DUMMYFUNCTION("googletranslate(D7285,""id"",""en"")"),"My friend wants to marry the initial PPKM TBTB BGT it starts, he has a message for the marriage and the reception is postponed, my other person also knows the current condition of GMN, can be visited by good BSR family, making an invitation via zoom &amp; amp"&amp;"; on line")</f>
        <v>My friend wants to marry the initial PPKM TBTB BGT it starts, he has a message for the marriage and the reception is postponed, my other person also knows the current condition of GMN, can be visited by good BSR family, making an invitation via zoom &amp; amp; on line</v>
      </c>
    </row>
    <row r="7286" ht="15.75" customHeight="1">
      <c r="A7286" s="2">
        <v>7289.0</v>
      </c>
      <c r="B7286" s="5" t="s">
        <v>13334</v>
      </c>
      <c r="C7286" s="6">
        <v>1.0</v>
      </c>
      <c r="D7286" s="7" t="s">
        <v>13335</v>
      </c>
      <c r="E7286" s="8" t="str">
        <f>IFERROR(__xludf.DUMMYFUNCTION("googletranslate(D7286,""id"",""en"")"),"Now again proven yes, PPKM level but for basic foods in an open place that makes the crowd ...")</f>
        <v>Now again proven yes, PPKM level but for basic foods in an open place that makes the crowd ...</v>
      </c>
    </row>
    <row r="7287" ht="15.75" customHeight="1">
      <c r="A7287" s="2">
        <v>7290.0</v>
      </c>
      <c r="B7287" s="5" t="s">
        <v>13336</v>
      </c>
      <c r="C7287" s="6">
        <v>3.0</v>
      </c>
      <c r="D7287" s="7" t="s">
        <v>13337</v>
      </c>
      <c r="E7287" s="8" t="str">
        <f>IFERROR(__xludf.DUMMYFUNCTION("googletranslate(D7287,""id"",""en"")"),"In connection with PPKM easing in the mall ... I propose to open the Bulk Vaccination Center of the NKRI residents (do not apply domicile) and without Test PCR or Antigen Test ... Strategy to widen the Herd Community Vaksination Herd Community")</f>
        <v>In connection with PPKM easing in the mall ... I propose to open the Bulk Vaccination Center of the NKRI residents (do not apply domicile) and without Test PCR or Antigen Test ... Strategy to widen the Herd Community Vaksination Herd Community</v>
      </c>
    </row>
    <row r="7288" ht="15.75" customHeight="1">
      <c r="A7288" s="2">
        <v>7291.0</v>
      </c>
      <c r="B7288" s="5" t="s">
        <v>13338</v>
      </c>
      <c r="C7288" s="6">
        <v>2.0</v>
      </c>
      <c r="D7288" s="7" t="s">
        <v>13339</v>
      </c>
      <c r="E7288" s="8" t="str">
        <f>IFERROR(__xludf.DUMMYFUNCTION("googletranslate(D7288,""id"",""en"")"),"Last PPKM PLIS. Want to return the office T.T")</f>
        <v>Last PPKM PLIS. Want to return the office T.T</v>
      </c>
    </row>
    <row r="7289" ht="15.75" customHeight="1">
      <c r="A7289" s="2">
        <v>7292.0</v>
      </c>
      <c r="B7289" s="5" t="s">
        <v>13340</v>
      </c>
      <c r="C7289" s="6">
        <v>1.0</v>
      </c>
      <c r="D7289" s="9" t="s">
        <v>13341</v>
      </c>
      <c r="E7289" s="8" t="str">
        <f>IFERROR(__xludf.DUMMYFUNCTION("googletranslate(D7289,""id"",""en"")"),"What do you try to try it clearly to Grogol like this? Just cause a crowd. Continue to make a ppkm of volumes?")</f>
        <v>What do you try to try it clearly to Grogol like this? Just cause a crowd. Continue to make a ppkm of volumes?</v>
      </c>
    </row>
    <row r="7290" ht="15.75" customHeight="1">
      <c r="A7290" s="2">
        <v>7293.0</v>
      </c>
      <c r="B7290" s="5" t="s">
        <v>13342</v>
      </c>
      <c r="C7290" s="6">
        <v>2.0</v>
      </c>
      <c r="D7290" s="7" t="s">
        <v>13343</v>
      </c>
      <c r="E7290" s="8" t="str">
        <f>IFERROR(__xludf.DUMMYFUNCTION("googletranslate(D7290,""id"",""en"")"),"Sp who wants to marry the same q mumpung ppkm gini? Xixixi.")</f>
        <v>Sp who wants to marry the same q mumpung ppkm gini? Xixixi.</v>
      </c>
    </row>
    <row r="7291" ht="15.75" customHeight="1">
      <c r="A7291" s="2">
        <v>7294.0</v>
      </c>
      <c r="B7291" s="5" t="s">
        <v>13344</v>
      </c>
      <c r="C7291" s="6">
        <v>3.0</v>
      </c>
      <c r="D7291" s="9" t="s">
        <v>13345</v>
      </c>
      <c r="E7291" s="8" t="str">
        <f>IFERROR(__xludf.DUMMYFUNCTION("googletranslate(D7291,""id"",""en"")"),"Gede prestige, atoga afraid of the envelope used to be gabalik.Jujur even delicious marriage ppkm, it doesn't cost a lot")</f>
        <v>Gede prestige, atoga afraid of the envelope used to be gabalik.Jujur even delicious marriage ppkm, it doesn't cost a lot</v>
      </c>
    </row>
    <row r="7292" ht="15.75" customHeight="1">
      <c r="A7292" s="2">
        <v>7295.0</v>
      </c>
      <c r="B7292" s="5" t="s">
        <v>13346</v>
      </c>
      <c r="C7292" s="6">
        <v>1.0</v>
      </c>
      <c r="D7292" s="9" t="s">
        <v>13347</v>
      </c>
      <c r="E7292" s="8" t="str">
        <f>IFERROR(__xludf.DUMMYFUNCTION("googletranslate(D7292,""id"",""en"")"),"Disputed on my vacation time, this PPKM was last extended this last time I made a vacation before entering the semester")</f>
        <v>Disputed on my vacation time, this PPKM was last extended this last time I made a vacation before entering the semester</v>
      </c>
    </row>
    <row r="7293" ht="15.75" customHeight="1">
      <c r="A7293" s="2">
        <v>7296.0</v>
      </c>
      <c r="B7293" s="5" t="s">
        <v>13348</v>
      </c>
      <c r="C7293" s="6">
        <v>1.0</v>
      </c>
      <c r="D7293" s="7" t="s">
        <v>13349</v>
      </c>
      <c r="E7293" s="8" t="str">
        <f>IFERROR(__xludf.DUMMYFUNCTION("googletranslate(D7293,""id"",""en"")"),"LOP service")</f>
        <v>LOP service</v>
      </c>
    </row>
    <row r="7294" ht="15.75" customHeight="1">
      <c r="A7294" s="2">
        <v>7297.0</v>
      </c>
      <c r="B7294" s="5" t="s">
        <v>13350</v>
      </c>
      <c r="C7294" s="6">
        <v>2.0</v>
      </c>
      <c r="D7294" s="7" t="s">
        <v>13351</v>
      </c>
      <c r="E7294" s="8" t="str">
        <f>IFERROR(__xludf.DUMMYFUNCTION("googletranslate(D7294,""id"",""en"")"),"This LVL PPKM swims in a swimming pool still can't?")</f>
        <v>This LVL PPKM swims in a swimming pool still can't?</v>
      </c>
    </row>
    <row r="7295" ht="15.75" customHeight="1">
      <c r="A7295" s="2">
        <v>7298.0</v>
      </c>
      <c r="B7295" s="5" t="s">
        <v>13352</v>
      </c>
      <c r="C7295" s="6">
        <v>3.0</v>
      </c>
      <c r="D7295" s="9" t="s">
        <v>13353</v>
      </c>
      <c r="E7295" s="8" t="str">
        <f>IFERROR(__xludf.DUMMYFUNCTION("googletranslate(D7295,""id"",""en"")"),"I contra. The ppkm is really not expected. But the crowd of HRUS TTEP is prohibited and the ttep prokes are closely guarded. Masyrkt JG HRUS can be buktikn to each other Mnjaga Supya Permanya can a little melongarkn for the lower cluster economy can survi"&amp;"ve.")</f>
        <v>I contra. The ppkm is really not expected. But the crowd of HRUS TTEP is prohibited and the ttep prokes are closely guarded. Masyrkt JG HRUS can be buktikn to each other Mnjaga Supya Permanya can a little melongarkn for the lower cluster economy can survive.</v>
      </c>
    </row>
    <row r="7296" ht="15.75" customHeight="1">
      <c r="A7296" s="2">
        <v>7299.0</v>
      </c>
      <c r="B7296" s="5" t="s">
        <v>13354</v>
      </c>
      <c r="C7296" s="6">
        <v>1.0</v>
      </c>
      <c r="D7296" s="9" t="s">
        <v>13355</v>
      </c>
      <c r="E7296" s="8" t="str">
        <f>IFERROR(__xludf.DUMMYFUNCTION("googletranslate(D7296,""id"",""en"")"),"The crowd was repeated again, the crowd was repeated again by President Jokowi in the framework of distributing basic necessities, it should have read from the events already, which was finally always chaotic and crowded. Really did not have a leader's ex"&amp;"emplary in the PPKM SPRT situation.")</f>
        <v>The crowd was repeated again, the crowd was repeated again by President Jokowi in the framework of distributing basic necessities, it should have read from the events already, which was finally always chaotic and crowded. Really did not have a leader's exemplary in the PPKM SPRT situation.</v>
      </c>
    </row>
    <row r="7297" ht="15.75" customHeight="1">
      <c r="A7297" s="2">
        <v>7300.0</v>
      </c>
      <c r="B7297" s="5" t="s">
        <v>13356</v>
      </c>
      <c r="C7297" s="6">
        <v>1.0</v>
      </c>
      <c r="D7297" s="9" t="s">
        <v>13356</v>
      </c>
      <c r="E7297" s="8" t="str">
        <f>IFERROR(__xludf.DUMMYFUNCTION("googletranslate(D7297,""id"",""en"")"),"It was really new to news, my friend died. Really regret, when he was still sick, he had not been jenguk. Where is it still PPKM gabisa home. The deep condolence, only the prayer that can be sent, hopefully Khusnul Khatimah, calm down on the side of Allah"&amp;". Amiiin.")</f>
        <v>It was really new to news, my friend died. Really regret, when he was still sick, he had not been jenguk. Where is it still PPKM gabisa home. The deep condolence, only the prayer that can be sent, hopefully Khusnul Khatimah, calm down on the side of Allah. Amiiin.</v>
      </c>
    </row>
    <row r="7298" ht="15.75" customHeight="1">
      <c r="A7298" s="2">
        <v>7301.0</v>
      </c>
      <c r="B7298" s="5" t="s">
        <v>13357</v>
      </c>
      <c r="C7298" s="6">
        <v>2.0</v>
      </c>
      <c r="D7298" s="9" t="s">
        <v>13358</v>
      </c>
      <c r="E7298" s="8" t="str">
        <f>IFERROR(__xludf.DUMMYFUNCTION("googletranslate(D7298,""id"",""en"")"),"Bang ... what do you think about PPKM?")</f>
        <v>Bang ... what do you think about PPKM?</v>
      </c>
    </row>
    <row r="7299" ht="15.75" customHeight="1">
      <c r="A7299" s="2">
        <v>7302.0</v>
      </c>
      <c r="B7299" s="5" t="s">
        <v>13359</v>
      </c>
      <c r="C7299" s="6">
        <v>1.0</v>
      </c>
      <c r="D7299" s="7" t="s">
        <v>13360</v>
      </c>
      <c r="E7299" s="8" t="str">
        <f>IFERROR(__xludf.DUMMYFUNCTION("googletranslate(D7299,""id"",""en"")"),"Udh know ppkm right, but how can you play anying, it doesn't use the mask, it's a bat, it's a way to understand this corona, but it's stupid")</f>
        <v>Udh know ppkm right, but how can you play anying, it doesn't use the mask, it's a bat, it's a way to understand this corona, but it's stupid</v>
      </c>
    </row>
    <row r="7300" ht="15.75" customHeight="1">
      <c r="A7300" s="2">
        <v>7303.0</v>
      </c>
      <c r="B7300" s="5" t="s">
        <v>13361</v>
      </c>
      <c r="C7300" s="6">
        <v>1.0</v>
      </c>
      <c r="D7300" s="9" t="s">
        <v>13362</v>
      </c>
      <c r="E7300" s="8" t="str">
        <f>IFERROR(__xludf.DUMMYFUNCTION("googletranslate(D7300,""id"",""en"")"),"Married Mah Married, just come to Kua Rate. Elu who is complicated using everything must invite many people, who are misused by PPKM.")</f>
        <v>Married Mah Married, just come to Kua Rate. Elu who is complicated using everything must invite many people, who are misused by PPKM.</v>
      </c>
    </row>
    <row r="7301" ht="15.75" customHeight="1">
      <c r="A7301" s="2">
        <v>7304.0</v>
      </c>
      <c r="B7301" s="5" t="s">
        <v>13363</v>
      </c>
      <c r="C7301" s="6">
        <v>2.0</v>
      </c>
      <c r="D7301" s="7" t="s">
        <v>13364</v>
      </c>
      <c r="E7301" s="8" t="str">
        <f>IFERROR(__xludf.DUMMYFUNCTION("googletranslate(D7301,""id"",""en"")"),"Yeah, this ppkm trs sign is mah")</f>
        <v>Yeah, this ppkm trs sign is mah</v>
      </c>
    </row>
    <row r="7302" ht="15.75" customHeight="1">
      <c r="A7302" s="2">
        <v>7305.0</v>
      </c>
      <c r="B7302" s="5" t="s">
        <v>13365</v>
      </c>
      <c r="C7302" s="6">
        <v>3.0</v>
      </c>
      <c r="D7302" s="7" t="s">
        <v>13366</v>
      </c>
      <c r="E7302" s="8" t="str">
        <f>IFERROR(__xludf.DUMMYFUNCTION("googletranslate(D7302,""id"",""en"")"),"Good morning Indonesia, in the past the era of PPKM mobility is limited, so let's set our activities as effectively as possible, so that we can maximize all our work. Then keep maintaining health with exercise and good nutritional intake.")</f>
        <v>Good morning Indonesia, in the past the era of PPKM mobility is limited, so let's set our activities as effectively as possible, so that we can maximize all our work. Then keep maintaining health with exercise and good nutritional intake.</v>
      </c>
    </row>
    <row r="7303" ht="15.75" customHeight="1">
      <c r="A7303" s="2">
        <v>7306.0</v>
      </c>
      <c r="B7303" s="5" t="s">
        <v>13367</v>
      </c>
      <c r="C7303" s="6">
        <v>2.0</v>
      </c>
      <c r="D7303" s="9" t="s">
        <v>13368</v>
      </c>
      <c r="E7303" s="8" t="str">
        <f>IFERROR(__xludf.DUMMYFUNCTION("googletranslate(D7303,""id"",""en"")"),"Don't cuman PPKM easing, entrepreneurs ask for PCR prices to be lowered! .")</f>
        <v>Don't cuman PPKM easing, entrepreneurs ask for PCR prices to be lowered! .</v>
      </c>
    </row>
    <row r="7304" ht="15.75" customHeight="1">
      <c r="A7304" s="2">
        <v>7307.0</v>
      </c>
      <c r="B7304" s="5" t="s">
        <v>13369</v>
      </c>
      <c r="C7304" s="6">
        <v>1.0</v>
      </c>
      <c r="D7304" s="7" t="s">
        <v>13370</v>
      </c>
      <c r="E7304" s="8" t="str">
        <f>IFERROR(__xludf.DUMMYFUNCTION("googletranslate(D7304,""id"",""en"")"),"Mengkekk PPKM extended again")</f>
        <v>Mengkekk PPKM extended again</v>
      </c>
    </row>
    <row r="7305" ht="15.75" customHeight="1">
      <c r="A7305" s="2">
        <v>7308.0</v>
      </c>
      <c r="B7305" s="5" t="s">
        <v>13371</v>
      </c>
      <c r="C7305" s="6">
        <v>2.0</v>
      </c>
      <c r="D7305" s="9" t="s">
        <v>13372</v>
      </c>
      <c r="E7305" s="8" t="str">
        <f>IFERROR(__xludf.DUMMYFUNCTION("googletranslate(D7305,""id"",""en"")"),"I tried it, I can't go outside the province")</f>
        <v>I tried it, I can't go outside the province</v>
      </c>
    </row>
    <row r="7306" ht="15.75" customHeight="1">
      <c r="A7306" s="2">
        <v>7309.0</v>
      </c>
      <c r="B7306" s="5" t="s">
        <v>13373</v>
      </c>
      <c r="C7306" s="6">
        <v>2.0</v>
      </c>
      <c r="D7306" s="7" t="s">
        <v>13374</v>
      </c>
      <c r="E7306" s="8" t="str">
        <f>IFERROR(__xludf.DUMMYFUNCTION("googletranslate(D7306,""id"",""en"")"),"So remember the monitoring of Suhay Salim, Plek Ketiplek rich at the atmosphere of PPKM now")</f>
        <v>So remember the monitoring of Suhay Salim, Plek Ketiplek rich at the atmosphere of PPKM now</v>
      </c>
    </row>
    <row r="7307" ht="15.75" customHeight="1">
      <c r="A7307" s="2">
        <v>7310.0</v>
      </c>
      <c r="B7307" s="5" t="s">
        <v>13375</v>
      </c>
      <c r="C7307" s="6">
        <v>2.0</v>
      </c>
      <c r="D7307" s="7" t="s">
        <v>13376</v>
      </c>
      <c r="E7307" s="8" t="str">
        <f>IFERROR(__xludf.DUMMYFUNCTION("googletranslate(D7307,""id"",""en"")"),"PPKM continues until October")</f>
        <v>PPKM continues until October</v>
      </c>
    </row>
    <row r="7308" ht="15.75" customHeight="1">
      <c r="A7308" s="2">
        <v>7311.0</v>
      </c>
      <c r="B7308" s="5" t="s">
        <v>13377</v>
      </c>
      <c r="C7308" s="6">
        <v>1.0</v>
      </c>
      <c r="D7308" s="9" t="s">
        <v>13378</v>
      </c>
      <c r="E7308" s="8" t="str">
        <f>IFERROR(__xludf.DUMMYFUNCTION("googletranslate(D7308,""id"",""en"")"),"Congor mu wii..wi..elo just violated prokes..elo mo invite rkyat obey the prokes..aaaii loooo")</f>
        <v>Congor mu wii..wi..elo just violated prokes..elo mo invite rkyat obey the prokes..aaaii loooo</v>
      </c>
    </row>
    <row r="7309" ht="15.75" customHeight="1">
      <c r="A7309" s="2">
        <v>7312.0</v>
      </c>
      <c r="B7309" s="5" t="s">
        <v>13379</v>
      </c>
      <c r="C7309" s="6">
        <v>2.0</v>
      </c>
      <c r="D7309" s="7" t="s">
        <v>13380</v>
      </c>
      <c r="E7309" s="8" t="str">
        <f>IFERROR(__xludf.DUMMYFUNCTION("googletranslate(D7309,""id"",""en"")"),"Alms affairs was the small community of political parties and the DPR as the state instrument was more than that in the field of policy ... there was the role of the PKS rejecting the PPKM policy that did not sit on its people")</f>
        <v>Alms affairs was the small community of political parties and the DPR as the state instrument was more than that in the field of policy ... there was the role of the PKS rejecting the PPKM policy that did not sit on its people</v>
      </c>
    </row>
    <row r="7310" ht="15.75" customHeight="1">
      <c r="A7310" s="2">
        <v>7313.0</v>
      </c>
      <c r="B7310" s="5" t="s">
        <v>13381</v>
      </c>
      <c r="C7310" s="6">
        <v>3.0</v>
      </c>
      <c r="D7310" s="7" t="s">
        <v>13382</v>
      </c>
      <c r="E7310" s="8" t="str">
        <f>IFERROR(__xludf.DUMMYFUNCTION("googletranslate(D7310,""id"",""en"")"),"Assalamualaikum Wr Wbmet Morning Residents TL Met Activities Dg Fixed Discipline Prokes, Cat of PPKM, Immediately Vaccine Fixed Spirit with Red and White")</f>
        <v>Assalamualaikum Wr Wbmet Morning Residents TL Met Activities Dg Fixed Discipline Prokes, Cat of PPKM, Immediately Vaccine Fixed Spirit with Red and White</v>
      </c>
    </row>
    <row r="7311" ht="15.75" customHeight="1">
      <c r="A7311" s="2">
        <v>7314.0</v>
      </c>
      <c r="B7311" s="5" t="s">
        <v>13383</v>
      </c>
      <c r="C7311" s="6">
        <v>3.0</v>
      </c>
      <c r="D7311" s="7" t="s">
        <v>13384</v>
      </c>
      <c r="E7311" s="8" t="str">
        <f>IFERROR(__xludf.DUMMYFUNCTION("googletranslate(D7311,""id"",""en"")"),"Morning gaess spirit even though msh ppkm, ttp obey the prokes and participate covid vaccination so that we can live normal lagilelasas healed negriku ..")</f>
        <v>Morning gaess spirit even though msh ppkm, ttp obey the prokes and participate covid vaccination so that we can live normal lagilelasas healed negriku ..</v>
      </c>
    </row>
    <row r="7312" ht="15.75" customHeight="1">
      <c r="A7312" s="2">
        <v>7315.0</v>
      </c>
      <c r="B7312" s="5" t="s">
        <v>13385</v>
      </c>
      <c r="C7312" s="6">
        <v>1.0</v>
      </c>
      <c r="D7312" s="9" t="s">
        <v>13386</v>
      </c>
      <c r="E7312" s="8" t="str">
        <f>IFERROR(__xludf.DUMMYFUNCTION("googletranslate(D7312,""id"",""en"")"),"Anis is prabowo volum ... it's a sill of the hrs nil .. ktk hrs in the trial and jailed there is no one broken words to defend hrs..padahal before becoming a gub..beliau often sowan..hmm..helain it ppkm policy causing tyranny THD MSME.")</f>
        <v>Anis is prabowo volum ... it's a sill of the hrs nil .. ktk hrs in the trial and jailed there is no one broken words to defend hrs..padahal before becoming a gub..beliau often sowan..hmm..helain it ppkm policy causing tyranny THD MSME.</v>
      </c>
    </row>
    <row r="7313" ht="15.75" customHeight="1">
      <c r="A7313" s="2">
        <v>7316.0</v>
      </c>
      <c r="B7313" s="5" t="s">
        <v>13387</v>
      </c>
      <c r="C7313" s="6">
        <v>2.0</v>
      </c>
      <c r="D7313" s="7" t="s">
        <v>13387</v>
      </c>
      <c r="E7313" s="8" t="str">
        <f>IFERROR(__xludf.DUMMYFUNCTION("googletranslate(D7313,""id"",""en"")"),"I don't believe today's test, because of PPKM / SKD")</f>
        <v>I don't believe today's test, because of PPKM / SKD</v>
      </c>
    </row>
    <row r="7314" ht="15.75" customHeight="1">
      <c r="A7314" s="2">
        <v>7317.0</v>
      </c>
      <c r="B7314" s="5" t="s">
        <v>13388</v>
      </c>
      <c r="C7314" s="6">
        <v>2.0</v>
      </c>
      <c r="D7314" s="7" t="s">
        <v>13388</v>
      </c>
      <c r="E7314" s="8" t="str">
        <f>IFERROR(__xludf.DUMMYFUNCTION("googletranslate(D7314,""id"",""en"")"),"Ok ppkm extended, I have to keep the body cute")</f>
        <v>Ok ppkm extended, I have to keep the body cute</v>
      </c>
    </row>
    <row r="7315" ht="15.75" customHeight="1">
      <c r="A7315" s="2">
        <v>7318.0</v>
      </c>
      <c r="B7315" s="5" t="s">
        <v>13389</v>
      </c>
      <c r="C7315" s="6">
        <v>1.0</v>
      </c>
      <c r="D7315" s="10" t="s">
        <v>13390</v>
      </c>
      <c r="E7315" s="8" t="str">
        <f>IFERROR(__xludf.DUMMYFUNCTION("googletranslate(D7315,""id"",""en"")"),"Useless ppkm")</f>
        <v>Useless ppkm</v>
      </c>
    </row>
    <row r="7316" ht="15.75" customHeight="1">
      <c r="A7316" s="2">
        <v>7319.0</v>
      </c>
      <c r="B7316" s="5" t="s">
        <v>13391</v>
      </c>
      <c r="C7316" s="6">
        <v>1.0</v>
      </c>
      <c r="D7316" s="7" t="s">
        <v>13391</v>
      </c>
      <c r="E7316" s="8" t="str">
        <f>IFERROR(__xludf.DUMMYFUNCTION("googletranslate(D7316,""id"",""en"")"),"How come you are friends in the past.")</f>
        <v>How come you are friends in the past.</v>
      </c>
    </row>
    <row r="7317" ht="15.75" customHeight="1">
      <c r="A7317" s="2">
        <v>7320.0</v>
      </c>
      <c r="B7317" s="5" t="s">
        <v>13392</v>
      </c>
      <c r="C7317" s="6">
        <v>2.0</v>
      </c>
      <c r="D7317" s="7" t="s">
        <v>13393</v>
      </c>
      <c r="E7317" s="8" t="str">
        <f>IFERROR(__xludf.DUMMYFUNCTION("googletranslate(D7317,""id"",""en"")"),"Start the Breamps Gara2 PPKM")</f>
        <v>Start the Breamps Gara2 PPKM</v>
      </c>
    </row>
    <row r="7318" ht="15.75" customHeight="1">
      <c r="A7318" s="2">
        <v>7321.0</v>
      </c>
      <c r="B7318" s="5" t="s">
        <v>13394</v>
      </c>
      <c r="C7318" s="6">
        <v>2.0</v>
      </c>
      <c r="D7318" s="10" t="s">
        <v>13395</v>
      </c>
      <c r="E7318" s="8" t="str">
        <f>IFERROR(__xludf.DUMMYFUNCTION("googletranslate(D7318,""id"",""en"")"),"Kwandd ppkm ...")</f>
        <v>Kwandd ppkm ...</v>
      </c>
    </row>
    <row r="7319" ht="15.75" customHeight="1">
      <c r="A7319" s="2">
        <v>7322.0</v>
      </c>
      <c r="B7319" s="5" t="s">
        <v>13396</v>
      </c>
      <c r="C7319" s="6">
        <v>1.0</v>
      </c>
      <c r="D7319" s="7" t="s">
        <v>13397</v>
      </c>
      <c r="E7319" s="8" t="str">
        <f>IFERROR(__xludf.DUMMYFUNCTION("googletranslate(D7319,""id"",""en"")"),"I even not registered the recipient ... PDIAL BPJS is active and affected by PPKM is closed and cut the salary ..")</f>
        <v>I even not registered the recipient ... PDIAL BPJS is active and affected by PPKM is closed and cut the salary ..</v>
      </c>
    </row>
    <row r="7320" ht="15.75" customHeight="1">
      <c r="A7320" s="2">
        <v>7323.0</v>
      </c>
      <c r="B7320" s="5" t="s">
        <v>13398</v>
      </c>
      <c r="C7320" s="6">
        <v>1.0</v>
      </c>
      <c r="D7320" s="7" t="s">
        <v>13399</v>
      </c>
      <c r="E7320" s="8" t="str">
        <f>IFERROR(__xludf.DUMMYFUNCTION("googletranslate(D7320,""id"",""en"")"),"Stress of Gegara PPKM * ehh")</f>
        <v>Stress of Gegara PPKM * ehh</v>
      </c>
    </row>
    <row r="7321" ht="15.75" customHeight="1">
      <c r="A7321" s="2">
        <v>7324.0</v>
      </c>
      <c r="B7321" s="5" t="s">
        <v>13400</v>
      </c>
      <c r="C7321" s="6">
        <v>1.0</v>
      </c>
      <c r="D7321" s="7" t="s">
        <v>13401</v>
      </c>
      <c r="E7321" s="8" t="str">
        <f>IFERROR(__xludf.DUMMYFUNCTION("googletranslate(D7321,""id"",""en"")"),"He said Fucksin is not any condition. KEAT KEAT Cangko Yo Ngono: For those who will travel, this is a new rule of travel terms during PPKM")</f>
        <v>He said Fucksin is not any condition. KEAT KEAT Cangko Yo Ngono: For those who will travel, this is a new rule of travel terms during PPKM</v>
      </c>
    </row>
    <row r="7322" ht="15.75" customHeight="1">
      <c r="A7322" s="2">
        <v>7325.0</v>
      </c>
      <c r="B7322" s="5" t="s">
        <v>13402</v>
      </c>
      <c r="C7322" s="6">
        <v>2.0</v>
      </c>
      <c r="D7322" s="7" t="s">
        <v>13403</v>
      </c>
      <c r="E7322" s="8" t="str">
        <f>IFERROR(__xludf.DUMMYFUNCTION("googletranslate(D7322,""id"",""en"")"),"Emergency Emergency Proposal Expert Extended until you realize that you and him cannot united")</f>
        <v>Emergency Emergency Proposal Expert Extended until you realize that you and him cannot united</v>
      </c>
    </row>
    <row r="7323" ht="15.75" customHeight="1">
      <c r="A7323" s="2">
        <v>7326.0</v>
      </c>
      <c r="B7323" s="5" t="s">
        <v>13404</v>
      </c>
      <c r="C7323" s="6">
        <v>2.0</v>
      </c>
      <c r="D7323" s="7" t="s">
        <v>13404</v>
      </c>
      <c r="E7323" s="8" t="str">
        <f>IFERROR(__xludf.DUMMYFUNCTION("googletranslate(D7323,""id"",""en"")"),"Bro gan gan kotabaru toll gate d closes gk yes ppkm gini?")</f>
        <v>Bro gan gan kotabaru toll gate d closes gk yes ppkm gini?</v>
      </c>
    </row>
    <row r="7324" ht="15.75" customHeight="1">
      <c r="A7324" s="2">
        <v>7327.0</v>
      </c>
      <c r="B7324" s="5" t="s">
        <v>13405</v>
      </c>
      <c r="C7324" s="6">
        <v>2.0</v>
      </c>
      <c r="D7324" s="9" t="s">
        <v>13405</v>
      </c>
      <c r="E7324" s="8" t="str">
        <f>IFERROR(__xludf.DUMMYFUNCTION("googletranslate(D7324,""id"",""en"")"),"Sleep don, wake up if the ppkm has been finished.")</f>
        <v>Sleep don, wake up if the ppkm has been finished.</v>
      </c>
    </row>
    <row r="7325" ht="15.75" customHeight="1">
      <c r="A7325" s="2">
        <v>7328.0</v>
      </c>
      <c r="B7325" s="5" t="s">
        <v>13406</v>
      </c>
      <c r="C7325" s="6">
        <v>1.0</v>
      </c>
      <c r="D7325" s="7" t="s">
        <v>13407</v>
      </c>
      <c r="E7325" s="8" t="str">
        <f>IFERROR(__xludf.DUMMYFUNCTION("googletranslate(D7325,""id"",""en"")"),"Initially the plan to Jogja juli-suddenly published ppkm-backwards jd early August-ppkm renewed again mid-aying this kl renewed all the blngnya napa until the end of the year, tired bgst")</f>
        <v>Initially the plan to Jogja juli-suddenly published ppkm-backwards jd early August-ppkm renewed again mid-aying this kl renewed all the blngnya napa until the end of the year, tired bgst</v>
      </c>
    </row>
    <row r="7326" ht="15.75" customHeight="1">
      <c r="A7326" s="2">
        <v>7329.0</v>
      </c>
      <c r="B7326" s="5" t="s">
        <v>13408</v>
      </c>
      <c r="C7326" s="6">
        <v>1.0</v>
      </c>
      <c r="D7326" s="7" t="s">
        <v>13409</v>
      </c>
      <c r="E7326" s="8" t="str">
        <f>IFERROR(__xludf.DUMMYFUNCTION("googletranslate(D7326,""id"",""en"")"),"Who feels you have a free mah ... which makes a free mah regulation ... which extends PPKM free ...")</f>
        <v>Who feels you have a free mah ... which makes a free mah regulation ... which extends PPKM free ...</v>
      </c>
    </row>
    <row r="7327" ht="15.75" customHeight="1">
      <c r="A7327" s="2">
        <v>7330.0</v>
      </c>
      <c r="B7327" s="5" t="s">
        <v>13410</v>
      </c>
      <c r="C7327" s="6">
        <v>1.0</v>
      </c>
      <c r="D7327" s="7" t="s">
        <v>13411</v>
      </c>
      <c r="E7327" s="8" t="str">
        <f>IFERROR(__xludf.DUMMYFUNCTION("googletranslate(D7327,""id"",""en"")"),"The monkey is hungry because of the PPKM ...")</f>
        <v>The monkey is hungry because of the PPKM ...</v>
      </c>
    </row>
    <row r="7328" ht="15.75" customHeight="1">
      <c r="A7328" s="2">
        <v>7331.0</v>
      </c>
      <c r="B7328" s="5" t="s">
        <v>13412</v>
      </c>
      <c r="C7328" s="6">
        <v>1.0</v>
      </c>
      <c r="D7328" s="9" t="s">
        <v>13412</v>
      </c>
      <c r="E7328" s="8" t="str">
        <f>IFERROR(__xludf.DUMMYFUNCTION("googletranslate(D7328,""id"",""en"")"),"Ppkm stop first why")</f>
        <v>Ppkm stop first why</v>
      </c>
    </row>
    <row r="7329" ht="15.75" customHeight="1">
      <c r="A7329" s="2">
        <v>7332.0</v>
      </c>
      <c r="B7329" s="5" t="s">
        <v>13413</v>
      </c>
      <c r="C7329" s="6">
        <v>2.0</v>
      </c>
      <c r="D7329" s="9" t="s">
        <v>13414</v>
      </c>
      <c r="E7329" s="8" t="str">
        <f>IFERROR(__xludf.DUMMYFUNCTION("googletranslate(D7329,""id"",""en"")"),"Rich ppkm dilatur continues")</f>
        <v>Rich ppkm dilatur continues</v>
      </c>
    </row>
    <row r="7330" ht="15.75" customHeight="1">
      <c r="A7330" s="2">
        <v>7333.0</v>
      </c>
      <c r="B7330" s="5" t="s">
        <v>13415</v>
      </c>
      <c r="C7330" s="6">
        <v>2.0</v>
      </c>
      <c r="D7330" s="7" t="s">
        <v>13416</v>
      </c>
      <c r="E7330" s="8" t="str">
        <f>IFERROR(__xludf.DUMMYFUNCTION("googletranslate(D7330,""id"",""en"")"),"I just rafathar who didn't think about eating tomorrow during the ppkm extended, yeah no one?")</f>
        <v>I just rafathar who didn't think about eating tomorrow during the ppkm extended, yeah no one?</v>
      </c>
    </row>
    <row r="7331" ht="15.75" customHeight="1">
      <c r="A7331" s="2">
        <v>7334.0</v>
      </c>
      <c r="B7331" s="5" t="s">
        <v>13417</v>
      </c>
      <c r="C7331" s="6">
        <v>1.0</v>
      </c>
      <c r="D7331" s="9" t="s">
        <v>13418</v>
      </c>
      <c r="E7331" s="8" t="str">
        <f>IFERROR(__xludf.DUMMYFUNCTION("googletranslate(D7331,""id"",""en"")"),"This PPKM makes it difficult for the material shopping for selling. Like something limited, so you want. dtg today, uh close. Not yet the requirements of the seabreg. Selling also decreased. Hopefully immediately recover")</f>
        <v>This PPKM makes it difficult for the material shopping for selling. Like something limited, so you want. dtg today, uh close. Not yet the requirements of the seabreg. Selling also decreased. Hopefully immediately recover</v>
      </c>
    </row>
    <row r="7332" ht="15.75" customHeight="1">
      <c r="A7332" s="2">
        <v>7335.0</v>
      </c>
      <c r="B7332" s="5" t="s">
        <v>13419</v>
      </c>
      <c r="C7332" s="6">
        <v>3.0</v>
      </c>
      <c r="D7332" s="7" t="s">
        <v>13420</v>
      </c>
      <c r="E7332" s="8" t="str">
        <f>IFERROR(__xludf.DUMMYFUNCTION("googletranslate(D7332,""id"",""en"")"),"Wkwk still mending tea, helping the affected MSMM PPKM")</f>
        <v>Wkwk still mending tea, helping the affected MSMM PPKM</v>
      </c>
    </row>
    <row r="7333" ht="15.75" customHeight="1">
      <c r="A7333" s="2">
        <v>7336.0</v>
      </c>
      <c r="B7333" s="5" t="s">
        <v>13421</v>
      </c>
      <c r="C7333" s="6">
        <v>1.0</v>
      </c>
      <c r="D7333" s="7" t="s">
        <v>13421</v>
      </c>
      <c r="E7333" s="8" t="str">
        <f>IFERROR(__xludf.DUMMYFUNCTION("googletranslate(D7333,""id"",""en"")"),"dating is really posesive for PPKM regulations")</f>
        <v>dating is really posesive for PPKM regulations</v>
      </c>
    </row>
    <row r="7334" ht="15.75" customHeight="1">
      <c r="A7334" s="2">
        <v>7337.0</v>
      </c>
      <c r="B7334" s="5" t="s">
        <v>13422</v>
      </c>
      <c r="C7334" s="6">
        <v>3.0</v>
      </c>
      <c r="D7334" s="7" t="s">
        <v>13423</v>
      </c>
      <c r="E7334" s="8" t="str">
        <f>IFERROR(__xludf.DUMMYFUNCTION("googletranslate(D7334,""id"",""en"")"),"morning melvin, ... smg msh spirit undergo glowing ppkm like a soap opera")</f>
        <v>morning melvin, ... smg msh spirit undergo glowing ppkm like a soap opera</v>
      </c>
    </row>
    <row r="7335" ht="15.75" customHeight="1">
      <c r="A7335" s="2">
        <v>7338.0</v>
      </c>
      <c r="B7335" s="5" t="s">
        <v>13424</v>
      </c>
      <c r="C7335" s="6">
        <v>1.0</v>
      </c>
      <c r="D7335" s="10" t="s">
        <v>13424</v>
      </c>
      <c r="E7335" s="8" t="str">
        <f>IFERROR(__xludf.DUMMYFUNCTION("googletranslate(D7335,""id"",""en"")"),"PPKM Gajelas.")</f>
        <v>PPKM Gajelas.</v>
      </c>
    </row>
    <row r="7336" ht="15.75" customHeight="1">
      <c r="A7336" s="2">
        <v>7339.0</v>
      </c>
      <c r="B7336" s="5" t="s">
        <v>13425</v>
      </c>
      <c r="C7336" s="6">
        <v>1.0</v>
      </c>
      <c r="D7336" s="7" t="s">
        <v>13426</v>
      </c>
      <c r="E7336" s="8" t="str">
        <f>IFERROR(__xludf.DUMMYFUNCTION("googletranslate(D7336,""id"",""en"")"),"Don't understand what this ibuk2 doesn't take it, it's not just telling you that it's just that,")</f>
        <v>Don't understand what this ibuk2 doesn't take it, it's not just telling you that it's just that,</v>
      </c>
    </row>
    <row r="7337" ht="15.75" customHeight="1">
      <c r="A7337" s="2">
        <v>7340.0</v>
      </c>
      <c r="B7337" s="5" t="s">
        <v>13427</v>
      </c>
      <c r="C7337" s="6">
        <v>2.0</v>
      </c>
      <c r="D7337" s="7" t="s">
        <v>13428</v>
      </c>
      <c r="E7337" s="8" t="str">
        <f>IFERROR(__xludf.DUMMYFUNCTION("googletranslate(D7337,""id"",""en"")"),"Wait for the PPKM")</f>
        <v>Wait for the PPKM</v>
      </c>
    </row>
    <row r="7338" ht="15.75" customHeight="1">
      <c r="A7338" s="2">
        <v>7341.0</v>
      </c>
      <c r="B7338" s="5" t="s">
        <v>13429</v>
      </c>
      <c r="C7338" s="6">
        <v>1.0</v>
      </c>
      <c r="D7338" s="7" t="s">
        <v>13430</v>
      </c>
      <c r="E7338" s="8" t="str">
        <f>IFERROR(__xludf.DUMMYFUNCTION("googletranslate(D7338,""id"",""en"")"),"The impact of PPKM in PKU, where traffic jams, nakes and apparatus can be dispensed to be free of insulation, but what is the use of the condition of the field like this, whether the rules are wrong or indeed residents who can not obey the rules, office w"&amp;"FH, total shopping centers")</f>
        <v>The impact of PPKM in PKU, where traffic jams, nakes and apparatus can be dispensed to be free of insulation, but what is the use of the condition of the field like this, whether the rules are wrong or indeed residents who can not obey the rules, office wFH, total shopping centers</v>
      </c>
    </row>
    <row r="7339" ht="15.75" customHeight="1">
      <c r="A7339" s="2">
        <v>7342.0</v>
      </c>
      <c r="B7339" s="5" t="s">
        <v>13431</v>
      </c>
      <c r="C7339" s="6">
        <v>2.0</v>
      </c>
      <c r="D7339" s="7" t="s">
        <v>13432</v>
      </c>
      <c r="E7339" s="8" t="str">
        <f>IFERROR(__xludf.DUMMYFUNCTION("googletranslate(D7339,""id"",""en"")"),"Equally thought of crush, but the reality is not revealed, it's just so until the extension of the PPKM")</f>
        <v>Equally thought of crush, but the reality is not revealed, it's just so until the extension of the PPKM</v>
      </c>
    </row>
    <row r="7340" ht="15.75" customHeight="1">
      <c r="A7340" s="2">
        <v>7343.0</v>
      </c>
      <c r="B7340" s="5" t="s">
        <v>13433</v>
      </c>
      <c r="C7340" s="6">
        <v>2.0</v>
      </c>
      <c r="D7340" s="7" t="s">
        <v>13434</v>
      </c>
      <c r="E7340" s="8" t="str">
        <f>IFERROR(__xludf.DUMMYFUNCTION("googletranslate(D7340,""id"",""en"")"),"SIMANILING CAN BE ARE UTK SIM SIM AND DEPOK KTP and the validity period is running out when PPKM? TKS.")</f>
        <v>SIMANILING CAN BE ARE UTK SIM SIM AND DEPOK KTP and the validity period is running out when PPKM? TKS.</v>
      </c>
    </row>
    <row r="7341" ht="15.75" customHeight="1">
      <c r="A7341" s="2">
        <v>7344.0</v>
      </c>
      <c r="B7341" s="5" t="s">
        <v>13435</v>
      </c>
      <c r="C7341" s="6">
        <v>1.0</v>
      </c>
      <c r="D7341" s="7" t="s">
        <v>13435</v>
      </c>
      <c r="E7341" s="8" t="str">
        <f>IFERROR(__xludf.DUMMYFUNCTION("googletranslate(D7341,""id"",""en"")"),"Wait for the Indonesian Independence Anniversary, when we want to be free from PPKM")</f>
        <v>Wait for the Indonesian Independence Anniversary, when we want to be free from PPKM</v>
      </c>
    </row>
    <row r="7342" ht="15.75" customHeight="1">
      <c r="A7342" s="2">
        <v>7345.0</v>
      </c>
      <c r="B7342" s="5" t="s">
        <v>13436</v>
      </c>
      <c r="C7342" s="6">
        <v>1.0</v>
      </c>
      <c r="D7342" s="9" t="s">
        <v>13437</v>
      </c>
      <c r="E7342" s="8" t="str">
        <f>IFERROR(__xludf.DUMMYFUNCTION("googletranslate(D7342,""id"",""en"")"),"Ppkm when finished? Gwa really hate every morning the drama with security guard station just because of the restrictions")</f>
        <v>Ppkm when finished? Gwa really hate every morning the drama with security guard station just because of the restrictions</v>
      </c>
    </row>
    <row r="7343" ht="15.75" customHeight="1">
      <c r="A7343" s="2">
        <v>7346.0</v>
      </c>
      <c r="B7343" s="5" t="s">
        <v>13438</v>
      </c>
      <c r="C7343" s="6">
        <v>2.0</v>
      </c>
      <c r="D7343" s="9" t="s">
        <v>13439</v>
      </c>
      <c r="E7343" s="8" t="str">
        <f>IFERROR(__xludf.DUMMYFUNCTION("googletranslate(D7343,""id"",""en"")"),"I swear, I want to go to Jogja, but it's still very quiet and it's really quiet")</f>
        <v>I swear, I want to go to Jogja, but it's still very quiet and it's really quiet</v>
      </c>
    </row>
    <row r="7344" ht="15.75" customHeight="1">
      <c r="A7344" s="2">
        <v>7347.0</v>
      </c>
      <c r="B7344" s="5" t="s">
        <v>13440</v>
      </c>
      <c r="C7344" s="6">
        <v>3.0</v>
      </c>
      <c r="D7344" s="9" t="s">
        <v>13441</v>
      </c>
      <c r="E7344" s="8" t="str">
        <f>IFERROR(__xludf.DUMMYFUNCTION("googletranslate(D7344,""id"",""en"")"),"Smg which today all the affected sm a pandemic of Allah in a way, he said, Allah smoothly, right?")</f>
        <v>Smg which today all the affected sm a pandemic of Allah in a way, he said, Allah smoothly, right?</v>
      </c>
    </row>
    <row r="7345" ht="15.75" customHeight="1">
      <c r="A7345" s="2">
        <v>7348.0</v>
      </c>
      <c r="B7345" s="5" t="s">
        <v>13442</v>
      </c>
      <c r="C7345" s="6">
        <v>2.0</v>
      </c>
      <c r="D7345" s="7" t="s">
        <v>13442</v>
      </c>
      <c r="E7345" s="8" t="str">
        <f>IFERROR(__xludf.DUMMYFUNCTION("googletranslate(D7345,""id"",""en"")"),"[cm] There are students from Jakarta who during PPKM settled in Bandung or not?")</f>
        <v>[cm] There are students from Jakarta who during PPKM settled in Bandung or not?</v>
      </c>
    </row>
    <row r="7346" ht="15.75" customHeight="1">
      <c r="A7346" s="2">
        <v>7349.0</v>
      </c>
      <c r="B7346" s="5" t="s">
        <v>13443</v>
      </c>
      <c r="C7346" s="6">
        <v>2.0</v>
      </c>
      <c r="D7346" s="7" t="s">
        <v>13443</v>
      </c>
      <c r="E7346" s="8" t="str">
        <f>IFERROR(__xludf.DUMMYFUNCTION("googletranslate(D7346,""id"",""en"")"),"People talk about the right ppkm, so want to marry")</f>
        <v>People talk about the right ppkm, so want to marry</v>
      </c>
    </row>
    <row r="7347" ht="15.75" customHeight="1">
      <c r="A7347" s="2">
        <v>7350.0</v>
      </c>
      <c r="B7347" s="5" t="s">
        <v>13444</v>
      </c>
      <c r="C7347" s="6">
        <v>1.0</v>
      </c>
      <c r="D7347" s="9" t="s">
        <v>13445</v>
      </c>
      <c r="E7347" s="8" t="str">
        <f>IFERROR(__xludf.DUMMYFUNCTION("googletranslate(D7347,""id"",""en"")"),"If I want to sell the sale of meatballs / I jeng to get the impact of the PPKM building on nothing")</f>
        <v>If I want to sell the sale of meatballs / I jeng to get the impact of the PPKM building on nothing</v>
      </c>
    </row>
    <row r="7348" ht="15.75" customHeight="1">
      <c r="A7348" s="2">
        <v>7351.0</v>
      </c>
      <c r="B7348" s="5" t="s">
        <v>13446</v>
      </c>
      <c r="C7348" s="6">
        <v>1.0</v>
      </c>
      <c r="D7348" s="7" t="s">
        <v>13447</v>
      </c>
      <c r="E7348" s="8" t="str">
        <f>IFERROR(__xludf.DUMMYFUNCTION("googletranslate(D7348,""id"",""en"")"),"Divide directly and very good see Sikon Dong Bosss is still PPKM. The specialty people are just limited to the clock and the rules, fanatics are not prohibited but clear thoughts continue to run")</f>
        <v>Divide directly and very good see Sikon Dong Bosss is still PPKM. The specialty people are just limited to the clock and the rules, fanatics are not prohibited but clear thoughts continue to run</v>
      </c>
    </row>
    <row r="7349" ht="15.75" customHeight="1">
      <c r="A7349" s="2">
        <v>7352.0</v>
      </c>
      <c r="B7349" s="5" t="s">
        <v>13448</v>
      </c>
      <c r="C7349" s="6">
        <v>2.0</v>
      </c>
      <c r="D7349" s="9" t="s">
        <v>13449</v>
      </c>
      <c r="E7349" s="8" t="str">
        <f>IFERROR(__xludf.DUMMYFUNCTION("googletranslate(D7349,""id"",""en"")"),"Patience first, the PPKM is complete")</f>
        <v>Patience first, the PPKM is complete</v>
      </c>
    </row>
    <row r="7350" ht="15.75" customHeight="1">
      <c r="A7350" s="2">
        <v>7353.0</v>
      </c>
      <c r="B7350" s="5" t="s">
        <v>13450</v>
      </c>
      <c r="C7350" s="6">
        <v>1.0</v>
      </c>
      <c r="D7350" s="7" t="s">
        <v>13451</v>
      </c>
      <c r="E7350" s="8" t="str">
        <f>IFERROR(__xludf.DUMMYFUNCTION("googletranslate(D7350,""id"",""en"")"),"So just when it's talking about, and the torment of hell is really multiplied by pain on earth, being told to the house after the PPKM, it's just a strong stress, how about the hell that is surrounded by the fire then tortured every second there is no pau"&amp;"se")</f>
        <v>So just when it's talking about, and the torment of hell is really multiplied by pain on earth, being told to the house after the PPKM, it's just a strong stress, how about the hell that is surrounded by the fire then tortured every second there is no pause</v>
      </c>
    </row>
    <row r="7351" ht="15.75" customHeight="1">
      <c r="A7351" s="2">
        <v>7354.0</v>
      </c>
      <c r="B7351" s="5" t="s">
        <v>13452</v>
      </c>
      <c r="C7351" s="6">
        <v>1.0</v>
      </c>
      <c r="D7351" s="9" t="s">
        <v>13453</v>
      </c>
      <c r="E7351" s="8" t="str">
        <f>IFERROR(__xludf.DUMMYFUNCTION("googletranslate(D7351,""id"",""en"")"),"PPKM for the people: restrictions on the movement of community activities ... Jiars die of hunger, kill each other kill.ppkm for Chinese TKA: exemption regulation coming out ... Mastering the DN SDA region.")</f>
        <v>PPKM for the people: restrictions on the movement of community activities ... Jiars die of hunger, kill each other kill.ppkm for Chinese TKA: exemption regulation coming out ... Mastering the DN SDA region.</v>
      </c>
    </row>
    <row r="7352" ht="15.75" customHeight="1">
      <c r="A7352" s="2">
        <v>7355.0</v>
      </c>
      <c r="B7352" s="5" t="s">
        <v>13454</v>
      </c>
      <c r="C7352" s="6">
        <v>2.0</v>
      </c>
      <c r="D7352" s="9" t="s">
        <v>13455</v>
      </c>
      <c r="E7352" s="8" t="str">
        <f>IFERROR(__xludf.DUMMYFUNCTION("googletranslate(D7352,""id"",""en"")"),"snack first during the PPKM extended.")</f>
        <v>snack first during the PPKM extended.</v>
      </c>
    </row>
    <row r="7353" ht="15.75" customHeight="1">
      <c r="A7353" s="2">
        <v>7356.0</v>
      </c>
      <c r="B7353" s="5" t="s">
        <v>13456</v>
      </c>
      <c r="C7353" s="6">
        <v>2.0</v>
      </c>
      <c r="D7353" s="9" t="s">
        <v>13457</v>
      </c>
      <c r="E7353" s="8" t="str">
        <f>IFERROR(__xludf.DUMMYFUNCTION("googletranslate(D7353,""id"",""en"")"),"I got married before the pandemic and PPKM also just invited people")</f>
        <v>I got married before the pandemic and PPKM also just invited people</v>
      </c>
    </row>
    <row r="7354" ht="15.75" customHeight="1">
      <c r="A7354" s="2">
        <v>7357.0</v>
      </c>
      <c r="B7354" s="5" t="s">
        <v>13458</v>
      </c>
      <c r="C7354" s="6">
        <v>2.0</v>
      </c>
      <c r="D7354" s="7" t="s">
        <v>13459</v>
      </c>
      <c r="E7354" s="8" t="str">
        <f>IFERROR(__xludf.DUMMYFUNCTION("googletranslate(D7354,""id"",""en"")"),"MakasiII yes Cimii and accompanying from PSBB until PPKM")</f>
        <v>MakasiII yes Cimii and accompanying from PSBB until PPKM</v>
      </c>
    </row>
    <row r="7355" ht="15.75" customHeight="1">
      <c r="A7355" s="2">
        <v>7358.0</v>
      </c>
      <c r="B7355" s="5" t="s">
        <v>13460</v>
      </c>
      <c r="C7355" s="6">
        <v>2.0</v>
      </c>
      <c r="D7355" s="9" t="s">
        <v>13461</v>
      </c>
      <c r="E7355" s="8" t="str">
        <f>IFERROR(__xludf.DUMMYFUNCTION("googletranslate(D7355,""id"",""en"")"),"LG PPKM is reluctant to come out """)</f>
        <v>LG PPKM is reluctant to come out "</v>
      </c>
    </row>
    <row r="7356" ht="15.75" customHeight="1">
      <c r="A7356" s="2">
        <v>7359.0</v>
      </c>
      <c r="B7356" s="5" t="s">
        <v>13462</v>
      </c>
      <c r="C7356" s="6">
        <v>1.0</v>
      </c>
      <c r="D7356" s="10" t="s">
        <v>13463</v>
      </c>
      <c r="E7356" s="8" t="str">
        <f>IFERROR(__xludf.DUMMYFUNCTION("googletranslate(D7356,""id"",""en"")"),"Already this ppkm")</f>
        <v>Already this ppkm</v>
      </c>
    </row>
    <row r="7357" ht="15.75" customHeight="1">
      <c r="A7357" s="2">
        <v>7360.0</v>
      </c>
      <c r="B7357" s="5" t="s">
        <v>13464</v>
      </c>
      <c r="C7357" s="6">
        <v>1.0</v>
      </c>
      <c r="D7357" s="9" t="s">
        <v>13465</v>
      </c>
      <c r="E7357" s="8" t="str">
        <f>IFERROR(__xludf.DUMMYFUNCTION("googletranslate(D7357,""id"",""en"")"),"Gramedia intersection under the Pekanbaru flyover is not in the same bulkhead, it is unreasonable, especially in the bulkhead ... the ppkm is said to be crazy")</f>
        <v>Gramedia intersection under the Pekanbaru flyover is not in the same bulkhead, it is unreasonable, especially in the bulkhead ... the ppkm is said to be crazy</v>
      </c>
    </row>
    <row r="7358" ht="15.75" customHeight="1">
      <c r="A7358" s="2">
        <v>7361.0</v>
      </c>
      <c r="B7358" s="5" t="s">
        <v>13466</v>
      </c>
      <c r="C7358" s="6">
        <v>2.0</v>
      </c>
      <c r="D7358" s="7" t="s">
        <v>13467</v>
      </c>
      <c r="E7358" s="8" t="str">
        <f>IFERROR(__xludf.DUMMYFUNCTION("googletranslate(D7358,""id"",""en"")"),"If the PPKM extends twice and the result is still nil, it will be done by penalty ...")</f>
        <v>If the PPKM extends twice and the result is still nil, it will be done by penalty ...</v>
      </c>
    </row>
    <row r="7359" ht="15.75" customHeight="1">
      <c r="A7359" s="2">
        <v>7362.0</v>
      </c>
      <c r="B7359" s="5" t="s">
        <v>13468</v>
      </c>
      <c r="C7359" s="6">
        <v>1.0</v>
      </c>
      <c r="D7359" s="9" t="s">
        <v>13469</v>
      </c>
      <c r="E7359" s="8" t="str">
        <f>IFERROR(__xludf.DUMMYFUNCTION("googletranslate(D7359,""id"",""en"")"),"Kawal Temen Lu Noh who was grabbed by PPKM")</f>
        <v>Kawal Temen Lu Noh who was grabbed by PPKM</v>
      </c>
    </row>
    <row r="7360" ht="15.75" customHeight="1">
      <c r="A7360" s="2">
        <v>7363.0</v>
      </c>
      <c r="B7360" s="5" t="s">
        <v>13470</v>
      </c>
      <c r="C7360" s="6">
        <v>3.0</v>
      </c>
      <c r="D7360" s="7" t="s">
        <v>13471</v>
      </c>
      <c r="E7360" s="8" t="str">
        <f>IFERROR(__xludf.DUMMYFUNCTION("googletranslate(D7360,""id"",""en"")"),"Yes hopefully by joining the government with PPKM Pandemi can go far")</f>
        <v>Yes hopefully by joining the government with PPKM Pandemi can go far</v>
      </c>
    </row>
    <row r="7361" ht="15.75" customHeight="1">
      <c r="A7361" s="2">
        <v>7364.0</v>
      </c>
      <c r="B7361" s="5" t="s">
        <v>13472</v>
      </c>
      <c r="C7361" s="6">
        <v>2.0</v>
      </c>
      <c r="D7361" s="7" t="s">
        <v>13473</v>
      </c>
      <c r="E7361" s="8" t="str">
        <f>IFERROR(__xludf.DUMMYFUNCTION("googletranslate(D7361,""id"",""en"")"),"Max $ number $ day if it's just like that, because it's a ppkm again too. Even those who already in my own town, just send it to the address to delay and continue to send it")</f>
        <v>Max $ number $ day if it's just like that, because it's a ppkm again too. Even those who already in my own town, just send it to the address to delay and continue to send it</v>
      </c>
    </row>
    <row r="7362" ht="15.75" customHeight="1">
      <c r="A7362" s="2">
        <v>7365.0</v>
      </c>
      <c r="B7362" s="5" t="s">
        <v>13474</v>
      </c>
      <c r="C7362" s="6">
        <v>1.0</v>
      </c>
      <c r="D7362" s="9" t="s">
        <v>13475</v>
      </c>
      <c r="E7362" s="8" t="str">
        <f>IFERROR(__xludf.DUMMYFUNCTION("googletranslate(D7362,""id"",""en"")"),"Like a foot ball game. If there is no winner, there will be an extension of time. If the PPKM is extended, it shows the government has not managed to handle Covid19 pandemics. So there must be a replacement of players, coach or officara.")</f>
        <v>Like a foot ball game. If there is no winner, there will be an extension of time. If the PPKM is extended, it shows the government has not managed to handle Covid19 pandemics. So there must be a replacement of players, coach or officara.</v>
      </c>
    </row>
    <row r="7363" ht="15.75" customHeight="1">
      <c r="A7363" s="2">
        <v>7366.0</v>
      </c>
      <c r="B7363" s="5" t="s">
        <v>13476</v>
      </c>
      <c r="C7363" s="6">
        <v>1.0</v>
      </c>
      <c r="D7363" s="9" t="s">
        <v>13477</v>
      </c>
      <c r="E7363" s="8" t="str">
        <f>IFERROR(__xludf.DUMMYFUNCTION("googletranslate(D7363,""id"",""en"")"),"Indonesia will rung up if the leader is kind of now ... ppkm")</f>
        <v>Indonesia will rung up if the leader is kind of now ... ppkm</v>
      </c>
    </row>
    <row r="7364" ht="15.75" customHeight="1">
      <c r="A7364" s="2">
        <v>7367.0</v>
      </c>
      <c r="B7364" s="5" t="s">
        <v>13478</v>
      </c>
      <c r="C7364" s="6">
        <v>3.0</v>
      </c>
      <c r="D7364" s="7" t="s">
        <v>13479</v>
      </c>
      <c r="E7364" s="8" t="str">
        <f>IFERROR(__xludf.DUMMYFUNCTION("googletranslate(D7364,""id"",""en"")"),"This morning to strongly undergo ppkmtetap spiritophy who are happy to make the immune stay high in healthy.")</f>
        <v>This morning to strongly undergo ppkmtetap spiritophy who are happy to make the immune stay high in healthy.</v>
      </c>
    </row>
    <row r="7365" ht="15.75" customHeight="1">
      <c r="A7365" s="2">
        <v>7368.0</v>
      </c>
      <c r="B7365" s="5" t="s">
        <v>13480</v>
      </c>
      <c r="C7365" s="6">
        <v>2.0</v>
      </c>
      <c r="D7365" s="7" t="s">
        <v>13481</v>
      </c>
      <c r="E7365" s="8" t="str">
        <f>IFERROR(__xludf.DUMMYFUNCTION("googletranslate(D7365,""id"",""en"")"),"Hehehehehe PPKM Mas.")</f>
        <v>Hehehehehe PPKM Mas.</v>
      </c>
    </row>
    <row r="7366" ht="15.75" customHeight="1">
      <c r="A7366" s="2">
        <v>7369.0</v>
      </c>
      <c r="B7366" s="5" t="s">
        <v>13482</v>
      </c>
      <c r="C7366" s="6">
        <v>2.0</v>
      </c>
      <c r="D7366" s="7" t="s">
        <v>13483</v>
      </c>
      <c r="E7366" s="8" t="str">
        <f>IFERROR(__xludf.DUMMYFUNCTION("googletranslate(D7366,""id"",""en"")"),"After a long time for PPKM")</f>
        <v>After a long time for PPKM</v>
      </c>
    </row>
    <row r="7367" ht="15.75" customHeight="1">
      <c r="A7367" s="2">
        <v>7370.0</v>
      </c>
      <c r="B7367" s="5" t="s">
        <v>13484</v>
      </c>
      <c r="C7367" s="6">
        <v>2.0</v>
      </c>
      <c r="D7367" s="9" t="s">
        <v>13485</v>
      </c>
      <c r="E7367" s="8" t="str">
        <f>IFERROR(__xludf.DUMMYFUNCTION("googletranslate(D7367,""id"",""en"")"),"ppkm just stopped if the boss already clayed this")</f>
        <v>ppkm just stopped if the boss already clayed this</v>
      </c>
    </row>
    <row r="7368" ht="15.75" customHeight="1">
      <c r="A7368" s="2">
        <v>7371.0</v>
      </c>
      <c r="B7368" s="5" t="s">
        <v>13486</v>
      </c>
      <c r="C7368" s="6">
        <v>2.0</v>
      </c>
      <c r="D7368" s="7" t="s">
        <v>13487</v>
      </c>
      <c r="E7368" s="8" t="str">
        <f>IFERROR(__xludf.DUMMYFUNCTION("googletranslate(D7368,""id"",""en"")"),"Ppkm = slowly you like it")</f>
        <v>Ppkm = slowly you like it</v>
      </c>
    </row>
    <row r="7369" ht="15.75" customHeight="1">
      <c r="A7369" s="2">
        <v>7372.0</v>
      </c>
      <c r="B7369" s="5" t="s">
        <v>13488</v>
      </c>
      <c r="C7369" s="6">
        <v>1.0</v>
      </c>
      <c r="D7369" s="7" t="s">
        <v>13489</v>
      </c>
      <c r="E7369" s="8" t="str">
        <f>IFERROR(__xludf.DUMMYFUNCTION("googletranslate(D7369,""id"",""en"")"),"Dividing the gift is not wrong if the class is skippering the village, this is the president of the Pandemic Period, PPKM LG. Gragging with the way it is not possible and amp; in the justice mn if you don't have an institution / ministry who takes care of"&amp;" this, MSL lwt kemensos.yg clearly president violates PPKM point")</f>
        <v>Dividing the gift is not wrong if the class is skippering the village, this is the president of the Pandemic Period, PPKM LG. Gragging with the way it is not possible and amp; in the justice mn if you don't have an institution / ministry who takes care of this, MSL lwt kemensos.yg clearly president violates PPKM point</v>
      </c>
    </row>
    <row r="7370" ht="15.75" customHeight="1">
      <c r="A7370" s="2">
        <v>7373.0</v>
      </c>
      <c r="B7370" s="5" t="s">
        <v>13490</v>
      </c>
      <c r="C7370" s="6">
        <v>1.0</v>
      </c>
      <c r="D7370" s="9" t="s">
        <v>13491</v>
      </c>
      <c r="E7370" s="8" t="str">
        <f>IFERROR(__xludf.DUMMYFUNCTION("googletranslate(D7370,""id"",""en"")"),"O God, id Express, how come it's already the day, stuck the package is not dianter. the stationery wants to use probably the intention of buying in shopee supports PPKM, so it doesn't come out of the house, it's rich like this")</f>
        <v>O God, id Express, how come it's already the day, stuck the package is not dianter. the stationery wants to use probably the intention of buying in shopee supports PPKM, so it doesn't come out of the house, it's rich like this</v>
      </c>
    </row>
    <row r="7371" ht="15.75" customHeight="1">
      <c r="A7371" s="2">
        <v>7374.0</v>
      </c>
      <c r="B7371" s="5" t="s">
        <v>13492</v>
      </c>
      <c r="C7371" s="6">
        <v>1.0</v>
      </c>
      <c r="D7371" s="7" t="s">
        <v>13493</v>
      </c>
      <c r="E7371" s="8" t="str">
        <f>IFERROR(__xludf.DUMMYFUNCTION("googletranslate(D7371,""id"",""en"")"),"Distribution of basic foods from the car there is a crowd, does this become a violation of the PPKM?, KL does not mean the law is not fair.")</f>
        <v>Distribution of basic foods from the car there is a crowd, does this become a violation of the PPKM?, KL does not mean the law is not fair.</v>
      </c>
    </row>
    <row r="7372" ht="15.75" customHeight="1">
      <c r="A7372" s="2">
        <v>7375.0</v>
      </c>
      <c r="B7372" s="5" t="s">
        <v>13494</v>
      </c>
      <c r="C7372" s="6">
        <v>2.0</v>
      </c>
      <c r="D7372" s="9" t="s">
        <v>13495</v>
      </c>
      <c r="E7372" s="8" t="str">
        <f>IFERROR(__xludf.DUMMYFUNCTION("googletranslate(D7372,""id"",""en"")"),"If you fart it at once or gradually KEK PPKM?")</f>
        <v>If you fart it at once or gradually KEK PPKM?</v>
      </c>
    </row>
    <row r="7373" ht="15.75" customHeight="1">
      <c r="A7373" s="2">
        <v>7376.0</v>
      </c>
      <c r="B7373" s="5" t="s">
        <v>13496</v>
      </c>
      <c r="C7373" s="6">
        <v>1.0</v>
      </c>
      <c r="D7373" s="7" t="s">
        <v>13497</v>
      </c>
      <c r="E7373" s="8" t="str">
        <f>IFERROR(__xludf.DUMMYFUNCTION("googletranslate(D7373,""id"",""en"")"),"What is the benefit of the electability survey at the time of PPKM?! The people cared about the electability when they are now hard to find money ... those of them can be a monthly salary. Watch those who scavenge sustenance on the streets.")</f>
        <v>What is the benefit of the electability survey at the time of PPKM?! The people cared about the electability when they are now hard to find money ... those of them can be a monthly salary. Watch those who scavenge sustenance on the streets.</v>
      </c>
    </row>
    <row r="7374" ht="15.75" customHeight="1">
      <c r="A7374" s="2">
        <v>7377.0</v>
      </c>
      <c r="B7374" s="5" t="s">
        <v>13498</v>
      </c>
      <c r="C7374" s="6">
        <v>1.0</v>
      </c>
      <c r="D7374" s="9" t="s">
        <v>13498</v>
      </c>
      <c r="E7374" s="8" t="str">
        <f>IFERROR(__xludf.DUMMYFUNCTION("googletranslate(D7374,""id"",""en"")"),"Ni pandemic when is it a lot ?? KLU in the outside of the pandemic country goes up and down the curvers, back and forth the money lockdown is there for the people's social assistance, is it in Indonesia, what is reported ?? What is getting more trhmpit sc"&amp;"reaming, the more miserable, which plays the project with a pandemic, it's even more smoothly")</f>
        <v>Ni pandemic when is it a lot ?? KLU in the outside of the pandemic country goes up and down the curvers, back and forth the money lockdown is there for the people's social assistance, is it in Indonesia, what is reported ?? What is getting more trhmpit screaming, the more miserable, which plays the project with a pandemic, it's even more smoothly</v>
      </c>
    </row>
    <row r="7375" ht="15.75" customHeight="1">
      <c r="A7375" s="2">
        <v>7378.0</v>
      </c>
      <c r="B7375" s="5" t="s">
        <v>13499</v>
      </c>
      <c r="C7375" s="6">
        <v>1.0</v>
      </c>
      <c r="D7375" s="7" t="s">
        <v>13500</v>
      </c>
      <c r="E7375" s="8" t="str">
        <f>IFERROR(__xludf.DUMMYFUNCTION("googletranslate(D7375,""id"",""en"")"),"Until the PPKM emotion is postponed ... where are most rules")</f>
        <v>Until the PPKM emotion is postponed ... where are most rules</v>
      </c>
    </row>
    <row r="7376" ht="15.75" customHeight="1">
      <c r="A7376" s="2">
        <v>7379.0</v>
      </c>
      <c r="B7376" s="5" t="s">
        <v>13501</v>
      </c>
      <c r="C7376" s="6">
        <v>1.0</v>
      </c>
      <c r="D7376" s="9" t="s">
        <v>13502</v>
      </c>
      <c r="E7376" s="8" t="str">
        <f>IFERROR(__xludf.DUMMYFUNCTION("googletranslate(D7376,""id"",""en"")"),"This sequipation, yes, now, yeah, you know, ppkm, but I miss you an outdoor but it can't play / tired again")</f>
        <v>This sequipation, yes, now, yeah, you know, ppkm, but I miss you an outdoor but it can't play / tired again</v>
      </c>
    </row>
    <row r="7377" ht="15.75" customHeight="1">
      <c r="A7377" s="2">
        <v>7380.0</v>
      </c>
      <c r="B7377" s="5" t="s">
        <v>13503</v>
      </c>
      <c r="C7377" s="6">
        <v>2.0</v>
      </c>
      <c r="D7377" s="10" t="s">
        <v>13503</v>
      </c>
      <c r="E7377" s="8" t="str">
        <f>IFERROR(__xludf.DUMMYFUNCTION("googletranslate(D7377,""id"",""en"")"),"Again ppkm nih.")</f>
        <v>Again ppkm nih.</v>
      </c>
    </row>
    <row r="7378" ht="15.75" customHeight="1">
      <c r="A7378" s="2">
        <v>7381.0</v>
      </c>
      <c r="B7378" s="5" t="s">
        <v>13504</v>
      </c>
      <c r="C7378" s="6">
        <v>2.0</v>
      </c>
      <c r="D7378" s="7" t="s">
        <v>13505</v>
      </c>
      <c r="E7378" s="8" t="str">
        <f>IFERROR(__xludf.DUMMYFUNCTION("googletranslate(D7378,""id"",""en"")"),"So often appears, the impact of the PPKM? Hahahhaha")</f>
        <v>So often appears, the impact of the PPKM? Hahahhaha</v>
      </c>
    </row>
    <row r="7379" ht="15.75" customHeight="1">
      <c r="A7379" s="2">
        <v>7382.0</v>
      </c>
      <c r="B7379" s="5" t="s">
        <v>13506</v>
      </c>
      <c r="C7379" s="6">
        <v>1.0</v>
      </c>
      <c r="D7379" s="7" t="s">
        <v>13507</v>
      </c>
      <c r="E7379" s="8" t="str">
        <f>IFERROR(__xludf.DUMMYFUNCTION("googletranslate(D7379,""id"",""en"")"),"Hnggg Gara Gara PPKM Siaul: "")")</f>
        <v>Hnggg Gara Gara PPKM Siaul: ")</v>
      </c>
    </row>
    <row r="7380" ht="15.75" customHeight="1">
      <c r="A7380" s="2">
        <v>7383.0</v>
      </c>
      <c r="B7380" s="5" t="s">
        <v>13508</v>
      </c>
      <c r="C7380" s="6">
        <v>2.0</v>
      </c>
      <c r="D7380" s="9" t="s">
        <v>13509</v>
      </c>
      <c r="E7380" s="8" t="str">
        <f>IFERROR(__xludf.DUMMYFUNCTION("googletranslate(D7380,""id"",""en"")"),"Do citizens affected by PPKM will feel comforted by Rbu Flights BallonHmmmmmm, we wait for the answer after the message message below")</f>
        <v>Do citizens affected by PPKM will feel comforted by Rbu Flights BallonHmmmmmm, we wait for the answer after the message message below</v>
      </c>
    </row>
    <row r="7381" ht="15.75" customHeight="1">
      <c r="A7381" s="2">
        <v>7384.0</v>
      </c>
      <c r="B7381" s="5" t="s">
        <v>13510</v>
      </c>
      <c r="C7381" s="6">
        <v>2.0</v>
      </c>
      <c r="D7381" s="7" t="s">
        <v>13511</v>
      </c>
      <c r="E7381" s="8" t="str">
        <f>IFERROR(__xludf.DUMMYFUNCTION("googletranslate(D7381,""id"",""en"")"),"ppkm dki jakarta april")</f>
        <v>ppkm dki jakarta april</v>
      </c>
    </row>
    <row r="7382" ht="15.75" customHeight="1">
      <c r="A7382" s="2">
        <v>7385.0</v>
      </c>
      <c r="B7382" s="5" t="s">
        <v>13512</v>
      </c>
      <c r="C7382" s="6">
        <v>1.0</v>
      </c>
      <c r="D7382" s="9" t="s">
        <v>13513</v>
      </c>
      <c r="E7382" s="8" t="str">
        <f>IFERROR(__xludf.DUMMYFUNCTION("googletranslate(D7382,""id"",""en"")"),"Hater is not to be disamperin, but for the abuse Hah?!")</f>
        <v>Hater is not to be disamperin, but for the abuse Hah?!</v>
      </c>
    </row>
    <row r="7383" ht="15.75" customHeight="1">
      <c r="A7383" s="2">
        <v>7386.0</v>
      </c>
      <c r="B7383" s="5" t="s">
        <v>13514</v>
      </c>
      <c r="C7383" s="6">
        <v>2.0</v>
      </c>
      <c r="D7383" s="9" t="s">
        <v>13515</v>
      </c>
      <c r="E7383" s="8" t="str">
        <f>IFERROR(__xludf.DUMMYFUNCTION("googletranslate(D7383,""id"",""en"")"),"from Semarang, cut off first to Jogja. yok guess this way fuck? ppkm edition is delicious outside the city or outside the island is in addition to work, we can travel")</f>
        <v>from Semarang, cut off first to Jogja. yok guess this way fuck? ppkm edition is delicious outside the city or outside the island is in addition to work, we can travel</v>
      </c>
    </row>
    <row r="7384" ht="15.75" customHeight="1">
      <c r="A7384" s="2">
        <v>7387.0</v>
      </c>
      <c r="B7384" s="5" t="s">
        <v>13516</v>
      </c>
      <c r="C7384" s="6">
        <v>1.0</v>
      </c>
      <c r="D7384" s="7" t="s">
        <v>13517</v>
      </c>
      <c r="E7384" s="8" t="str">
        <f>IFERROR(__xludf.DUMMYFUNCTION("googletranslate(D7384,""id"",""en"")"),"This from yesterday yesterday's news was already new in the tv liput, President Jokowi in the lawsuit of the traders, the business of MSME ..Enably ppkm ... meaning many who have not believed in the government ..Vaksin just chaotic, it's just the first va"&amp;"ccine")</f>
        <v>This from yesterday yesterday's news was already new in the tv liput, President Jokowi in the lawsuit of the traders, the business of MSME ..Enably ppkm ... meaning many who have not believed in the government ..Vaksin just chaotic, it's just the first vaccine</v>
      </c>
    </row>
    <row r="7385" ht="15.75" customHeight="1">
      <c r="A7385" s="2">
        <v>7388.0</v>
      </c>
      <c r="B7385" s="5" t="s">
        <v>13518</v>
      </c>
      <c r="C7385" s="6">
        <v>1.0</v>
      </c>
      <c r="D7385" s="9" t="s">
        <v>13519</v>
      </c>
      <c r="E7385" s="8" t="str">
        <f>IFERROR(__xludf.DUMMYFUNCTION("googletranslate(D7385,""id"",""en"")"),"I think you are too excessive Jokowi is said to be a program that has no success. KPK was weakened. Officials may be duplicate positions3. Indigenous Must Follow Prokes, PPKM DR Level to Game Over Except Chinese TKA Free Wanders")</f>
        <v>I think you are too excessive Jokowi is said to be a program that has no success. KPK was weakened. Officials may be duplicate positions3. Indigenous Must Follow Prokes, PPKM DR Level to Game Over Except Chinese TKA Free Wanders</v>
      </c>
    </row>
    <row r="7386" ht="15.75" customHeight="1">
      <c r="A7386" s="2">
        <v>7389.0</v>
      </c>
      <c r="B7386" s="5" t="s">
        <v>13520</v>
      </c>
      <c r="C7386" s="6">
        <v>1.0</v>
      </c>
      <c r="D7386" s="9" t="s">
        <v>13521</v>
      </c>
      <c r="E7386" s="8" t="str">
        <f>IFERROR(__xludf.DUMMYFUNCTION("googletranslate(D7386,""id"",""en"")"),"Like we are the Netijen who likes to make a play on the extension of the PPKM, or Snap Mulu because it is bored at home, bored the school / college online. That's so with him, it's different. Just sah2, I'm not anarchic.")</f>
        <v>Like we are the Netijen who likes to make a play on the extension of the PPKM, or Snap Mulu because it is bored at home, bored the school / college online. That's so with him, it's different. Just sah2, I'm not anarchic.</v>
      </c>
    </row>
    <row r="7387" ht="15.75" customHeight="1">
      <c r="A7387" s="2">
        <v>7390.0</v>
      </c>
      <c r="B7387" s="5" t="s">
        <v>13522</v>
      </c>
      <c r="C7387" s="6">
        <v>1.0</v>
      </c>
      <c r="D7387" s="7" t="s">
        <v>13522</v>
      </c>
      <c r="E7387" s="8" t="str">
        <f>IFERROR(__xludf.DUMMYFUNCTION("googletranslate(D7387,""id"",""en"")"),"Watch what else is yh, bilik bgt ppkm")</f>
        <v>Watch what else is yh, bilik bgt ppkm</v>
      </c>
    </row>
    <row r="7388" ht="15.75" customHeight="1">
      <c r="A7388" s="2">
        <v>7391.0</v>
      </c>
      <c r="B7388" s="5" t="s">
        <v>13523</v>
      </c>
      <c r="C7388" s="6">
        <v>2.0</v>
      </c>
      <c r="D7388" s="9" t="s">
        <v>13524</v>
      </c>
      <c r="E7388" s="8" t="str">
        <f>IFERROR(__xludf.DUMMYFUNCTION("googletranslate(D7388,""id"",""en"")"),"If indeed intention for basic necessities in the PPKM period, in the RT RW data who deserves to accept, then anterin to the address ..")</f>
        <v>If indeed intention for basic necessities in the PPKM period, in the RT RW data who deserves to accept, then anterin to the address ..</v>
      </c>
    </row>
    <row r="7389" ht="15.75" customHeight="1">
      <c r="A7389" s="2">
        <v>7392.0</v>
      </c>
      <c r="B7389" s="5" t="s">
        <v>13525</v>
      </c>
      <c r="C7389" s="6">
        <v>1.0</v>
      </c>
      <c r="D7389" s="9" t="s">
        <v>13526</v>
      </c>
      <c r="E7389" s="8" t="str">
        <f>IFERROR(__xludf.DUMMYFUNCTION("googletranslate(D7389,""id"",""en"")"),"Simalakama fruit ... imprisoned or not ... all just wait ..bansos is not a solution, PPKM is not the answer ... the people are hungry, jobless, and jobs for ...")</f>
        <v>Simalakama fruit ... imprisoned or not ... all just wait ..bansos is not a solution, PPKM is not the answer ... the people are hungry, jobless, and jobs for ...</v>
      </c>
    </row>
    <row r="7390" ht="15.75" customHeight="1">
      <c r="A7390" s="2">
        <v>7393.0</v>
      </c>
      <c r="B7390" s="5" t="s">
        <v>13527</v>
      </c>
      <c r="C7390" s="6">
        <v>2.0</v>
      </c>
      <c r="D7390" s="7" t="s">
        <v>13528</v>
      </c>
      <c r="E7390" s="8" t="str">
        <f>IFERROR(__xludf.DUMMYFUNCTION("googletranslate(D7390,""id"",""en"")"),"Weve pas PPKM Arema several practice sam")</f>
        <v>Weve pas PPKM Arema several practice sam</v>
      </c>
    </row>
    <row r="7391" ht="15.75" customHeight="1">
      <c r="A7391" s="2">
        <v>7394.0</v>
      </c>
      <c r="B7391" s="5" t="s">
        <v>13529</v>
      </c>
      <c r="C7391" s="6">
        <v>1.0</v>
      </c>
      <c r="D7391" s="7" t="s">
        <v>13530</v>
      </c>
      <c r="E7391" s="8" t="str">
        <f>IFERROR(__xludf.DUMMYFUNCTION("googletranslate(D7391,""id"",""en"")"),"PPKM EFECT feels really ... it's hard to use ... use a mask teros ..")</f>
        <v>PPKM EFECT feels really ... it's hard to use ... use a mask teros ..</v>
      </c>
    </row>
    <row r="7392" ht="15.75" customHeight="1">
      <c r="A7392" s="2">
        <v>7395.0</v>
      </c>
      <c r="B7392" s="5" t="s">
        <v>13531</v>
      </c>
      <c r="C7392" s="6">
        <v>1.0</v>
      </c>
      <c r="D7392" s="9" t="s">
        <v>13532</v>
      </c>
      <c r="E7392" s="8" t="str">
        <f>IFERROR(__xludf.DUMMYFUNCTION("googletranslate(D7392,""id"",""en"")"),"People are considered poor daddy, even though the actions of him, PPKM ulcerity ... because if the lock down is not able to eat the people !!! Tragically what is given to eat the communist Aseng People ???")</f>
        <v>People are considered poor daddy, even though the actions of him, PPKM ulcerity ... because if the lock down is not able to eat the people !!! Tragically what is given to eat the communist Aseng People ???</v>
      </c>
    </row>
    <row r="7393" ht="15.75" customHeight="1">
      <c r="A7393" s="2">
        <v>7396.0</v>
      </c>
      <c r="B7393" s="5" t="s">
        <v>13533</v>
      </c>
      <c r="C7393" s="6">
        <v>2.0</v>
      </c>
      <c r="D7393" s="10" t="s">
        <v>13534</v>
      </c>
      <c r="E7393" s="8" t="str">
        <f>IFERROR(__xludf.DUMMYFUNCTION("googletranslate(D7393,""id"",""en"")"),"ppkm mba mas.")</f>
        <v>ppkm mba mas.</v>
      </c>
    </row>
    <row r="7394" ht="15.75" customHeight="1">
      <c r="A7394" s="2">
        <v>7397.0</v>
      </c>
      <c r="B7394" s="5" t="s">
        <v>13535</v>
      </c>
      <c r="C7394" s="6">
        <v>2.0</v>
      </c>
      <c r="D7394" s="10" t="s">
        <v>13536</v>
      </c>
      <c r="E7394" s="8" t="str">
        <f>IFERROR(__xludf.DUMMYFUNCTION("googletranslate(D7394,""id"",""en"")"),"Ppkm mba.")</f>
        <v>Ppkm mba.</v>
      </c>
    </row>
    <row r="7395" ht="15.75" customHeight="1">
      <c r="A7395" s="2">
        <v>7398.0</v>
      </c>
      <c r="B7395" s="5" t="s">
        <v>13537</v>
      </c>
      <c r="C7395" s="6">
        <v>2.0</v>
      </c>
      <c r="D7395" s="7" t="s">
        <v>13538</v>
      </c>
      <c r="E7395" s="8" t="str">
        <f>IFERROR(__xludf.DUMMYFUNCTION("googletranslate(D7395,""id"",""en"")"),"Waduh bother too. Hopefully this ppkm is fast")</f>
        <v>Waduh bother too. Hopefully this ppkm is fast</v>
      </c>
    </row>
    <row r="7396" ht="15.75" customHeight="1">
      <c r="A7396" s="2">
        <v>7399.0</v>
      </c>
      <c r="B7396" s="5" t="s">
        <v>13539</v>
      </c>
      <c r="C7396" s="6">
        <v>2.0</v>
      </c>
      <c r="D7396" s="7" t="s">
        <v>13540</v>
      </c>
      <c r="E7396" s="8" t="str">
        <f>IFERROR(__xludf.DUMMYFUNCTION("googletranslate(D7396,""id"",""en"")"),"Let me work a lot, Ganjil Ganjil PPKM")</f>
        <v>Let me work a lot, Ganjil Ganjil PPKM</v>
      </c>
    </row>
    <row r="7397" ht="15.75" customHeight="1">
      <c r="A7397" s="2">
        <v>7400.0</v>
      </c>
      <c r="B7397" s="5" t="s">
        <v>13541</v>
      </c>
      <c r="C7397" s="6">
        <v>3.0</v>
      </c>
      <c r="D7397" s="9" t="s">
        <v>13542</v>
      </c>
      <c r="E7397" s="8" t="str">
        <f>IFERROR(__xludf.DUMMYFUNCTION("googletranslate(D7397,""id"",""en"")"),"The sharing competition is good (sincere) possible for those who need and affected PPKM or Covid-19.")</f>
        <v>The sharing competition is good (sincere) possible for those who need and affected PPKM or Covid-19.</v>
      </c>
    </row>
    <row r="7398" ht="15.75" customHeight="1">
      <c r="A7398" s="2">
        <v>7401.0</v>
      </c>
      <c r="B7398" s="5" t="s">
        <v>13543</v>
      </c>
      <c r="C7398" s="6">
        <v>1.0</v>
      </c>
      <c r="D7398" s="9" t="s">
        <v>13544</v>
      </c>
      <c r="E7398" s="8" t="str">
        <f>IFERROR(__xludf.DUMMYFUNCTION("googletranslate(D7398,""id"",""en"")"),"Please, sir, sir who left the groceries and created a crowd when the PPKM enforcement was dealt with firmly, it did not give a good example in the middle of the pandemic, appreciate the nakes that had fought against the pandemic.")</f>
        <v>Please, sir, sir who left the groceries and created a crowd when the PPKM enforcement was dealt with firmly, it did not give a good example in the middle of the pandemic, appreciate the nakes that had fought against the pandemic.</v>
      </c>
    </row>
    <row r="7399" ht="15.75" customHeight="1">
      <c r="A7399" s="2">
        <v>7402.0</v>
      </c>
      <c r="B7399" s="5" t="s">
        <v>13545</v>
      </c>
      <c r="C7399" s="6">
        <v>1.0</v>
      </c>
      <c r="D7399" s="7" t="s">
        <v>13546</v>
      </c>
      <c r="E7399" s="8" t="str">
        <f>IFERROR(__xludf.DUMMYFUNCTION("googletranslate(D7399,""id"",""en"")"),"Sad for the PPKM opened is just a part of the food. Even though the exciting exploring automotive parts, tooling, household appliances, computers, stationery etc. who knows to find unique items")</f>
        <v>Sad for the PPKM opened is just a part of the food. Even though the exciting exploring automotive parts, tooling, household appliances, computers, stationery etc. who knows to find unique items</v>
      </c>
    </row>
    <row r="7400" ht="15.75" customHeight="1">
      <c r="A7400" s="2">
        <v>7403.0</v>
      </c>
      <c r="B7400" s="5" t="s">
        <v>13547</v>
      </c>
      <c r="C7400" s="6">
        <v>2.0</v>
      </c>
      <c r="D7400" s="7" t="s">
        <v>13548</v>
      </c>
      <c r="E7400" s="8" t="str">
        <f>IFERROR(__xludf.DUMMYFUNCTION("googletranslate(D7400,""id"",""en"")"),"After the day is extended again? The concept is kind of ppkm huh")</f>
        <v>After the day is extended again? The concept is kind of ppkm huh</v>
      </c>
    </row>
    <row r="7401" ht="15.75" customHeight="1">
      <c r="A7401" s="2">
        <v>7404.0</v>
      </c>
      <c r="B7401" s="5" t="s">
        <v>13549</v>
      </c>
      <c r="C7401" s="6">
        <v>1.0</v>
      </c>
      <c r="D7401" s="7" t="s">
        <v>13550</v>
      </c>
      <c r="E7401" s="8" t="str">
        <f>IFERROR(__xludf.DUMMYFUNCTION("googletranslate(D7401,""id"",""en"")"),"Ppkm diodot2 ehh crowd for groceries, usually for swmbako ... the problem is not using it")</f>
        <v>Ppkm diodot2 ehh crowd for groceries, usually for swmbako ... the problem is not using it</v>
      </c>
    </row>
    <row r="7402" ht="15.75" customHeight="1">
      <c r="A7402" s="2">
        <v>7405.0</v>
      </c>
      <c r="B7402" s="5" t="s">
        <v>13551</v>
      </c>
      <c r="C7402" s="6">
        <v>1.0</v>
      </c>
      <c r="D7402" s="9" t="s">
        <v>13552</v>
      </c>
      <c r="E7402" s="8" t="str">
        <f>IFERROR(__xludf.DUMMYFUNCTION("googletranslate(D7402,""id"",""en"")"),"The crowd when the sir for basic necessities is still going on. While entering when applied PPKM to prevent Covid transmission from abroad also continues")</f>
        <v>The crowd when the sir for basic necessities is still going on. While entering when applied PPKM to prevent Covid transmission from abroad also continues</v>
      </c>
    </row>
    <row r="7403" ht="15.75" customHeight="1">
      <c r="A7403" s="2">
        <v>7406.0</v>
      </c>
      <c r="B7403" s="5" t="s">
        <v>13553</v>
      </c>
      <c r="C7403" s="6">
        <v>1.0</v>
      </c>
      <c r="D7403" s="7" t="s">
        <v>13554</v>
      </c>
      <c r="E7403" s="8" t="str">
        <f>IFERROR(__xludf.DUMMYFUNCTION("googletranslate(D7403,""id"",""en"")"),"Release HRS ... This Jokowi crowd is worthy in makizing. The leader who violates its own rules. It should dare to say loudly. The president's inconsistency obeyed the prokes. What does the PPKM mean ?? The country is played like this.")</f>
        <v>Release HRS ... This Jokowi crowd is worthy in makizing. The leader who violates its own rules. It should dare to say loudly. The president's inconsistency obeyed the prokes. What does the PPKM mean ?? The country is played like this.</v>
      </c>
    </row>
    <row r="7404" ht="15.75" customHeight="1">
      <c r="A7404" s="2">
        <v>7407.0</v>
      </c>
      <c r="B7404" s="5" t="s">
        <v>13555</v>
      </c>
      <c r="C7404" s="6">
        <v>2.0</v>
      </c>
      <c r="D7404" s="7" t="s">
        <v>13556</v>
      </c>
      <c r="E7404" s="8" t="str">
        <f>IFERROR(__xludf.DUMMYFUNCTION("googletranslate(D7404,""id"",""en"")"),"Still ppkm huh? Still still survive!")</f>
        <v>Still ppkm huh? Still still survive!</v>
      </c>
    </row>
    <row r="7405" ht="15.75" customHeight="1">
      <c r="A7405" s="2">
        <v>7408.0</v>
      </c>
      <c r="B7405" s="5" t="s">
        <v>13557</v>
      </c>
      <c r="C7405" s="6">
        <v>2.0</v>
      </c>
      <c r="D7405" s="7" t="s">
        <v>13558</v>
      </c>
      <c r="E7405" s="8" t="str">
        <f>IFERROR(__xludf.DUMMYFUNCTION("googletranslate(D7405,""id"",""en"")"),"The Effect of the PPKM extension continues, so many notifications are ginian in every day ... p")</f>
        <v>The Effect of the PPKM extension continues, so many notifications are ginian in every day ... p</v>
      </c>
    </row>
    <row r="7406" ht="15.75" customHeight="1">
      <c r="A7406" s="2">
        <v>7409.0</v>
      </c>
      <c r="B7406" s="5" t="s">
        <v>13559</v>
      </c>
      <c r="C7406" s="6">
        <v>1.0</v>
      </c>
      <c r="D7406" s="7" t="s">
        <v>13560</v>
      </c>
      <c r="E7406" s="8" t="str">
        <f>IFERROR(__xludf.DUMMYFUNCTION("googletranslate(D7406,""id"",""en"")"),"The persuasive technique has been a ppkm ala garbage polter.")</f>
        <v>The persuasive technique has been a ppkm ala garbage polter.</v>
      </c>
    </row>
    <row r="7407" ht="15.75" customHeight="1">
      <c r="A7407" s="2">
        <v>7410.0</v>
      </c>
      <c r="B7407" s="5" t="s">
        <v>13561</v>
      </c>
      <c r="C7407" s="6">
        <v>2.0</v>
      </c>
      <c r="D7407" s="7" t="s">
        <v>13562</v>
      </c>
      <c r="E7407" s="8" t="str">
        <f>IFERROR(__xludf.DUMMYFUNCTION("googletranslate(D7407,""id"",""en"")"),"Instead of pressure PPKM also departing from the personal interests of many people?")</f>
        <v>Instead of pressure PPKM also departing from the personal interests of many people?</v>
      </c>
    </row>
    <row r="7408" ht="15.75" customHeight="1">
      <c r="A7408" s="2">
        <v>7411.0</v>
      </c>
      <c r="B7408" s="5" t="s">
        <v>13563</v>
      </c>
      <c r="C7408" s="6">
        <v>1.0</v>
      </c>
      <c r="D7408" s="7" t="s">
        <v>13564</v>
      </c>
      <c r="E7408" s="8" t="str">
        <f>IFERROR(__xludf.DUMMYFUNCTION("googletranslate(D7408,""id"",""en"")"),"God muzzles the behavior of those who say PPKM Prokes those who make the rules that are mnjalani due to merege")</f>
        <v>God muzzles the behavior of those who say PPKM Prokes those who make the rules that are mnjalani due to merege</v>
      </c>
    </row>
    <row r="7409" ht="15.75" customHeight="1">
      <c r="A7409" s="2">
        <v>7412.0</v>
      </c>
      <c r="B7409" s="5" t="s">
        <v>13565</v>
      </c>
      <c r="C7409" s="6">
        <v>1.0</v>
      </c>
      <c r="D7409" s="7" t="s">
        <v>13566</v>
      </c>
      <c r="E7409" s="8" t="str">
        <f>IFERROR(__xludf.DUMMYFUNCTION("googletranslate(D7409,""id"",""en"")"),"Sadly see this PPKM employee balance")</f>
        <v>Sadly see this PPKM employee balance</v>
      </c>
    </row>
    <row r="7410" ht="15.75" customHeight="1">
      <c r="A7410" s="2">
        <v>7413.0</v>
      </c>
      <c r="B7410" s="5" t="s">
        <v>13567</v>
      </c>
      <c r="C7410" s="6">
        <v>2.0</v>
      </c>
      <c r="D7410" s="9" t="s">
        <v>13568</v>
      </c>
      <c r="E7410" s="8" t="str">
        <f>IFERROR(__xludf.DUMMYFUNCTION("googletranslate(D7410,""id"",""en"")"),"PPKM More than Sunday and I haven't cut your hair yet")</f>
        <v>PPKM More than Sunday and I haven't cut your hair yet</v>
      </c>
    </row>
    <row r="7411" ht="15.75" customHeight="1">
      <c r="A7411" s="2">
        <v>7414.0</v>
      </c>
      <c r="B7411" s="5" t="s">
        <v>13569</v>
      </c>
      <c r="C7411" s="6">
        <v>2.0</v>
      </c>
      <c r="D7411" s="9" t="s">
        <v>13570</v>
      </c>
      <c r="E7411" s="8" t="str">
        <f>IFERROR(__xludf.DUMMYFUNCTION("googletranslate(D7411,""id"",""en"")"),"Right ppkm mulu mas")</f>
        <v>Right ppkm mulu mas</v>
      </c>
    </row>
    <row r="7412" ht="15.75" customHeight="1">
      <c r="A7412" s="2">
        <v>7415.0</v>
      </c>
      <c r="B7412" s="5" t="s">
        <v>13571</v>
      </c>
      <c r="C7412" s="6">
        <v>2.0</v>
      </c>
      <c r="D7412" s="10" t="s">
        <v>13572</v>
      </c>
      <c r="E7412" s="8" t="str">
        <f>IFERROR(__xludf.DUMMYFUNCTION("googletranslate(D7412,""id"",""en"")"),"SEK GES, PPKM.")</f>
        <v>SEK GES, PPKM.</v>
      </c>
    </row>
    <row r="7413" ht="15.75" customHeight="1">
      <c r="A7413" s="2">
        <v>7416.0</v>
      </c>
      <c r="B7413" s="5" t="s">
        <v>13573</v>
      </c>
      <c r="C7413" s="6">
        <v>1.0</v>
      </c>
      <c r="D7413" s="7" t="s">
        <v>13574</v>
      </c>
      <c r="E7413" s="8" t="str">
        <f>IFERROR(__xludf.DUMMYFUNCTION("googletranslate(D7413,""id"",""en"")"),"His son was the victim of bully but could still be able to get delicious facilities from the results of the corruption ... with other children whose parents were not looking for fortune because of the PPKM want to eat SM quota, it was difficult. Children'"&amp;"s brain spoiled !!")</f>
        <v>His son was the victim of bully but could still be able to get delicious facilities from the results of the corruption ... with other children whose parents were not looking for fortune because of the PPKM want to eat SM quota, it was difficult. Children's brain spoiled !!</v>
      </c>
    </row>
    <row r="7414" ht="15.75" customHeight="1">
      <c r="A7414" s="2">
        <v>7417.0</v>
      </c>
      <c r="B7414" s="5" t="s">
        <v>13575</v>
      </c>
      <c r="C7414" s="6">
        <v>3.0</v>
      </c>
      <c r="D7414" s="9" t="s">
        <v>13576</v>
      </c>
      <c r="E7414" s="8" t="str">
        <f>IFERROR(__xludf.DUMMYFUNCTION("googletranslate(D7414,""id"",""en"")"),"Now, I'm actually grateful for marriage in the PPKM period, there is a reception, there is a big gaperwood, besides Gasuka Ramean, also more budget, which is important that it is sacred")</f>
        <v>Now, I'm actually grateful for marriage in the PPKM period, there is a reception, there is a big gaperwood, besides Gasuka Ramean, also more budget, which is important that it is sacred</v>
      </c>
    </row>
    <row r="7415" ht="15.75" customHeight="1">
      <c r="A7415" s="2">
        <v>7418.0</v>
      </c>
      <c r="B7415" s="5" t="s">
        <v>13577</v>
      </c>
      <c r="C7415" s="6">
        <v>2.0</v>
      </c>
      <c r="D7415" s="7" t="s">
        <v>13578</v>
      </c>
      <c r="E7415" s="8" t="str">
        <f>IFERROR(__xludf.DUMMYFUNCTION("googletranslate(D7415,""id"",""en"")"),"Don't Rame this PPKM")</f>
        <v>Don't Rame this PPKM</v>
      </c>
    </row>
    <row r="7416" ht="15.75" customHeight="1">
      <c r="A7416" s="2">
        <v>7419.0</v>
      </c>
      <c r="B7416" s="5" t="s">
        <v>13579</v>
      </c>
      <c r="C7416" s="6">
        <v>2.0</v>
      </c>
      <c r="D7416" s="9" t="s">
        <v>13580</v>
      </c>
      <c r="E7416" s="8" t="str">
        <f>IFERROR(__xludf.DUMMYFUNCTION("googletranslate(D7416,""id"",""en"")"),"Gpp, I became a clip that covered himself, if it was the PPKM JD Kupu2 LG")</f>
        <v>Gpp, I became a clip that covered himself, if it was the PPKM JD Kupu2 LG</v>
      </c>
    </row>
    <row r="7417" ht="15.75" customHeight="1">
      <c r="A7417" s="2">
        <v>7420.0</v>
      </c>
      <c r="B7417" s="5" t="s">
        <v>13581</v>
      </c>
      <c r="C7417" s="6">
        <v>2.0</v>
      </c>
      <c r="D7417" s="7" t="s">
        <v>13582</v>
      </c>
      <c r="E7417" s="8" t="str">
        <f>IFERROR(__xludf.DUMMYFUNCTION("googletranslate(D7417,""id"",""en"")"),"The original PPKM is a year, cumansama of the government in installments a week - a week")</f>
        <v>The original PPKM is a year, cumansama of the government in installments a week - a week</v>
      </c>
    </row>
    <row r="7418" ht="15.75" customHeight="1">
      <c r="A7418" s="2">
        <v>7421.0</v>
      </c>
      <c r="B7418" s="5" t="s">
        <v>13583</v>
      </c>
      <c r="C7418" s="6">
        <v>2.0</v>
      </c>
      <c r="D7418" s="7" t="s">
        <v>13584</v>
      </c>
      <c r="E7418" s="8" t="str">
        <f>IFERROR(__xludf.DUMMYFUNCTION("googletranslate(D7418,""id"",""en"")"),"Sabar after the PPKM is complete")</f>
        <v>Sabar after the PPKM is complete</v>
      </c>
    </row>
    <row r="7419" ht="15.75" customHeight="1">
      <c r="A7419" s="2">
        <v>7422.0</v>
      </c>
      <c r="B7419" s="5" t="s">
        <v>13585</v>
      </c>
      <c r="C7419" s="6">
        <v>2.0</v>
      </c>
      <c r="D7419" s="7" t="s">
        <v>13586</v>
      </c>
      <c r="E7419" s="8" t="str">
        <f>IFERROR(__xludf.DUMMYFUNCTION("googletranslate(D7419,""id"",""en"")"),"Yesterday news that was good for the advice for PPKM to the end")</f>
        <v>Yesterday news that was good for the advice for PPKM to the end</v>
      </c>
    </row>
    <row r="7420" ht="15.75" customHeight="1">
      <c r="A7420" s="2">
        <v>7423.0</v>
      </c>
      <c r="B7420" s="5" t="s">
        <v>13587</v>
      </c>
      <c r="C7420" s="6">
        <v>2.0</v>
      </c>
      <c r="D7420" s="7" t="s">
        <v>13588</v>
      </c>
      <c r="E7420" s="8" t="str">
        <f>IFERROR(__xludf.DUMMYFUNCTION("googletranslate(D7420,""id"",""en"")"),"After the PPKM matches it like ...")</f>
        <v>After the PPKM matches it like ...</v>
      </c>
    </row>
    <row r="7421" ht="15.75" customHeight="1">
      <c r="A7421" s="2">
        <v>7424.0</v>
      </c>
      <c r="B7421" s="5" t="s">
        <v>13589</v>
      </c>
      <c r="C7421" s="6">
        <v>1.0</v>
      </c>
      <c r="D7421" s="9" t="s">
        <v>13590</v>
      </c>
      <c r="E7421" s="8" t="str">
        <f>IFERROR(__xludf.DUMMYFUNCTION("googletranslate(D7421,""id"",""en"")"),"If September PPKM continues, our Tenant Mall is forced to hold all employees and operational cuts because cash flow is not strong for Ops load")</f>
        <v>If September PPKM continues, our Tenant Mall is forced to hold all employees and operational cuts because cash flow is not strong for Ops load</v>
      </c>
    </row>
    <row r="7422" ht="15.75" customHeight="1">
      <c r="A7422" s="2">
        <v>7425.0</v>
      </c>
      <c r="B7422" s="5" t="s">
        <v>13591</v>
      </c>
      <c r="C7422" s="6">
        <v>1.0</v>
      </c>
      <c r="D7422" s="9" t="s">
        <v>13592</v>
      </c>
      <c r="E7422" s="8" t="str">
        <f>IFERROR(__xludf.DUMMYFUNCTION("googletranslate(D7422,""id"",""en"")"),"You guys, when the people want to find you to limit with PPKM, on the other hand you pass the Chinese workers in ... * if good people are just silent, surely rampant bad people *")</f>
        <v>You guys, when the people want to find you to limit with PPKM, on the other hand you pass the Chinese workers in ... * if good people are just silent, surely rampant bad people *</v>
      </c>
    </row>
    <row r="7423" ht="15.75" customHeight="1">
      <c r="A7423" s="2">
        <v>7426.0</v>
      </c>
      <c r="B7423" s="5" t="s">
        <v>13593</v>
      </c>
      <c r="C7423" s="6">
        <v>1.0</v>
      </c>
      <c r="D7423" s="7" t="s">
        <v>13594</v>
      </c>
      <c r="E7423" s="8" t="str">
        <f>IFERROR(__xludf.DUMMYFUNCTION("googletranslate(D7423,""id"",""en"")"),"Wait for a call interview after applying for a job, it's been rich waiting for the bansos. When you come ""njirlangnya $ number $ day, know"" he retreated so week. Already waiting, postponed again Sunday. This PPKM?!. Canda PPKM")</f>
        <v>Wait for a call interview after applying for a job, it's been rich waiting for the bansos. When you come "njirlangnya $ number $ day, know" he retreated so week. Already waiting, postponed again Sunday. This PPKM?!. Canda PPKM</v>
      </c>
    </row>
    <row r="7424" ht="15.75" customHeight="1">
      <c r="A7424" s="2">
        <v>7427.0</v>
      </c>
      <c r="B7424" s="5" t="s">
        <v>13595</v>
      </c>
      <c r="C7424" s="6">
        <v>1.0</v>
      </c>
      <c r="D7424" s="7" t="s">
        <v>13596</v>
      </c>
      <c r="E7424" s="8" t="str">
        <f>IFERROR(__xludf.DUMMYFUNCTION("googletranslate(D7424,""id"",""en"")"),"This is the news that is once ... like it, Klean Klean PPKM is extended")</f>
        <v>This is the news that is once ... like it, Klean Klean PPKM is extended</v>
      </c>
    </row>
    <row r="7425" ht="15.75" customHeight="1">
      <c r="A7425" s="2">
        <v>7428.0</v>
      </c>
      <c r="B7425" s="5" t="s">
        <v>13597</v>
      </c>
      <c r="C7425" s="6">
        <v>2.0</v>
      </c>
      <c r="D7425" s="7" t="s">
        <v>13598</v>
      </c>
      <c r="E7425" s="8" t="str">
        <f>IFERROR(__xludf.DUMMYFUNCTION("googletranslate(D7425,""id"",""en"")"),"Bismillah wins, if you win to eat during the PPKM")</f>
        <v>Bismillah wins, if you win to eat during the PPKM</v>
      </c>
    </row>
    <row r="7426" ht="15.75" customHeight="1">
      <c r="A7426" s="2">
        <v>7429.0</v>
      </c>
      <c r="B7426" s="5" t="s">
        <v>13599</v>
      </c>
      <c r="C7426" s="6">
        <v>1.0</v>
      </c>
      <c r="D7426" s="7" t="s">
        <v>13600</v>
      </c>
      <c r="E7426" s="8" t="str">
        <f>IFERROR(__xludf.DUMMYFUNCTION("googletranslate(D7426,""id"",""en"")"),": COKKK PPKM Asuuu. My cingku so died of a gegara on the lid of the veterinarian ""Rest in Peace Timmy")</f>
        <v>: COKKK PPKM Asuuu. My cingku so died of a gegara on the lid of the veterinarian "Rest in Peace Timmy</v>
      </c>
    </row>
    <row r="7427" ht="15.75" customHeight="1">
      <c r="A7427" s="2">
        <v>7430.0</v>
      </c>
      <c r="B7427" s="5" t="s">
        <v>13601</v>
      </c>
      <c r="C7427" s="6">
        <v>2.0</v>
      </c>
      <c r="D7427" s="7" t="s">
        <v>13601</v>
      </c>
      <c r="E7427" s="8" t="str">
        <f>IFERROR(__xludf.DUMMYFUNCTION("googletranslate(D7427,""id"",""en"")"),"Allegedly the PPKM will be extended until you become me")</f>
        <v>Allegedly the PPKM will be extended until you become me</v>
      </c>
    </row>
    <row r="7428" ht="15.75" customHeight="1">
      <c r="A7428" s="2">
        <v>7431.0</v>
      </c>
      <c r="B7428" s="5" t="s">
        <v>13602</v>
      </c>
      <c r="C7428" s="6">
        <v>1.0</v>
      </c>
      <c r="D7428" s="9" t="s">
        <v>13603</v>
      </c>
      <c r="E7428" s="8" t="str">
        <f>IFERROR(__xludf.DUMMYFUNCTION("googletranslate(D7428,""id"",""en"")"),"If he may not know ashamed or even have shame, but unfortunately this big nation has come to shame because of his behavior. Jokowi violated PPKMjokowi Langgar Prokes.")</f>
        <v>If he may not know ashamed or even have shame, but unfortunately this big nation has come to shame because of his behavior. Jokowi violated PPKMjokowi Langgar Prokes.</v>
      </c>
    </row>
    <row r="7429" ht="15.75" customHeight="1">
      <c r="A7429" s="2">
        <v>7432.0</v>
      </c>
      <c r="B7429" s="5" t="s">
        <v>13604</v>
      </c>
      <c r="C7429" s="6">
        <v>1.0</v>
      </c>
      <c r="D7429" s="9" t="s">
        <v>13605</v>
      </c>
      <c r="E7429" s="8" t="str">
        <f>IFERROR(__xludf.DUMMYFUNCTION("googletranslate(D7429,""id"",""en"")"),"PPKM finished, because I was laid off, PGN worked LG, bored like this")</f>
        <v>PPKM finished, because I was laid off, PGN worked LG, bored like this</v>
      </c>
    </row>
    <row r="7430" ht="15.75" customHeight="1">
      <c r="A7430" s="2">
        <v>7433.0</v>
      </c>
      <c r="B7430" s="5" t="s">
        <v>13606</v>
      </c>
      <c r="C7430" s="6">
        <v>1.0</v>
      </c>
      <c r="D7430" s="7" t="s">
        <v>13607</v>
      </c>
      <c r="E7430" s="8" t="str">
        <f>IFERROR(__xludf.DUMMYFUNCTION("googletranslate(D7430,""id"",""en"")"),"Whatever is done by Pakdhe for a crowd, it's fine ....., Sak Karep you. The people are bored by PPKM")</f>
        <v>Whatever is done by Pakdhe for a crowd, it's fine ....., Sak Karep you. The people are bored by PPKM</v>
      </c>
    </row>
    <row r="7431" ht="15.75" customHeight="1">
      <c r="A7431" s="2">
        <v>7434.0</v>
      </c>
      <c r="B7431" s="5" t="s">
        <v>13608</v>
      </c>
      <c r="C7431" s="6">
        <v>2.0</v>
      </c>
      <c r="D7431" s="7" t="s">
        <v>13609</v>
      </c>
      <c r="E7431" s="8" t="str">
        <f>IFERROR(__xludf.DUMMYFUNCTION("googletranslate(D7431,""id"",""en"")"),"~ PPKM ~ PAS NEED, YOU MENSELF HAVE, YOU DOWN")</f>
        <v>~ PPKM ~ PAS NEED, YOU MENSELF HAVE, YOU DOWN</v>
      </c>
    </row>
    <row r="7432" ht="15.75" customHeight="1">
      <c r="A7432" s="2">
        <v>7435.0</v>
      </c>
      <c r="B7432" s="5" t="s">
        <v>13610</v>
      </c>
      <c r="C7432" s="6">
        <v>1.0</v>
      </c>
      <c r="D7432" s="7" t="s">
        <v>13611</v>
      </c>
      <c r="E7432" s="8" t="str">
        <f>IFERROR(__xludf.DUMMYFUNCTION("googletranslate(D7432,""id"",""en"")"),"It's fckin 'boring since ppkm, working day so a little money also gets a little")</f>
        <v>It's fckin 'boring since ppkm, working day so a little money also gets a little</v>
      </c>
    </row>
    <row r="7433" ht="15.75" customHeight="1">
      <c r="A7433" s="2">
        <v>7436.0</v>
      </c>
      <c r="B7433" s="5" t="s">
        <v>13612</v>
      </c>
      <c r="C7433" s="6">
        <v>2.0</v>
      </c>
      <c r="D7433" s="7" t="s">
        <v>13613</v>
      </c>
      <c r="E7433" s="8" t="str">
        <f>IFERROR(__xludf.DUMMYFUNCTION("googletranslate(D7433,""id"",""en"")"),"even though again discussed how to end PPKM")</f>
        <v>even though again discussed how to end PPKM</v>
      </c>
    </row>
    <row r="7434" ht="15.75" customHeight="1">
      <c r="A7434" s="2">
        <v>7437.0</v>
      </c>
      <c r="B7434" s="5" t="s">
        <v>13614</v>
      </c>
      <c r="C7434" s="6">
        <v>1.0</v>
      </c>
      <c r="D7434" s="7" t="s">
        <v>13615</v>
      </c>
      <c r="E7434" s="8" t="str">
        <f>IFERROR(__xludf.DUMMYFUNCTION("googletranslate(D7434,""id"",""en"")"),"Only in Wakanda, where the attitude of the leader may be different from the PPKM policy he made. After all, there is no criminal sanction right")</f>
        <v>Only in Wakanda, where the attitude of the leader may be different from the PPKM policy he made. After all, there is no criminal sanction right</v>
      </c>
    </row>
    <row r="7435" ht="15.75" customHeight="1">
      <c r="A7435" s="2">
        <v>7438.0</v>
      </c>
      <c r="B7435" s="5" t="s">
        <v>13616</v>
      </c>
      <c r="C7435" s="6">
        <v>1.0</v>
      </c>
      <c r="D7435" s="9" t="s">
        <v>13617</v>
      </c>
      <c r="E7435" s="8" t="str">
        <f>IFERROR(__xludf.DUMMYFUNCTION("googletranslate(D7435,""id"",""en"")"),"PPKM is ended, the problem is tired at HOST MULUU, where is school online.")</f>
        <v>PPKM is ended, the problem is tired at HOST MULUU, where is school online.</v>
      </c>
    </row>
    <row r="7436" ht="15.75" customHeight="1">
      <c r="A7436" s="2">
        <v>7439.0</v>
      </c>
      <c r="B7436" s="5" t="s">
        <v>13618</v>
      </c>
      <c r="C7436" s="6">
        <v>2.0</v>
      </c>
      <c r="D7436" s="7" t="s">
        <v>13619</v>
      </c>
      <c r="E7436" s="8" t="str">
        <f>IFERROR(__xludf.DUMMYFUNCTION("googletranslate(D7436,""id"",""en"")"),"Kan again PPKM, it will be like this")</f>
        <v>Kan again PPKM, it will be like this</v>
      </c>
    </row>
    <row r="7437" ht="15.75" customHeight="1">
      <c r="A7437" s="2">
        <v>7440.0</v>
      </c>
      <c r="B7437" s="5" t="s">
        <v>13620</v>
      </c>
      <c r="C7437" s="6">
        <v>2.0</v>
      </c>
      <c r="D7437" s="10" t="s">
        <v>13621</v>
      </c>
      <c r="E7437" s="8" t="str">
        <f>IFERROR(__xludf.DUMMYFUNCTION("googletranslate(D7437,""id"",""en"")"),"PPKM stage")</f>
        <v>PPKM stage</v>
      </c>
    </row>
    <row r="7438" ht="15.75" customHeight="1">
      <c r="A7438" s="2">
        <v>7441.0</v>
      </c>
      <c r="B7438" s="5" t="s">
        <v>13622</v>
      </c>
      <c r="C7438" s="6">
        <v>1.0</v>
      </c>
      <c r="D7438" s="7" t="s">
        <v>13623</v>
      </c>
      <c r="E7438" s="8" t="str">
        <f>IFERROR(__xludf.DUMMYFUNCTION("googletranslate(D7438,""id"",""en"")"),"PPKM only applies to indigenous people, not for WNC")</f>
        <v>PPKM only applies to indigenous people, not for WNC</v>
      </c>
    </row>
    <row r="7439" ht="15.75" customHeight="1">
      <c r="A7439" s="2">
        <v>7442.0</v>
      </c>
      <c r="B7439" s="5" t="s">
        <v>13624</v>
      </c>
      <c r="C7439" s="6">
        <v>2.0</v>
      </c>
      <c r="D7439" s="9" t="s">
        <v>13625</v>
      </c>
      <c r="E7439" s="8" t="str">
        <f>IFERROR(__xludf.DUMMYFUNCTION("googletranslate(D7439,""id"",""en"")"),"Cold there is no one in the LDR hug because of PPKM")</f>
        <v>Cold there is no one in the LDR hug because of PPKM</v>
      </c>
    </row>
    <row r="7440" ht="15.75" customHeight="1">
      <c r="A7440" s="2">
        <v>7443.0</v>
      </c>
      <c r="B7440" s="5" t="s">
        <v>13626</v>
      </c>
      <c r="C7440" s="6">
        <v>1.0</v>
      </c>
      <c r="D7440" s="9" t="s">
        <v>13627</v>
      </c>
      <c r="E7440" s="8" t="str">
        <f>IFERROR(__xludf.DUMMYFUNCTION("googletranslate(D7440,""id"",""en"")"),"How come it actually makes the crowd unnecessary? What is the PPKM function?")</f>
        <v>How come it actually makes the crowd unnecessary? What is the PPKM function?</v>
      </c>
    </row>
    <row r="7441" ht="15.75" customHeight="1">
      <c r="A7441" s="2">
        <v>7444.0</v>
      </c>
      <c r="B7441" s="5" t="s">
        <v>13628</v>
      </c>
      <c r="C7441" s="6">
        <v>1.0</v>
      </c>
      <c r="D7441" s="9" t="s">
        <v>13629</v>
      </c>
      <c r="E7441" s="8" t="str">
        <f>IFERROR(__xludf.DUMMYFUNCTION("googletranslate(D7441,""id"",""en"")"),"It seems since the PPKM is really a long time, I'm usually usually from Lampung outside Java, only $ number $ today can be longer to daily, the nucleus likes random sometimes fast sometimes it's really a long time ago")</f>
        <v>It seems since the PPKM is really a long time, I'm usually usually from Lampung outside Java, only $ number $ today can be longer to daily, the nucleus likes random sometimes fast sometimes it's really a long time ago</v>
      </c>
    </row>
    <row r="7442" ht="15.75" customHeight="1">
      <c r="A7442" s="2">
        <v>7445.0</v>
      </c>
      <c r="B7442" s="5" t="s">
        <v>13630</v>
      </c>
      <c r="C7442" s="6">
        <v>1.0</v>
      </c>
      <c r="D7442" s="7" t="s">
        <v>13630</v>
      </c>
      <c r="E7442" s="8" t="str">
        <f>IFERROR(__xludf.DUMMYFUNCTION("googletranslate(D7442,""id"",""en"")"),"Old ""Capekk Euyyyy, this is serious, the PPKM is renewed, want to go to Bali, think many times"" if you go to Bali, it feels like it feels like it's definitely this relationship! I'm Kon Piyee Jall")</f>
        <v>Old "Capekk Euyyyy, this is serious, the PPKM is renewed, want to go to Bali, think many times" if you go to Bali, it feels like it feels like it's definitely this relationship! I'm Kon Piyee Jall</v>
      </c>
    </row>
    <row r="7443" ht="15.75" customHeight="1">
      <c r="A7443" s="2">
        <v>7446.0</v>
      </c>
      <c r="B7443" s="5" t="s">
        <v>13631</v>
      </c>
      <c r="C7443" s="6">
        <v>3.0</v>
      </c>
      <c r="D7443" s="9" t="s">
        <v>13631</v>
      </c>
      <c r="E7443" s="8" t="str">
        <f>IFERROR(__xludf.DUMMYFUNCTION("googletranslate(D7443,""id"",""en"")"),"Good morning tweeps, remain grateful in this PPKM situation ... Congratulations on entering Friday the endowed by God, always healthy greetings")</f>
        <v>Good morning tweeps, remain grateful in this PPKM situation ... Congratulations on entering Friday the endowed by God, always healthy greetings</v>
      </c>
    </row>
    <row r="7444" ht="15.75" customHeight="1">
      <c r="A7444" s="2">
        <v>7447.0</v>
      </c>
      <c r="B7444" s="5" t="s">
        <v>13632</v>
      </c>
      <c r="C7444" s="6">
        <v>3.0</v>
      </c>
      <c r="D7444" s="9" t="s">
        <v>13632</v>
      </c>
      <c r="E7444" s="8" t="str">
        <f>IFERROR(__xludf.DUMMYFUNCTION("googletranslate(D7444,""id"",""en"")"),"The impact of PPKM and other barrel tits cannot go anywhere. The lesson is more time for family, hobbies, and rest.")</f>
        <v>The impact of PPKM and other barrel tits cannot go anywhere. The lesson is more time for family, hobbies, and rest.</v>
      </c>
    </row>
    <row r="7445" ht="15.75" customHeight="1">
      <c r="A7445" s="2">
        <v>7448.0</v>
      </c>
      <c r="B7445" s="5" t="s">
        <v>13633</v>
      </c>
      <c r="C7445" s="6">
        <v>3.0</v>
      </c>
      <c r="D7445" s="7" t="s">
        <v>13634</v>
      </c>
      <c r="E7445" s="8" t="str">
        <f>IFERROR(__xludf.DUMMYFUNCTION("googletranslate(D7445,""id"",""en"")"),"ppkm subuhpagi morning morning to masjidassalamu'alaikum .. brader sist3")</f>
        <v>ppkm subuhpagi morning morning to masjidassalamu'alaikum .. brader sist3</v>
      </c>
    </row>
    <row r="7446" ht="15.75" customHeight="1">
      <c r="A7446" s="2">
        <v>7449.0</v>
      </c>
      <c r="B7446" s="5" t="s">
        <v>13635</v>
      </c>
      <c r="C7446" s="6">
        <v>2.0</v>
      </c>
      <c r="D7446" s="7" t="s">
        <v>13636</v>
      </c>
      <c r="E7446" s="8" t="str">
        <f>IFERROR(__xludf.DUMMYFUNCTION("googletranslate(D7446,""id"",""en"")"),"sp who likes to extend PPKM")</f>
        <v>sp who likes to extend PPKM</v>
      </c>
    </row>
    <row r="7447" ht="15.75" customHeight="1">
      <c r="A7447" s="2">
        <v>7450.0</v>
      </c>
      <c r="B7447" s="5" t="s">
        <v>13637</v>
      </c>
      <c r="C7447" s="6">
        <v>2.0</v>
      </c>
      <c r="D7447" s="7" t="s">
        <v>13638</v>
      </c>
      <c r="E7447" s="8" t="str">
        <f>IFERROR(__xludf.DUMMYFUNCTION("googletranslate(D7447,""id"",""en"")"),"Which arrogant police officer (PPKM really seized attention)")</f>
        <v>Which arrogant police officer (PPKM really seized attention)</v>
      </c>
    </row>
    <row r="7448" ht="15.75" customHeight="1">
      <c r="A7448" s="2">
        <v>7451.0</v>
      </c>
      <c r="B7448" s="5" t="s">
        <v>13639</v>
      </c>
      <c r="C7448" s="6">
        <v>2.0</v>
      </c>
      <c r="D7448" s="7" t="s">
        <v>13640</v>
      </c>
      <c r="E7448" s="8" t="str">
        <f>IFERROR(__xludf.DUMMYFUNCTION("googletranslate(D7448,""id"",""en"")"),"Ppkm.plan soft we approach")</f>
        <v>Ppkm.plan soft we approach</v>
      </c>
    </row>
    <row r="7449" ht="15.75" customHeight="1">
      <c r="A7449" s="2">
        <v>7452.0</v>
      </c>
      <c r="B7449" s="5" t="s">
        <v>13641</v>
      </c>
      <c r="C7449" s="6">
        <v>1.0</v>
      </c>
      <c r="D7449" s="9" t="s">
        <v>13642</v>
      </c>
      <c r="E7449" s="8" t="str">
        <f>IFERROR(__xludf.DUMMYFUNCTION("googletranslate(D7449,""id"",""en"")"),"How come I stupid a volume like PPKM, hopefully the grandson of Elu seven face derivatives and his behavior looks like Jokowi")</f>
        <v>How come I stupid a volume like PPKM, hopefully the grandson of Elu seven face derivatives and his behavior looks like Jokowi</v>
      </c>
    </row>
    <row r="7450" ht="15.75" customHeight="1">
      <c r="A7450" s="2">
        <v>7453.0</v>
      </c>
      <c r="B7450" s="5" t="s">
        <v>13643</v>
      </c>
      <c r="C7450" s="6">
        <v>2.0</v>
      </c>
      <c r="D7450" s="7" t="s">
        <v>13644</v>
      </c>
      <c r="E7450" s="8" t="str">
        <f>IFERROR(__xludf.DUMMYFUNCTION("googletranslate(D7450,""id"",""en"")"),"If it's finished the trial, whether it will continue to continue like this PPKM")</f>
        <v>If it's finished the trial, whether it will continue to continue like this PPKM</v>
      </c>
    </row>
    <row r="7451" ht="15.75" customHeight="1">
      <c r="A7451" s="2">
        <v>7454.0</v>
      </c>
      <c r="B7451" s="5" t="s">
        <v>13645</v>
      </c>
      <c r="C7451" s="6">
        <v>2.0</v>
      </c>
      <c r="D7451" s="7" t="s">
        <v>13646</v>
      </c>
      <c r="E7451" s="8" t="str">
        <f>IFERROR(__xludf.DUMMYFUNCTION("googletranslate(D7451,""id"",""en"")"),"Kira2 the sansi what is heus is traned for those who violate the PPKM rules")</f>
        <v>Kira2 the sansi what is heus is traned for those who violate the PPKM rules</v>
      </c>
    </row>
    <row r="7452" ht="15.75" customHeight="1">
      <c r="A7452" s="2">
        <v>7455.0</v>
      </c>
      <c r="B7452" s="5" t="s">
        <v>13647</v>
      </c>
      <c r="C7452" s="6">
        <v>2.0</v>
      </c>
      <c r="D7452" s="7" t="s">
        <v>13648</v>
      </c>
      <c r="E7452" s="8" t="str">
        <f>IFERROR(__xludf.DUMMYFUNCTION("googletranslate(D7452,""id"",""en"")"),"The ""survival"" competition in this PPKM.")</f>
        <v>The "survival" competition in this PPKM.</v>
      </c>
    </row>
    <row r="7453" ht="15.75" customHeight="1">
      <c r="A7453" s="2">
        <v>7456.0</v>
      </c>
      <c r="B7453" s="5" t="s">
        <v>13649</v>
      </c>
      <c r="C7453" s="6">
        <v>1.0</v>
      </c>
      <c r="D7453" s="7" t="s">
        <v>13649</v>
      </c>
      <c r="E7453" s="8" t="str">
        <f>IFERROR(__xludf.DUMMYFUNCTION("googletranslate(D7453,""id"",""en"")"),"This is a person ""unemployed at the instastory of the same PPKM extended?")</f>
        <v>This is a person "unemployed at the instastory of the same PPKM extended?</v>
      </c>
    </row>
    <row r="7454" ht="15.75" customHeight="1">
      <c r="A7454" s="2">
        <v>7457.0</v>
      </c>
      <c r="B7454" s="5" t="s">
        <v>13650</v>
      </c>
      <c r="C7454" s="6">
        <v>2.0</v>
      </c>
      <c r="D7454" s="7" t="s">
        <v>13651</v>
      </c>
      <c r="E7454" s="8" t="str">
        <f>IFERROR(__xludf.DUMMYFUNCTION("googletranslate(D7454,""id"",""en"")"),"This which seems to be an extended PPKM goal")</f>
        <v>This which seems to be an extended PPKM goal</v>
      </c>
    </row>
    <row r="7455" ht="15.75" customHeight="1">
      <c r="A7455" s="2">
        <v>7458.0</v>
      </c>
      <c r="B7455" s="5" t="s">
        <v>13652</v>
      </c>
      <c r="C7455" s="6">
        <v>1.0</v>
      </c>
      <c r="D7455" s="9" t="s">
        <v>13653</v>
      </c>
      <c r="E7455" s="8" t="str">
        <f>IFERROR(__xludf.DUMMYFUNCTION("googletranslate(D7455,""id"",""en"")"),"PPKM is gagerku for influencers, artists and Yutuber! Small traders of daily workers business actors must obey !!")</f>
        <v>PPKM is gagerku for influencers, artists and Yutuber! Small traders of daily workers business actors must obey !!</v>
      </c>
    </row>
    <row r="7456" ht="15.75" customHeight="1">
      <c r="A7456" s="2">
        <v>7459.0</v>
      </c>
      <c r="B7456" s="5" t="s">
        <v>13654</v>
      </c>
      <c r="C7456" s="6">
        <v>2.0</v>
      </c>
      <c r="D7456" s="9" t="s">
        <v>13655</v>
      </c>
      <c r="E7456" s="8" t="str">
        <f>IFERROR(__xludf.DUMMYFUNCTION("googletranslate(D7456,""id"",""en"")"),"Let's go. Mutualan dlu lg ppkm")</f>
        <v>Let's go. Mutualan dlu lg ppkm</v>
      </c>
    </row>
    <row r="7457" ht="15.75" customHeight="1">
      <c r="A7457" s="2">
        <v>7460.0</v>
      </c>
      <c r="B7457" s="5" t="s">
        <v>13656</v>
      </c>
      <c r="C7457" s="6">
        <v>1.0</v>
      </c>
      <c r="D7457" s="7" t="s">
        <v>13657</v>
      </c>
      <c r="E7457" s="8" t="str">
        <f>IFERROR(__xludf.DUMMYFUNCTION("googletranslate(D7457,""id"",""en"")"),"PPKM is prohibited because I made a grade of him who had banned him who did not follow the severe regulation due to disappearing")</f>
        <v>PPKM is prohibited because I made a grade of him who had banned him who did not follow the severe regulation due to disappearing</v>
      </c>
    </row>
    <row r="7458" ht="15.75" customHeight="1">
      <c r="A7458" s="2">
        <v>7461.0</v>
      </c>
      <c r="B7458" s="5" t="s">
        <v>13658</v>
      </c>
      <c r="C7458" s="6">
        <v>2.0</v>
      </c>
      <c r="D7458" s="10" t="s">
        <v>3102</v>
      </c>
      <c r="E7458" s="8" t="str">
        <f>IFERROR(__xludf.DUMMYFUNCTION("googletranslate(D7458,""id"",""en"")"),"PPKM Bansos")</f>
        <v>PPKM Bansos</v>
      </c>
    </row>
    <row r="7459" ht="15.75" customHeight="1">
      <c r="A7459" s="2">
        <v>7462.0</v>
      </c>
      <c r="B7459" s="5" t="s">
        <v>13659</v>
      </c>
      <c r="C7459" s="6">
        <v>1.0</v>
      </c>
      <c r="D7459" s="7" t="s">
        <v>13660</v>
      </c>
      <c r="E7459" s="8" t="str">
        <f>IFERROR(__xludf.DUMMYFUNCTION("googletranslate(D7459,""id"",""en"")"),"PPKM only for the people, small firmly acting for rules so that the people are difficult")</f>
        <v>PPKM only for the people, small firmly acting for rules so that the people are difficult</v>
      </c>
    </row>
    <row r="7460" ht="15.75" customHeight="1">
      <c r="A7460" s="2">
        <v>7463.0</v>
      </c>
      <c r="B7460" s="5" t="s">
        <v>13661</v>
      </c>
      <c r="C7460" s="6">
        <v>1.0</v>
      </c>
      <c r="D7460" s="7" t="s">
        <v>13662</v>
      </c>
      <c r="E7460" s="8" t="str">
        <f>IFERROR(__xludf.DUMMYFUNCTION("googletranslate(D7460,""id"",""en"")"),"I want to hang out but the PPKM doesn't finish ""NJG ....")</f>
        <v>I want to hang out but the PPKM doesn't finish "NJG ....</v>
      </c>
    </row>
    <row r="7461" ht="15.75" customHeight="1">
      <c r="A7461" s="2">
        <v>7464.0</v>
      </c>
      <c r="B7461" s="5" t="s">
        <v>13663</v>
      </c>
      <c r="C7461" s="6">
        <v>2.0</v>
      </c>
      <c r="D7461" s="7" t="s">
        <v>13664</v>
      </c>
      <c r="E7461" s="8" t="str">
        <f>IFERROR(__xludf.DUMMYFUNCTION("googletranslate(D7461,""id"",""en"")"),"still ppkm ga yeah")</f>
        <v>still ppkm ga yeah</v>
      </c>
    </row>
    <row r="7462" ht="15.75" customHeight="1">
      <c r="A7462" s="2">
        <v>7465.0</v>
      </c>
      <c r="B7462" s="5" t="s">
        <v>13665</v>
      </c>
      <c r="C7462" s="6">
        <v>3.0</v>
      </c>
      <c r="D7462" s="7" t="s">
        <v>13666</v>
      </c>
      <c r="E7462" s="8" t="str">
        <f>IFERROR(__xludf.DUMMYFUNCTION("googletranslate(D7462,""id"",""en"")"),"Satisfied with the PPKM")</f>
        <v>Satisfied with the PPKM</v>
      </c>
    </row>
    <row r="7463" ht="15.75" customHeight="1">
      <c r="A7463" s="2">
        <v>7466.0</v>
      </c>
      <c r="B7463" s="5" t="s">
        <v>13667</v>
      </c>
      <c r="C7463" s="6">
        <v>2.0</v>
      </c>
      <c r="D7463" s="7" t="s">
        <v>13668</v>
      </c>
      <c r="E7463" s="8" t="str">
        <f>IFERROR(__xludf.DUMMYFUNCTION("googletranslate(D7463,""id"",""en"")"),"Suru open ppkm cock")</f>
        <v>Suru open ppkm cock</v>
      </c>
    </row>
    <row r="7464" ht="15.75" customHeight="1">
      <c r="A7464" s="2">
        <v>7467.0</v>
      </c>
      <c r="B7464" s="5" t="s">
        <v>13669</v>
      </c>
      <c r="C7464" s="6">
        <v>2.0</v>
      </c>
      <c r="D7464" s="12" t="s">
        <v>13670</v>
      </c>
      <c r="E7464" s="8" t="str">
        <f>IFERROR(__xludf.DUMMYFUNCTION("googletranslate(D7464,""id"",""en"")"),"PPKM Lur.")</f>
        <v>PPKM Lur.</v>
      </c>
    </row>
    <row r="7465" ht="15.75" customHeight="1">
      <c r="A7465" s="2">
        <v>7468.0</v>
      </c>
      <c r="B7465" s="5" t="s">
        <v>13671</v>
      </c>
      <c r="C7465" s="6">
        <v>2.0</v>
      </c>
      <c r="D7465" s="7" t="s">
        <v>13672</v>
      </c>
      <c r="E7465" s="8" t="str">
        <f>IFERROR(__xludf.DUMMYFUNCTION("googletranslate(D7465,""id"",""en"")"),"PPP Kasi Dong's anime recommendation, PPKM made me hurt")</f>
        <v>PPP Kasi Dong's anime recommendation, PPKM made me hurt</v>
      </c>
    </row>
    <row r="7466" ht="15.75" customHeight="1">
      <c r="A7466" s="2">
        <v>7469.0</v>
      </c>
      <c r="B7466" s="5" t="s">
        <v>13673</v>
      </c>
      <c r="C7466" s="6">
        <v>1.0</v>
      </c>
      <c r="D7466" s="7" t="s">
        <v>13673</v>
      </c>
      <c r="E7466" s="8" t="str">
        <f>IFERROR(__xludf.DUMMYFUNCTION("googletranslate(D7466,""id"",""en"")"),"PPKM Anjir instead to the mall")</f>
        <v>PPKM Anjir instead to the mall</v>
      </c>
    </row>
    <row r="7467" ht="15.75" customHeight="1">
      <c r="A7467" s="2">
        <v>7470.0</v>
      </c>
      <c r="B7467" s="5" t="s">
        <v>13674</v>
      </c>
      <c r="C7467" s="6">
        <v>1.0</v>
      </c>
      <c r="D7467" s="10" t="s">
        <v>13675</v>
      </c>
      <c r="E7467" s="8" t="str">
        <f>IFERROR(__xludf.DUMMYFUNCTION("googletranslate(D7467,""id"",""en"")"),"P for ppkm anj")</f>
        <v>P for ppkm anj</v>
      </c>
    </row>
    <row r="7468" ht="15.75" customHeight="1">
      <c r="A7468" s="2">
        <v>7471.0</v>
      </c>
      <c r="B7468" s="5" t="s">
        <v>13676</v>
      </c>
      <c r="C7468" s="6">
        <v>1.0</v>
      </c>
      <c r="D7468" s="9" t="s">
        <v>13677</v>
      </c>
      <c r="E7468" s="8" t="str">
        <f>IFERROR(__xludf.DUMMYFUNCTION("googletranslate(D7468,""id"",""en"")"),"Embarrassing, making it angry at seeing the people of jostling to ignore the health of the gift created by the leader who hrs the example at the time of the PPKM at the Levelan level, the rules that finally violated by those who made it. Or is he like to "&amp;"see the people who need to eat?")</f>
        <v>Embarrassing, making it angry at seeing the people of jostling to ignore the health of the gift created by the leader who hrs the example at the time of the PPKM at the Levelan level, the rules that finally violated by those who made it. Or is he like to see the people who need to eat?</v>
      </c>
    </row>
    <row r="7469" ht="15.75" customHeight="1">
      <c r="A7469" s="2">
        <v>7472.0</v>
      </c>
      <c r="B7469" s="5" t="s">
        <v>13678</v>
      </c>
      <c r="C7469" s="6">
        <v>2.0</v>
      </c>
      <c r="D7469" s="7" t="s">
        <v>13678</v>
      </c>
      <c r="E7469" s="8" t="str">
        <f>IFERROR(__xludf.DUMMYFUNCTION("googletranslate(D7469,""id"",""en"")"),"The shop in the mall is still open, bro, ppkm? Want to DIY")</f>
        <v>The shop in the mall is still open, bro, ppkm? Want to DIY</v>
      </c>
    </row>
    <row r="7470" ht="15.75" customHeight="1">
      <c r="A7470" s="2">
        <v>7473.0</v>
      </c>
      <c r="B7470" s="5" t="s">
        <v>13679</v>
      </c>
      <c r="C7470" s="6">
        <v>2.0</v>
      </c>
      <c r="D7470" s="9" t="s">
        <v>13680</v>
      </c>
      <c r="E7470" s="8" t="str">
        <f>IFERROR(__xludf.DUMMYFUNCTION("googletranslate(D7470,""id"",""en"")"),"The previous edition of PPKM was put in place ...... Kampung England Tumo")</f>
        <v>The previous edition of PPKM was put in place ...... Kampung England Tumo</v>
      </c>
    </row>
    <row r="7471" ht="15.75" customHeight="1">
      <c r="A7471" s="2">
        <v>7474.0</v>
      </c>
      <c r="B7471" s="5" t="s">
        <v>13681</v>
      </c>
      <c r="C7471" s="6">
        <v>1.0</v>
      </c>
      <c r="D7471" s="7" t="s">
        <v>13682</v>
      </c>
      <c r="E7471" s="8" t="str">
        <f>IFERROR(__xludf.DUMMYFUNCTION("googletranslate(D7471,""id"",""en"")"),"Indonesian league athletes part of Monaco, they are getting bad at the Gini PPKM")</f>
        <v>Indonesian league athletes part of Monaco, they are getting bad at the Gini PPKM</v>
      </c>
    </row>
    <row r="7472" ht="15.75" customHeight="1">
      <c r="A7472" s="2">
        <v>7475.0</v>
      </c>
      <c r="B7472" s="5" t="s">
        <v>13683</v>
      </c>
      <c r="C7472" s="6">
        <v>1.0</v>
      </c>
      <c r="D7472" s="7" t="s">
        <v>13684</v>
      </c>
      <c r="E7472" s="8" t="str">
        <f>IFERROR(__xludf.DUMMYFUNCTION("googletranslate(D7472,""id"",""en"")"),"Since PPKM hours of sleep fall apart")</f>
        <v>Since PPKM hours of sleep fall apart</v>
      </c>
    </row>
    <row r="7473" ht="15.75" customHeight="1">
      <c r="A7473" s="2">
        <v>7476.0</v>
      </c>
      <c r="B7473" s="5" t="s">
        <v>13685</v>
      </c>
      <c r="C7473" s="6">
        <v>1.0</v>
      </c>
      <c r="D7473" s="7" t="s">
        <v>13686</v>
      </c>
      <c r="E7473" s="8" t="str">
        <f>IFERROR(__xludf.DUMMYFUNCTION("googletranslate(D7473,""id"",""en"")"),"Prokotol !!! We can't catch the brain so that the way to survive against the PPKM, which in fact will have a good impact on our future, this is even the brain of his brain. Must be immediately dealt with without being sold so that it is named to another")</f>
        <v>Prokotol !!! We can't catch the brain so that the way to survive against the PPKM, which in fact will have a good impact on our future, this is even the brain of his brain. Must be immediately dealt with without being sold so that it is named to another</v>
      </c>
    </row>
    <row r="7474" ht="15.75" customHeight="1">
      <c r="A7474" s="2">
        <v>7477.0</v>
      </c>
      <c r="B7474" s="5" t="s">
        <v>13687</v>
      </c>
      <c r="C7474" s="6">
        <v>2.0</v>
      </c>
      <c r="D7474" s="7" t="s">
        <v>13688</v>
      </c>
      <c r="E7474" s="8" t="str">
        <f>IFERROR(__xludf.DUMMYFUNCTION("googletranslate(D7474,""id"",""en"")"),"Sleep clock. Continue to wake up every hour, until just now sleeping what is the announcement of the PPKM?")</f>
        <v>Sleep clock. Continue to wake up every hour, until just now sleeping what is the announcement of the PPKM?</v>
      </c>
    </row>
    <row r="7475" ht="15.75" customHeight="1">
      <c r="A7475" s="2">
        <v>7478.0</v>
      </c>
      <c r="B7475" s="5" t="s">
        <v>13689</v>
      </c>
      <c r="C7475" s="6">
        <v>2.0</v>
      </c>
      <c r="D7475" s="7" t="s">
        <v>13690</v>
      </c>
      <c r="E7475" s="8" t="str">
        <f>IFERROR(__xludf.DUMMYFUNCTION("googletranslate(D7475,""id"",""en"")"),"Many ppkm posts are not on the road ..")</f>
        <v>Many ppkm posts are not on the road ..</v>
      </c>
    </row>
    <row r="7476" ht="15.75" customHeight="1">
      <c r="A7476" s="2">
        <v>7479.0</v>
      </c>
      <c r="B7476" s="5" t="s">
        <v>13691</v>
      </c>
      <c r="C7476" s="6">
        <v>1.0</v>
      </c>
      <c r="D7476" s="9" t="s">
        <v>13692</v>
      </c>
      <c r="E7476" s="8" t="str">
        <f>IFERROR(__xludf.DUMMYFUNCTION("googletranslate(D7476,""id"",""en"")"),"If you make a crowd, the difference is the same as hrs? With officials who make a wedding ppkm? What is not an indication for ... Ahh?")</f>
        <v>If you make a crowd, the difference is the same as hrs? With officials who make a wedding ppkm? What is not an indication for ... Ahh?</v>
      </c>
    </row>
    <row r="7477" ht="15.75" customHeight="1">
      <c r="A7477" s="2">
        <v>7480.0</v>
      </c>
      <c r="B7477" s="5" t="s">
        <v>13693</v>
      </c>
      <c r="C7477" s="6">
        <v>2.0</v>
      </c>
      <c r="D7477" s="9" t="s">
        <v>13694</v>
      </c>
      <c r="E7477" s="8" t="str">
        <f>IFERROR(__xludf.DUMMYFUNCTION("googletranslate(D7477,""id"",""en"")"),"PPKM Lo Mas, Ninu Ninu")</f>
        <v>PPKM Lo Mas, Ninu Ninu</v>
      </c>
    </row>
    <row r="7478" ht="15.75" customHeight="1">
      <c r="A7478" s="2">
        <v>7481.0</v>
      </c>
      <c r="B7478" s="5" t="s">
        <v>13695</v>
      </c>
      <c r="C7478" s="6">
        <v>1.0</v>
      </c>
      <c r="D7478" s="9" t="s">
        <v>13695</v>
      </c>
      <c r="E7478" s="8" t="str">
        <f>IFERROR(__xludf.DUMMYFUNCTION("googletranslate(D7478,""id"",""en"")"),"To the government and his staff, command the leaders and all employees, shopping to small traders, so that small traders are helped by their lives, you may not know, in this Emergency PPKM small people cannot eat properly every day.")</f>
        <v>To the government and his staff, command the leaders and all employees, shopping to small traders, so that small traders are helped by their lives, you may not know, in this Emergency PPKM small people cannot eat properly every day.</v>
      </c>
    </row>
    <row r="7479" ht="15.75" customHeight="1">
      <c r="A7479" s="2">
        <v>7482.0</v>
      </c>
      <c r="B7479" s="5" t="s">
        <v>13696</v>
      </c>
      <c r="C7479" s="6">
        <v>2.0</v>
      </c>
      <c r="D7479" s="7" t="s">
        <v>13697</v>
      </c>
      <c r="E7479" s="8" t="str">
        <f>IFERROR(__xludf.DUMMYFUNCTION("googletranslate(D7479,""id"",""en"")"),"Why after being vaccassed, is there a PPKM?")</f>
        <v>Why after being vaccassed, is there a PPKM?</v>
      </c>
    </row>
    <row r="7480" ht="15.75" customHeight="1">
      <c r="A7480" s="2">
        <v>7483.0</v>
      </c>
      <c r="B7480" s="5" t="s">
        <v>13698</v>
      </c>
      <c r="C7480" s="6">
        <v>2.0</v>
      </c>
      <c r="D7480" s="7" t="s">
        <v>13699</v>
      </c>
      <c r="E7480" s="8" t="str">
        <f>IFERROR(__xludf.DUMMYFUNCTION("googletranslate(D7480,""id"",""en"")"),"Sir, I just wanted to be married to the extension of my soul mate, sir, I wanted to be married, but confused the prince can't come to the PPKM")</f>
        <v>Sir, I just wanted to be married to the extension of my soul mate, sir, I wanted to be married, but confused the prince can't come to the PPKM</v>
      </c>
    </row>
    <row r="7481" ht="15.75" customHeight="1">
      <c r="A7481" s="2">
        <v>7484.0</v>
      </c>
      <c r="B7481" s="5" t="s">
        <v>13700</v>
      </c>
      <c r="C7481" s="6">
        <v>2.0</v>
      </c>
      <c r="D7481" s="9" t="s">
        <v>13701</v>
      </c>
      <c r="E7481" s="8" t="str">
        <f>IFERROR(__xludf.DUMMYFUNCTION("googletranslate(D7481,""id"",""en"")"),"Ppkm (want to hug km) wkwk")</f>
        <v>Ppkm (want to hug km) wkwk</v>
      </c>
    </row>
    <row r="7482" ht="15.75" customHeight="1">
      <c r="A7482" s="2">
        <v>7485.0</v>
      </c>
      <c r="B7482" s="5" t="s">
        <v>13702</v>
      </c>
      <c r="C7482" s="6">
        <v>2.0</v>
      </c>
      <c r="D7482" s="9" t="s">
        <v>13703</v>
      </c>
      <c r="E7482" s="8" t="str">
        <f>IFERROR(__xludf.DUMMYFUNCTION("googletranslate(D7482,""id"",""en"")"),"Understandably the PPKM effect")</f>
        <v>Understandably the PPKM effect</v>
      </c>
    </row>
    <row r="7483" ht="15.75" customHeight="1">
      <c r="A7483" s="2">
        <v>7486.0</v>
      </c>
      <c r="B7483" s="5" t="s">
        <v>13704</v>
      </c>
      <c r="C7483" s="6">
        <v>2.0</v>
      </c>
      <c r="D7483" s="7" t="s">
        <v>13704</v>
      </c>
      <c r="E7483" s="8" t="str">
        <f>IFERROR(__xludf.DUMMYFUNCTION("googletranslate(D7483,""id"",""en"")"),"whether micro ppkm in an extension")</f>
        <v>whether micro ppkm in an extension</v>
      </c>
    </row>
    <row r="7484" ht="15.75" customHeight="1">
      <c r="A7484" s="2">
        <v>7487.0</v>
      </c>
      <c r="B7484" s="5" t="s">
        <v>13705</v>
      </c>
      <c r="C7484" s="6">
        <v>2.0</v>
      </c>
      <c r="D7484" s="9" t="s">
        <v>13706</v>
      </c>
      <c r="E7484" s="8" t="str">
        <f>IFERROR(__xludf.DUMMYFUNCTION("googletranslate(D7484,""id"",""en"")"),"Even though my clothes are as tight as PPKM regulations, but Juric Cool Abis. It's just handsome tiktok.")</f>
        <v>Even though my clothes are as tight as PPKM regulations, but Juric Cool Abis. It's just handsome tiktok.</v>
      </c>
    </row>
    <row r="7485" ht="15.75" customHeight="1">
      <c r="A7485" s="2">
        <v>7488.0</v>
      </c>
      <c r="B7485" s="5" t="s">
        <v>13707</v>
      </c>
      <c r="C7485" s="6">
        <v>2.0</v>
      </c>
      <c r="D7485" s="9" t="s">
        <v>13707</v>
      </c>
      <c r="E7485" s="8" t="str">
        <f>IFERROR(__xludf.DUMMYFUNCTION("googletranslate(D7485,""id"",""en"")"),"PPKM continues when the sociology lessons are equal to MTK")</f>
        <v>PPKM continues when the sociology lessons are equal to MTK</v>
      </c>
    </row>
    <row r="7486" ht="15.75" customHeight="1">
      <c r="A7486" s="2">
        <v>7489.0</v>
      </c>
      <c r="B7486" s="5" t="s">
        <v>13708</v>
      </c>
      <c r="C7486" s="6">
        <v>2.0</v>
      </c>
      <c r="D7486" s="7" t="s">
        <v>13709</v>
      </c>
      <c r="E7486" s="8" t="str">
        <f>IFERROR(__xludf.DUMMYFUNCTION("googletranslate(D7486,""id"",""en"")"),"PPKM Extends !!! Yuk Bundah and Beloved. Barked, let's go, there's no activity, it's better to sport together")</f>
        <v>PPKM Extends !!! Yuk Bundah and Beloved. Barked, let's go, there's no activity, it's better to sport together</v>
      </c>
    </row>
    <row r="7487" ht="15.75" customHeight="1">
      <c r="A7487" s="2">
        <v>7490.0</v>
      </c>
      <c r="B7487" s="5" t="s">
        <v>13710</v>
      </c>
      <c r="C7487" s="6">
        <v>1.0</v>
      </c>
      <c r="D7487" s="9" t="s">
        <v>13711</v>
      </c>
      <c r="E7487" s="8" t="str">
        <f>IFERROR(__xludf.DUMMYFUNCTION("googletranslate(D7487,""id"",""en"")"),"Please get your PPKM immediately, sir. Kasian's my friend became angry with Mulu during the PPKM.")</f>
        <v>Please get your PPKM immediately, sir. Kasian's my friend became angry with Mulu during the PPKM.</v>
      </c>
    </row>
    <row r="7488" ht="15.75" customHeight="1">
      <c r="A7488" s="2">
        <v>7491.0</v>
      </c>
      <c r="B7488" s="5" t="s">
        <v>13712</v>
      </c>
      <c r="C7488" s="6">
        <v>1.0</v>
      </c>
      <c r="D7488" s="9" t="s">
        <v>13712</v>
      </c>
      <c r="E7488" s="8" t="str">
        <f>IFERROR(__xludf.DUMMYFUNCTION("googletranslate(D7488,""id"",""en"")"),"PPKM when it's finished ngntod! I work again on Anjng! This is myself, the money is thinning but how many days are you fasting for eating and the pretext of saving money? !!")</f>
        <v>PPKM when it's finished ngntod! I work again on Anjng! This is myself, the money is thinning but how many days are you fasting for eating and the pretext of saving money? !!</v>
      </c>
    </row>
    <row r="7489" ht="15.75" customHeight="1">
      <c r="A7489" s="2">
        <v>7492.0</v>
      </c>
      <c r="B7489" s="5" t="s">
        <v>13713</v>
      </c>
      <c r="C7489" s="6">
        <v>2.0</v>
      </c>
      <c r="D7489" s="7" t="s">
        <v>13713</v>
      </c>
      <c r="E7489" s="8" t="str">
        <f>IFERROR(__xludf.DUMMYFUNCTION("googletranslate(D7489,""id"",""en"")"),"It turns out at the top of this hour at the Gest Gest Gest")</f>
        <v>It turns out at the top of this hour at the Gest Gest Gest</v>
      </c>
    </row>
    <row r="7490" ht="15.75" customHeight="1">
      <c r="A7490" s="2">
        <v>7493.0</v>
      </c>
      <c r="B7490" s="5" t="s">
        <v>13714</v>
      </c>
      <c r="C7490" s="6">
        <v>1.0</v>
      </c>
      <c r="D7490" s="9" t="s">
        <v>13715</v>
      </c>
      <c r="E7490" s="8" t="str">
        <f>IFERROR(__xludf.DUMMYFUNCTION("googletranslate(D7490,""id"",""en"")"),"Bener said Mrs. Siti Fadilah KL PPKM is not effective for dealing with Covid-19ada Study Declares Lockdown GA Effective ... Just Lockdown Only It Is Not Effective Apalagi PPKM (Semi Lockdown) Will Maxkinkan Middle School Down Ajarugi Time, Power &amp; Amp; mo"&amp;"ney..")</f>
        <v>Bener said Mrs. Siti Fadilah KL PPKM is not effective for dealing with Covid-19ada Study Declares Lockdown GA Effective ... Just Lockdown Only It Is Not Effective Apalagi PPKM (Semi Lockdown) Will Maxkinkan Middle School Down Ajarugi Time, Power &amp; Amp; money..</v>
      </c>
    </row>
    <row r="7491" ht="15.75" customHeight="1">
      <c r="A7491" s="2">
        <v>7494.0</v>
      </c>
      <c r="B7491" s="5" t="s">
        <v>13716</v>
      </c>
      <c r="C7491" s="6">
        <v>1.0</v>
      </c>
      <c r="D7491" s="7" t="s">
        <v>13717</v>
      </c>
      <c r="E7491" s="8" t="str">
        <f>IFERROR(__xludf.DUMMYFUNCTION("googletranslate(D7491,""id"",""en"")"),"Jokowi again made a crowd, by dividing basic foods on Jln when the PPKM was applyed Jokowi should get sanctions heavier than HRS because of the president who mlggar rules in the law were heavier!")</f>
        <v>Jokowi again made a crowd, by dividing basic foods on Jln when the PPKM was applyed Jokowi should get sanctions heavier than HRS because of the president who mlggar rules in the law were heavier!</v>
      </c>
    </row>
    <row r="7492" ht="15.75" customHeight="1">
      <c r="A7492" s="2">
        <v>7495.0</v>
      </c>
      <c r="B7492" s="5" t="s">
        <v>13718</v>
      </c>
      <c r="C7492" s="6">
        <v>1.0</v>
      </c>
      <c r="D7492" s="7" t="s">
        <v>13719</v>
      </c>
      <c r="E7492" s="8" t="str">
        <f>IFERROR(__xludf.DUMMYFUNCTION("googletranslate(D7492,""id"",""en"")"),"Invalid, In-Definite Models and Violating Rules / PPKM")</f>
        <v>Invalid, In-Definite Models and Violating Rules / PPKM</v>
      </c>
    </row>
    <row r="7493" ht="15.75" customHeight="1">
      <c r="A7493" s="2">
        <v>7496.0</v>
      </c>
      <c r="B7493" s="5" t="s">
        <v>13720</v>
      </c>
      <c r="C7493" s="6">
        <v>2.0</v>
      </c>
      <c r="D7493" s="10" t="s">
        <v>13721</v>
      </c>
      <c r="E7493" s="8" t="str">
        <f>IFERROR(__xludf.DUMMYFUNCTION("googletranslate(D7493,""id"",""en"")"),"PPKM Gasi effect")</f>
        <v>PPKM Gasi effect</v>
      </c>
    </row>
    <row r="7494" ht="15.75" customHeight="1">
      <c r="A7494" s="2">
        <v>7497.0</v>
      </c>
      <c r="B7494" s="5" t="s">
        <v>13722</v>
      </c>
      <c r="C7494" s="6">
        <v>1.0</v>
      </c>
      <c r="D7494" s="7" t="s">
        <v>13723</v>
      </c>
      <c r="E7494" s="8" t="str">
        <f>IFERROR(__xludf.DUMMYFUNCTION("googletranslate(D7494,""id"",""en"")"),"In the morning, if before the ppkm I like to buy mcd slurry clock, close if the mcd ppkm is not hour")</f>
        <v>In the morning, if before the ppkm I like to buy mcd slurry clock, close if the mcd ppkm is not hour</v>
      </c>
    </row>
    <row r="7495" ht="15.75" customHeight="1">
      <c r="A7495" s="2">
        <v>7498.0</v>
      </c>
      <c r="B7495" s="5" t="s">
        <v>13724</v>
      </c>
      <c r="C7495" s="6">
        <v>1.0</v>
      </c>
      <c r="D7495" s="7" t="s">
        <v>13725</v>
      </c>
      <c r="E7495" s="8" t="str">
        <f>IFERROR(__xludf.DUMMYFUNCTION("googletranslate(D7495,""id"",""en"")"),"Rather what kind of birthday ppkm birthday")</f>
        <v>Rather what kind of birthday ppkm birthday</v>
      </c>
    </row>
    <row r="7496" ht="15.75" customHeight="1">
      <c r="A7496" s="2">
        <v>7499.0</v>
      </c>
      <c r="B7496" s="5" t="s">
        <v>13726</v>
      </c>
      <c r="C7496" s="6">
        <v>2.0</v>
      </c>
      <c r="D7496" s="7" t="s">
        <v>13727</v>
      </c>
      <c r="E7496" s="8" t="str">
        <f>IFERROR(__xludf.DUMMYFUNCTION("googletranslate(D7496,""id"",""en"")"),"Weve PPKM.")</f>
        <v>Weve PPKM.</v>
      </c>
    </row>
    <row r="7497" ht="15.75" customHeight="1">
      <c r="A7497" s="2">
        <v>7500.0</v>
      </c>
      <c r="B7497" s="5" t="s">
        <v>13728</v>
      </c>
      <c r="C7497" s="6">
        <v>2.0</v>
      </c>
      <c r="D7497" s="7" t="s">
        <v>13729</v>
      </c>
      <c r="E7497" s="8" t="str">
        <f>IFERROR(__xludf.DUMMYFUNCTION("googletranslate(D7497,""id"",""en"")"),"Yachhhh .... Yauwes, Kafene Yo Close to Sak Rampung E PPKM Wakakaka")</f>
        <v>Yachhhh .... Yauwes, Kafene Yo Close to Sak Rampung E PPKM Wakakaka</v>
      </c>
    </row>
    <row r="7498" ht="15.75" customHeight="1">
      <c r="A7498" s="2">
        <v>7501.0</v>
      </c>
      <c r="B7498" s="5" t="s">
        <v>13730</v>
      </c>
      <c r="C7498" s="6">
        <v>2.0</v>
      </c>
      <c r="D7498" s="7" t="s">
        <v>13731</v>
      </c>
      <c r="E7498" s="8" t="str">
        <f>IFERROR(__xludf.DUMMYFUNCTION("googletranslate(D7498,""id"",""en"")"),"NTR finished PPKM to the LG Museum")</f>
        <v>NTR finished PPKM to the LG Museum</v>
      </c>
    </row>
    <row r="7499" ht="15.75" customHeight="1">
      <c r="A7499" s="2">
        <v>7502.0</v>
      </c>
      <c r="B7499" s="5" t="s">
        <v>13732</v>
      </c>
      <c r="C7499" s="6">
        <v>2.0</v>
      </c>
      <c r="D7499" s="7" t="s">
        <v>13733</v>
      </c>
      <c r="E7499" s="8" t="str">
        <f>IFERROR(__xludf.DUMMYFUNCTION("googletranslate(D7499,""id"",""en"")"),"roughly ppkm until the August one or an extended again? hmmmm")</f>
        <v>roughly ppkm until the August one or an extended again? hmmmm</v>
      </c>
    </row>
    <row r="7500" ht="15.75" customHeight="1">
      <c r="A7500" s="2">
        <v>7503.0</v>
      </c>
      <c r="B7500" s="5" t="s">
        <v>13734</v>
      </c>
      <c r="C7500" s="6">
        <v>2.0</v>
      </c>
      <c r="D7500" s="7" t="s">
        <v>13735</v>
      </c>
      <c r="E7500" s="8" t="str">
        <f>IFERROR(__xludf.DUMMYFUNCTION("googletranslate(D7500,""id"",""en"")"),"This means that he is asking about the ministers of PPKM extended what not?")</f>
        <v>This means that he is asking about the ministers of PPKM extended what not?</v>
      </c>
    </row>
    <row r="7501" ht="15.75" customHeight="1">
      <c r="A7501" s="2">
        <v>7504.0</v>
      </c>
      <c r="B7501" s="5" t="s">
        <v>13736</v>
      </c>
      <c r="C7501" s="6">
        <v>2.0</v>
      </c>
      <c r="D7501" s="7" t="s">
        <v>13736</v>
      </c>
      <c r="E7501" s="8" t="str">
        <f>IFERROR(__xludf.DUMMYFUNCTION("googletranslate(D7501,""id"",""en"")"),"It's hard to find out for an extended age of PPKM")</f>
        <v>It's hard to find out for an extended age of PPKM</v>
      </c>
    </row>
    <row r="7502" ht="15.75" customHeight="1">
      <c r="A7502" s="2">
        <v>7505.0</v>
      </c>
      <c r="B7502" s="5" t="s">
        <v>13737</v>
      </c>
      <c r="C7502" s="6">
        <v>1.0</v>
      </c>
      <c r="D7502" s="9" t="s">
        <v>13738</v>
      </c>
      <c r="E7502" s="8" t="str">
        <f>IFERROR(__xludf.DUMMYFUNCTION("googletranslate(D7502,""id"",""en"")"),"Bosen PPKM, Mo comes out can't Meng")</f>
        <v>Bosen PPKM, Mo comes out can't Meng</v>
      </c>
    </row>
    <row r="7503" ht="15.75" customHeight="1">
      <c r="A7503" s="2">
        <v>7506.0</v>
      </c>
      <c r="B7503" s="5" t="s">
        <v>13739</v>
      </c>
      <c r="C7503" s="6">
        <v>2.0</v>
      </c>
      <c r="D7503" s="7" t="s">
        <v>13740</v>
      </c>
      <c r="E7503" s="8" t="str">
        <f>IFERROR(__xludf.DUMMYFUNCTION("googletranslate(D7503,""id"",""en"")"),"Right bun, fans of the Emergency Emergency era just listen")</f>
        <v>Right bun, fans of the Emergency Emergency era just listen</v>
      </c>
    </row>
    <row r="7504" ht="15.75" customHeight="1">
      <c r="A7504" s="2">
        <v>7507.0</v>
      </c>
      <c r="B7504" s="5" t="s">
        <v>13741</v>
      </c>
      <c r="C7504" s="6">
        <v>1.0</v>
      </c>
      <c r="D7504" s="9" t="s">
        <v>13742</v>
      </c>
      <c r="E7504" s="8" t="str">
        <f>IFERROR(__xludf.DUMMYFUNCTION("googletranslate(D7504,""id"",""en"")"),"JOGJA city murals, the sound in diambisa is a series of sound sounds will be a trend, rather than gabut ppkm.wkkkkk krn one vote in silence, instead so the wave of creativity sejarayo we make echo")</f>
        <v>JOGJA city murals, the sound in diambisa is a series of sound sounds will be a trend, rather than gabut ppkm.wkkkkk krn one vote in silence, instead so the wave of creativity sejarayo we make echo</v>
      </c>
    </row>
    <row r="7505" ht="15.75" customHeight="1">
      <c r="A7505" s="2">
        <v>7508.0</v>
      </c>
      <c r="B7505" s="5" t="s">
        <v>13743</v>
      </c>
      <c r="C7505" s="6">
        <v>3.0</v>
      </c>
      <c r="D7505" s="7" t="s">
        <v>13744</v>
      </c>
      <c r="E7505" s="8" t="str">
        <f>IFERROR(__xludf.DUMMYFUNCTION("googletranslate(D7505,""id"",""en"")"),"Morning all, don't have to think about the main ppkm definitely end, hopefully you are strong to the end.")</f>
        <v>Morning all, don't have to think about the main ppkm definitely end, hopefully you are strong to the end.</v>
      </c>
    </row>
    <row r="7506" ht="15.75" customHeight="1">
      <c r="A7506" s="2">
        <v>7509.0</v>
      </c>
      <c r="B7506" s="5" t="s">
        <v>13745</v>
      </c>
      <c r="C7506" s="6">
        <v>2.0</v>
      </c>
      <c r="D7506" s="9" t="s">
        <v>13746</v>
      </c>
      <c r="E7506" s="8" t="str">
        <f>IFERROR(__xludf.DUMMYFUNCTION("googletranslate(D7506,""id"",""en"")"),"Not ah ... afraid to pay for the ticket. Again PPKM. It's already paid eh it can't laugh with it ... so just play? If you don't want me to watch another one ...")</f>
        <v>Not ah ... afraid to pay for the ticket. Again PPKM. It's already paid eh it can't laugh with it ... so just play? If you don't want me to watch another one ...</v>
      </c>
    </row>
    <row r="7507" ht="15.75" customHeight="1">
      <c r="A7507" s="2">
        <v>7510.0</v>
      </c>
      <c r="B7507" s="5" t="s">
        <v>13747</v>
      </c>
      <c r="C7507" s="6">
        <v>1.0</v>
      </c>
      <c r="D7507" s="9" t="s">
        <v>13747</v>
      </c>
      <c r="E7507" s="8" t="str">
        <f>IFERROR(__xludf.DUMMYFUNCTION("googletranslate(D7507,""id"",""en"")"),"when ppkm finished yaa ... when is Corona pulkam yaa ... want to walk the cave ... minimum nginep dah peak .. gapape hotel is cheap ... the important vacation ... tired ...")</f>
        <v>when ppkm finished yaa ... when is Corona pulkam yaa ... want to walk the cave ... minimum nginep dah peak .. gapape hotel is cheap ... the important vacation ... tired ...</v>
      </c>
    </row>
    <row r="7508" ht="15.75" customHeight="1">
      <c r="A7508" s="2">
        <v>7511.0</v>
      </c>
      <c r="B7508" s="5" t="s">
        <v>13748</v>
      </c>
      <c r="C7508" s="6">
        <v>2.0</v>
      </c>
      <c r="D7508" s="7" t="s">
        <v>13749</v>
      </c>
      <c r="E7508" s="8" t="str">
        <f>IFERROR(__xludf.DUMMYFUNCTION("googletranslate(D7508,""id"",""en"")"),"Good morning PPKM")</f>
        <v>Good morning PPKM</v>
      </c>
    </row>
    <row r="7509" ht="15.75" customHeight="1">
      <c r="A7509" s="2">
        <v>7512.0</v>
      </c>
      <c r="B7509" s="5" t="s">
        <v>13750</v>
      </c>
      <c r="C7509" s="6">
        <v>2.0</v>
      </c>
      <c r="D7509" s="7" t="s">
        <v>13751</v>
      </c>
      <c r="E7509" s="8" t="str">
        <f>IFERROR(__xludf.DUMMYFUNCTION("googletranslate(D7509,""id"",""en"")"),"PPKM (first attention then leaves)")</f>
        <v>PPKM (first attention then leaves)</v>
      </c>
    </row>
    <row r="7510" ht="15.75" customHeight="1">
      <c r="A7510" s="2">
        <v>7513.0</v>
      </c>
      <c r="B7510" s="5" t="s">
        <v>13752</v>
      </c>
      <c r="C7510" s="6">
        <v>2.0</v>
      </c>
      <c r="D7510" s="7" t="s">
        <v>13753</v>
      </c>
      <c r="E7510" s="8" t="str">
        <f>IFERROR(__xludf.DUMMYFUNCTION("googletranslate(D7510,""id"",""en"")"),"Still PPKM Bund.")</f>
        <v>Still PPKM Bund.</v>
      </c>
    </row>
    <row r="7511" ht="15.75" customHeight="1">
      <c r="A7511" s="2">
        <v>7514.0</v>
      </c>
      <c r="B7511" s="5" t="s">
        <v>13754</v>
      </c>
      <c r="C7511" s="6">
        <v>1.0</v>
      </c>
      <c r="D7511" s="9" t="s">
        <v>13755</v>
      </c>
      <c r="E7511" s="8" t="str">
        <f>IFERROR(__xludf.DUMMYFUNCTION("googletranslate(D7511,""id"",""en"")"),"Hbis PPKM Lokdon, may not leave Jadu's house arrangement of house, dinpenjara at home alone.")</f>
        <v>Hbis PPKM Lokdon, may not leave Jadu's house arrangement of house, dinpenjara at home alone.</v>
      </c>
    </row>
    <row r="7512" ht="15.75" customHeight="1">
      <c r="A7512" s="2">
        <v>7515.0</v>
      </c>
      <c r="B7512" s="5" t="s">
        <v>13756</v>
      </c>
      <c r="C7512" s="6">
        <v>1.0</v>
      </c>
      <c r="D7512" s="7" t="s">
        <v>13757</v>
      </c>
      <c r="E7512" s="8" t="str">
        <f>IFERROR(__xludf.DUMMYFUNCTION("googletranslate(D7512,""id"",""en"")"),"less people who intentionally made the crowd when Jokowi Giat PPKM ...")</f>
        <v>less people who intentionally made the crowd when Jokowi Giat PPKM ...</v>
      </c>
    </row>
    <row r="7513" ht="15.75" customHeight="1">
      <c r="A7513" s="2">
        <v>7516.0</v>
      </c>
      <c r="B7513" s="5" t="s">
        <v>13758</v>
      </c>
      <c r="C7513" s="6">
        <v>1.0</v>
      </c>
      <c r="D7513" s="7" t="s">
        <v>13759</v>
      </c>
      <c r="E7513" s="8" t="str">
        <f>IFERROR(__xludf.DUMMYFUNCTION("googletranslate(D7513,""id"",""en"")"),"My soul was angry when watching Chinese TKA arrived at the time of the implementation of PPKM which was leveled, and the indigenous people were limited to their movements and at the high level of unemployment")</f>
        <v>My soul was angry when watching Chinese TKA arrived at the time of the implementation of PPKM which was leveled, and the indigenous people were limited to their movements and at the high level of unemployment</v>
      </c>
    </row>
    <row r="7514" ht="15.75" customHeight="1">
      <c r="A7514" s="2">
        <v>7517.0</v>
      </c>
      <c r="B7514" s="5" t="s">
        <v>13760</v>
      </c>
      <c r="C7514" s="6">
        <v>1.0</v>
      </c>
      <c r="D7514" s="7" t="s">
        <v>13761</v>
      </c>
      <c r="E7514" s="8" t="str">
        <f>IFERROR(__xludf.DUMMYFUNCTION("googletranslate(D7514,""id"",""en"")"),"They asked for Isoman to pay for the country at the hotel) - There are members of the Karokean DPRD and parties in the PPKM period - cover the house of memorizing the Koran on a noisy reason to install the wall in the door (:")</f>
        <v>They asked for Isoman to pay for the country at the hotel) - There are members of the Karokean DPRD and parties in the PPKM period - cover the house of memorizing the Koran on a noisy reason to install the wall in the door (:</v>
      </c>
    </row>
    <row r="7515" ht="15.75" customHeight="1">
      <c r="A7515" s="2">
        <v>7518.0</v>
      </c>
      <c r="B7515" s="5" t="s">
        <v>13762</v>
      </c>
      <c r="C7515" s="6">
        <v>2.0</v>
      </c>
      <c r="D7515" s="7" t="s">
        <v>13763</v>
      </c>
      <c r="E7515" s="8" t="str">
        <f>IFERROR(__xludf.DUMMYFUNCTION("googletranslate(D7515,""id"",""en"")"),"Is there a picture of him just grinning? Whose teeth are ppkm")</f>
        <v>Is there a picture of him just grinning? Whose teeth are ppkm</v>
      </c>
    </row>
    <row r="7516" ht="15.75" customHeight="1">
      <c r="A7516" s="2">
        <v>7519.0</v>
      </c>
      <c r="B7516" s="5" t="s">
        <v>13764</v>
      </c>
      <c r="C7516" s="6">
        <v>2.0</v>
      </c>
      <c r="D7516" s="9" t="s">
        <v>13765</v>
      </c>
      <c r="E7516" s="8" t="str">
        <f>IFERROR(__xludf.DUMMYFUNCTION("googletranslate(D7516,""id"",""en"")"),"Patriender ppkm, at home, if it's not oyo")</f>
        <v>Patriender ppkm, at home, if it's not oyo</v>
      </c>
    </row>
    <row r="7517" ht="15.75" customHeight="1">
      <c r="A7517" s="2">
        <v>7520.0</v>
      </c>
      <c r="B7517" s="5" t="s">
        <v>13766</v>
      </c>
      <c r="C7517" s="6">
        <v>2.0</v>
      </c>
      <c r="D7517" s="7" t="s">
        <v>13767</v>
      </c>
      <c r="E7517" s="8" t="str">
        <f>IFERROR(__xludf.DUMMYFUNCTION("googletranslate(D7517,""id"",""en"")"),"His friend PPKM ...")</f>
        <v>His friend PPKM ...</v>
      </c>
    </row>
    <row r="7518" ht="15.75" customHeight="1">
      <c r="A7518" s="2">
        <v>7521.0</v>
      </c>
      <c r="B7518" s="5" t="s">
        <v>13768</v>
      </c>
      <c r="C7518" s="6">
        <v>2.0</v>
      </c>
      <c r="D7518" s="7" t="s">
        <v>13769</v>
      </c>
      <c r="E7518" s="8" t="str">
        <f>IFERROR(__xludf.DUMMYFUNCTION("googletranslate(D7518,""id"",""en"")"),"Good morning and greetings ppkm")</f>
        <v>Good morning and greetings ppkm</v>
      </c>
    </row>
    <row r="7519" ht="15.75" customHeight="1">
      <c r="A7519" s="2">
        <v>7522.0</v>
      </c>
      <c r="B7519" s="5" t="s">
        <v>13770</v>
      </c>
      <c r="C7519" s="6">
        <v>3.0</v>
      </c>
      <c r="D7519" s="7" t="s">
        <v>13771</v>
      </c>
      <c r="E7519" s="8" t="str">
        <f>IFERROR(__xludf.DUMMYFUNCTION("googletranslate(D7519,""id"",""en"")"),"Alhamdulillah, hopefully the Covid number will decrease dramatically with this PPKM extension huh")</f>
        <v>Alhamdulillah, hopefully the Covid number will decrease dramatically with this PPKM extension huh</v>
      </c>
    </row>
    <row r="7520" ht="15.75" customHeight="1">
      <c r="A7520" s="2">
        <v>7523.0</v>
      </c>
      <c r="B7520" s="5" t="s">
        <v>13772</v>
      </c>
      <c r="C7520" s="6">
        <v>1.0</v>
      </c>
      <c r="D7520" s="9" t="s">
        <v>13773</v>
      </c>
      <c r="E7520" s="8" t="str">
        <f>IFERROR(__xludf.DUMMYFUNCTION("googletranslate(D7520,""id"",""en"")"),"Not first. PPKM, Sing residents are prohibited from entering")</f>
        <v>Not first. PPKM, Sing residents are prohibited from entering</v>
      </c>
    </row>
    <row r="7521" ht="15.75" customHeight="1">
      <c r="A7521" s="2">
        <v>7524.0</v>
      </c>
      <c r="B7521" s="5" t="s">
        <v>13774</v>
      </c>
      <c r="C7521" s="6">
        <v>1.0</v>
      </c>
      <c r="D7521" s="7" t="s">
        <v>13774</v>
      </c>
      <c r="E7521" s="8" t="str">
        <f>IFERROR(__xludf.DUMMYFUNCTION("googletranslate(D7521,""id"",""en"")"),"just tastes the effect of PPKM HHH")</f>
        <v>just tastes the effect of PPKM HHH</v>
      </c>
    </row>
    <row r="7522" ht="15.75" customHeight="1">
      <c r="A7522" s="2">
        <v>7525.0</v>
      </c>
      <c r="B7522" s="5" t="s">
        <v>13775</v>
      </c>
      <c r="C7522" s="6">
        <v>3.0</v>
      </c>
      <c r="D7522" s="9" t="s">
        <v>13776</v>
      </c>
      <c r="E7522" s="8" t="str">
        <f>IFERROR(__xludf.DUMMYFUNCTION("googletranslate(D7522,""id"",""en"")"),"Always maintain health. Ppkm level don't go anywhere first")</f>
        <v>Always maintain health. Ppkm level don't go anywhere first</v>
      </c>
    </row>
    <row r="7523" ht="15.75" customHeight="1">
      <c r="A7523" s="2">
        <v>7526.0</v>
      </c>
      <c r="B7523" s="5" t="s">
        <v>13777</v>
      </c>
      <c r="C7523" s="6">
        <v>1.0</v>
      </c>
      <c r="D7523" s="7" t="s">
        <v>13778</v>
      </c>
      <c r="E7523" s="8" t="str">
        <f>IFERROR(__xludf.DUMMYFUNCTION("googletranslate(D7523,""id"",""en"")"),"Free animals. Yang forbidden in the PPKM rule is human")</f>
        <v>Free animals. Yang forbidden in the PPKM rule is human</v>
      </c>
    </row>
    <row r="7524" ht="15.75" customHeight="1">
      <c r="A7524" s="2">
        <v>7527.0</v>
      </c>
      <c r="B7524" s="5" t="s">
        <v>13779</v>
      </c>
      <c r="C7524" s="6">
        <v>2.0</v>
      </c>
      <c r="D7524" s="7" t="s">
        <v>13780</v>
      </c>
      <c r="E7524" s="8" t="str">
        <f>IFERROR(__xludf.DUMMYFUNCTION("googletranslate(D7524,""id"",""en"")"),"Isn't it still ppkm huh?")</f>
        <v>Isn't it still ppkm huh?</v>
      </c>
    </row>
    <row r="7525" ht="15.75" customHeight="1">
      <c r="A7525" s="2">
        <v>7528.0</v>
      </c>
      <c r="B7525" s="5" t="s">
        <v>13781</v>
      </c>
      <c r="C7525" s="6">
        <v>1.0</v>
      </c>
      <c r="D7525" s="7" t="s">
        <v>13782</v>
      </c>
      <c r="E7525" s="8" t="str">
        <f>IFERROR(__xludf.DUMMYFUNCTION("googletranslate(D7525,""id"",""en"")"),"and miss can everywhere without thinking about using masks and also PPKM")</f>
        <v>and miss can everywhere without thinking about using masks and also PPKM</v>
      </c>
    </row>
    <row r="7526" ht="15.75" customHeight="1">
      <c r="A7526" s="2">
        <v>7529.0</v>
      </c>
      <c r="B7526" s="5" t="s">
        <v>13783</v>
      </c>
      <c r="C7526" s="6">
        <v>1.0</v>
      </c>
      <c r="D7526" s="7" t="s">
        <v>13784</v>
      </c>
      <c r="E7526" s="8" t="str">
        <f>IFERROR(__xludf.DUMMYFUNCTION("googletranslate(D7526,""id"",""en"")"),"Just sticking the boss sticker why it's not good for basic necessities for the month of KRN PPKM.")</f>
        <v>Just sticking the boss sticker why it's not good for basic necessities for the month of KRN PPKM.</v>
      </c>
    </row>
    <row r="7527" ht="15.75" customHeight="1">
      <c r="A7527" s="2">
        <v>7530.0</v>
      </c>
      <c r="B7527" s="5" t="s">
        <v>13785</v>
      </c>
      <c r="C7527" s="6">
        <v>1.0</v>
      </c>
      <c r="D7527" s="7" t="s">
        <v>13786</v>
      </c>
      <c r="E7527" s="8" t="str">
        <f>IFERROR(__xludf.DUMMYFUNCTION("googletranslate(D7527,""id"",""en"")"),"Already using masks - keep the distance - already in vaccine - already ppkm olidaries ... but covid is increasingly rampant &amp; amp; the dead gets more ... it's a Herd Immunity, which kind of wants to be achieved")</f>
        <v>Already using masks - keep the distance - already in vaccine - already ppkm olidaries ... but covid is increasingly rampant &amp; amp; the dead gets more ... it's a Herd Immunity, which kind of wants to be achieved</v>
      </c>
    </row>
    <row r="7528" ht="15.75" customHeight="1">
      <c r="A7528" s="2">
        <v>7531.0</v>
      </c>
      <c r="B7528" s="5" t="s">
        <v>13787</v>
      </c>
      <c r="C7528" s="6">
        <v>2.0</v>
      </c>
      <c r="D7528" s="7" t="s">
        <v>13787</v>
      </c>
      <c r="E7528" s="8" t="str">
        <f>IFERROR(__xludf.DUMMYFUNCTION("googletranslate(D7528,""id"",""en"")"),"but still ppkm, payday is still long")</f>
        <v>but still ppkm, payday is still long</v>
      </c>
    </row>
    <row r="7529" ht="15.75" customHeight="1">
      <c r="A7529" s="2">
        <v>7532.0</v>
      </c>
      <c r="B7529" s="5" t="s">
        <v>13788</v>
      </c>
      <c r="C7529" s="6">
        <v>3.0</v>
      </c>
      <c r="D7529" s="9" t="s">
        <v>13789</v>
      </c>
      <c r="E7529" s="8" t="str">
        <f>IFERROR(__xludf.DUMMYFUNCTION("googletranslate(D7529,""id"",""en"")"),"Funny entertainment ""Dr. People who can be Salarial from the State Budget, a little at least at the hospital because of the ppkm ..")</f>
        <v>Funny entertainment "Dr. People who can be Salarial from the State Budget, a little at least at the hospital because of the ppkm ..</v>
      </c>
    </row>
    <row r="7530" ht="15.75" customHeight="1">
      <c r="A7530" s="2">
        <v>7533.0</v>
      </c>
      <c r="B7530" s="5" t="s">
        <v>13790</v>
      </c>
      <c r="C7530" s="6">
        <v>2.0</v>
      </c>
      <c r="D7530" s="9" t="s">
        <v>13791</v>
      </c>
      <c r="E7530" s="8" t="str">
        <f>IFERROR(__xludf.DUMMYFUNCTION("googletranslate(D7530,""id"",""en"")"),"When there are no PPKMsiTaturahmi rules, dinner and visit each other")</f>
        <v>When there are no PPKMsiTaturahmi rules, dinner and visit each other</v>
      </c>
    </row>
    <row r="7531" ht="15.75" customHeight="1">
      <c r="A7531" s="2">
        <v>7534.0</v>
      </c>
      <c r="B7531" s="5" t="s">
        <v>13792</v>
      </c>
      <c r="C7531" s="6">
        <v>1.0</v>
      </c>
      <c r="D7531" s="9" t="s">
        <v>13793</v>
      </c>
      <c r="E7531" s="8" t="str">
        <f>IFERROR(__xludf.DUMMYFUNCTION("googletranslate(D7531,""id"",""en"")"),"This child instead is ngabalin yamural violate the law? La who made the crowd many times even though PPKM level was sentenced to first")</f>
        <v>This child instead is ngabalin yamural violate the law? La who made the crowd many times even though PPKM level was sentenced to first</v>
      </c>
    </row>
    <row r="7532" ht="15.75" customHeight="1">
      <c r="A7532" s="2">
        <v>7535.0</v>
      </c>
      <c r="B7532" s="5" t="s">
        <v>13794</v>
      </c>
      <c r="C7532" s="6">
        <v>1.0</v>
      </c>
      <c r="D7532" s="7" t="s">
        <v>13795</v>
      </c>
      <c r="E7532" s="8" t="str">
        <f>IFERROR(__xludf.DUMMYFUNCTION("googletranslate(D7532,""id"",""en"")"),"Pantesan to many people who want to be officials, and the empathy is when it's a lot that is not kbgian bansos, when it's a lot of street vendors who are impalement, when there are people who are unemployed, how come there is someone who bro ??? Sorry, ho"&amp;"w come it's like that, how come it might be in this country")</f>
        <v>Pantesan to many people who want to be officials, and the empathy is when it's a lot that is not kbgian bansos, when it's a lot of street vendors who are impalement, when there are people who are unemployed, how come there is someone who bro ??? Sorry, how come it's like that, how come it might be in this country</v>
      </c>
    </row>
    <row r="7533" ht="15.75" customHeight="1">
      <c r="A7533" s="2">
        <v>7536.0</v>
      </c>
      <c r="B7533" s="5" t="s">
        <v>13796</v>
      </c>
      <c r="C7533" s="6">
        <v>2.0</v>
      </c>
      <c r="D7533" s="7" t="s">
        <v>13797</v>
      </c>
      <c r="E7533" s="8" t="str">
        <f>IFERROR(__xludf.DUMMYFUNCTION("googletranslate(D7533,""id"",""en"")"),"Does KRS at UNS experience PPKM level. Because the access is limited and can't be accessed.")</f>
        <v>Does KRS at UNS experience PPKM level. Because the access is limited and can't be accessed.</v>
      </c>
    </row>
    <row r="7534" ht="15.75" customHeight="1">
      <c r="A7534" s="2">
        <v>7537.0</v>
      </c>
      <c r="B7534" s="5" t="s">
        <v>13798</v>
      </c>
      <c r="C7534" s="6">
        <v>2.0</v>
      </c>
      <c r="D7534" s="7" t="s">
        <v>13799</v>
      </c>
      <c r="E7534" s="8" t="str">
        <f>IFERROR(__xludf.DUMMYFUNCTION("googletranslate(D7534,""id"",""en"")"),"$ ppkm selling online. Masok.")</f>
        <v>$ ppkm selling online. Masok.</v>
      </c>
    </row>
    <row r="7535" ht="15.75" customHeight="1">
      <c r="A7535" s="2">
        <v>7538.0</v>
      </c>
      <c r="B7535" s="5" t="s">
        <v>13800</v>
      </c>
      <c r="C7535" s="6">
        <v>2.0</v>
      </c>
      <c r="D7535" s="9" t="s">
        <v>13801</v>
      </c>
      <c r="E7535" s="8" t="str">
        <f>IFERROR(__xludf.DUMMYFUNCTION("googletranslate(D7535,""id"",""en"")"),"Later yes if it's not ppkm")</f>
        <v>Later yes if it's not ppkm</v>
      </c>
    </row>
    <row r="7536" ht="15.75" customHeight="1">
      <c r="A7536" s="2">
        <v>7539.0</v>
      </c>
      <c r="B7536" s="5" t="s">
        <v>13802</v>
      </c>
      <c r="C7536" s="6">
        <v>2.0</v>
      </c>
      <c r="D7536" s="7" t="s">
        <v>13803</v>
      </c>
      <c r="E7536" s="8" t="str">
        <f>IFERROR(__xludf.DUMMYFUNCTION("googletranslate(D7536,""id"",""en"")"),"The longest distance kg, the pause of the month because of the PPKM, finally got it too. Yow continued.")</f>
        <v>The longest distance kg, the pause of the month because of the PPKM, finally got it too. Yow continued.</v>
      </c>
    </row>
    <row r="7537" ht="15.75" customHeight="1">
      <c r="A7537" s="2">
        <v>7540.0</v>
      </c>
      <c r="B7537" s="5" t="s">
        <v>13804</v>
      </c>
      <c r="C7537" s="6">
        <v>1.0</v>
      </c>
      <c r="D7537" s="9" t="s">
        <v>13805</v>
      </c>
      <c r="E7537" s="8" t="str">
        <f>IFERROR(__xludf.DUMMYFUNCTION("googletranslate(D7537,""id"",""en"")"),"Sir, please pull up the PPKM, it's fed up with online learning. Now the news about Covid-19 is not buming as at the beginning of the beginning, sir.")</f>
        <v>Sir, please pull up the PPKM, it's fed up with online learning. Now the news about Covid-19 is not buming as at the beginning of the beginning, sir.</v>
      </c>
    </row>
    <row r="7538" ht="15.75" customHeight="1">
      <c r="A7538" s="2">
        <v>7541.0</v>
      </c>
      <c r="B7538" s="5" t="s">
        <v>13806</v>
      </c>
      <c r="C7538" s="6">
        <v>2.0</v>
      </c>
      <c r="D7538" s="7" t="s">
        <v>13806</v>
      </c>
      <c r="E7538" s="8" t="str">
        <f>IFERROR(__xludf.DUMMYFUNCTION("googletranslate(D7538,""id"",""en"")"),"What if the PPKM is slowly sure you are mine")</f>
        <v>What if the PPKM is slowly sure you are mine</v>
      </c>
    </row>
    <row r="7539" ht="15.75" customHeight="1">
      <c r="A7539" s="2">
        <v>7542.0</v>
      </c>
      <c r="B7539" s="5" t="s">
        <v>13807</v>
      </c>
      <c r="C7539" s="6">
        <v>1.0</v>
      </c>
      <c r="D7539" s="7" t="s">
        <v>13807</v>
      </c>
      <c r="E7539" s="8" t="str">
        <f>IFERROR(__xludf.DUMMYFUNCTION("googletranslate(D7539,""id"",""en"")"),"Jebul PPKM really affects the same delivery of goods: '(")</f>
        <v>Jebul PPKM really affects the same delivery of goods: '(</v>
      </c>
    </row>
    <row r="7540" ht="15.75" customHeight="1">
      <c r="A7540" s="2">
        <v>7543.0</v>
      </c>
      <c r="B7540" s="5" t="s">
        <v>13808</v>
      </c>
      <c r="C7540" s="6">
        <v>2.0</v>
      </c>
      <c r="D7540" s="7" t="s">
        <v>13808</v>
      </c>
      <c r="E7540" s="8" t="str">
        <f>IFERROR(__xludf.DUMMYFUNCTION("googletranslate(D7540,""id"",""en"")"),"Ppkm going to bro volume ...?")</f>
        <v>Ppkm going to bro volume ...?</v>
      </c>
    </row>
    <row r="7541" ht="15.75" customHeight="1">
      <c r="A7541" s="2">
        <v>7544.0</v>
      </c>
      <c r="B7541" s="5" t="s">
        <v>13809</v>
      </c>
      <c r="C7541" s="6">
        <v>2.0</v>
      </c>
      <c r="D7541" s="7" t="s">
        <v>13809</v>
      </c>
      <c r="E7541" s="8" t="str">
        <f>IFERROR(__xludf.DUMMYFUNCTION("googletranslate(D7541,""id"",""en"")"),"FLAURENT PPKM Open G SI Want to Cut Hair with Proper")</f>
        <v>FLAURENT PPKM Open G SI Want to Cut Hair with Proper</v>
      </c>
    </row>
    <row r="7542" ht="15.75" customHeight="1">
      <c r="A7542" s="2">
        <v>7545.0</v>
      </c>
      <c r="B7542" s="5" t="s">
        <v>13810</v>
      </c>
      <c r="C7542" s="6">
        <v>2.0</v>
      </c>
      <c r="D7542" s="7" t="s">
        <v>13810</v>
      </c>
      <c r="E7542" s="8" t="str">
        <f>IFERROR(__xludf.DUMMYFUNCTION("googletranslate(D7542,""id"",""en"")"),"Left ppkm or not?")</f>
        <v>Left ppkm or not?</v>
      </c>
    </row>
    <row r="7543" ht="15.75" customHeight="1">
      <c r="A7543" s="2">
        <v>7546.0</v>
      </c>
      <c r="B7543" s="5" t="s">
        <v>13811</v>
      </c>
      <c r="C7543" s="6">
        <v>2.0</v>
      </c>
      <c r="D7543" s="9" t="s">
        <v>13812</v>
      </c>
      <c r="E7543" s="8" t="str">
        <f>IFERROR(__xludf.DUMMYFUNCTION("googletranslate(D7543,""id"",""en"")"),"Morning ... Friends of Kepo, Ajeng weve the tour of the tour so sip, we want to tour it together after the PPKM level passed")</f>
        <v>Morning ... Friends of Kepo, Ajeng weve the tour of the tour so sip, we want to tour it together after the PPKM level passed</v>
      </c>
    </row>
    <row r="7544" ht="15.75" customHeight="1">
      <c r="A7544" s="2">
        <v>7547.0</v>
      </c>
      <c r="B7544" s="5" t="s">
        <v>13813</v>
      </c>
      <c r="C7544" s="6">
        <v>1.0</v>
      </c>
      <c r="D7544" s="9" t="s">
        <v>13814</v>
      </c>
      <c r="E7544" s="8" t="str">
        <f>IFERROR(__xludf.DUMMYFUNCTION("googletranslate(D7544,""id"",""en"")"),"It's enough on Twitter. On Instagram just as needed. I'm afraid of e, cook because of my ppkm as ansos? It's not funny. Gamau back to the first phase again. Ansos really Iyuh")</f>
        <v>It's enough on Twitter. On Instagram just as needed. I'm afraid of e, cook because of my ppkm as ansos? It's not funny. Gamau back to the first phase again. Ansos really Iyuh</v>
      </c>
    </row>
    <row r="7545" ht="15.75" customHeight="1">
      <c r="A7545" s="2">
        <v>7548.0</v>
      </c>
      <c r="B7545" s="5" t="s">
        <v>13815</v>
      </c>
      <c r="C7545" s="6">
        <v>1.0</v>
      </c>
      <c r="D7545" s="7" t="s">
        <v>13816</v>
      </c>
      <c r="E7545" s="8" t="str">
        <f>IFERROR(__xludf.DUMMYFUNCTION("googletranslate(D7545,""id"",""en"")"),"PPKMPEKBAT KAYANG KAYA DISTRIBUTION DISTRIBUTOR PCR ...?")</f>
        <v>PPKMPEKBAT KAYANG KAYA DISTRIBUTION DISTRIBUTOR PCR ...?</v>
      </c>
    </row>
    <row r="7546" ht="15.75" customHeight="1">
      <c r="A7546" s="2">
        <v>7549.0</v>
      </c>
      <c r="B7546" s="5" t="s">
        <v>13817</v>
      </c>
      <c r="C7546" s="6">
        <v>1.0</v>
      </c>
      <c r="D7546" s="7" t="s">
        <v>13817</v>
      </c>
      <c r="E7546" s="8" t="str">
        <f>IFERROR(__xludf.DUMMYFUNCTION("googletranslate(D7546,""id"",""en"")"),"Saturday work is not counted overtime, ppkm bangsatttt")</f>
        <v>Saturday work is not counted overtime, ppkm bangsatttt</v>
      </c>
    </row>
    <row r="7547" ht="15.75" customHeight="1">
      <c r="A7547" s="2">
        <v>7550.0</v>
      </c>
      <c r="B7547" s="5" t="s">
        <v>13818</v>
      </c>
      <c r="C7547" s="6">
        <v>3.0</v>
      </c>
      <c r="D7547" s="7" t="s">
        <v>13819</v>
      </c>
      <c r="E7547" s="8" t="str">
        <f>IFERROR(__xludf.DUMMYFUNCTION("googletranslate(D7547,""id"",""en"")"),"The existence of PPKM ... Indonesia has gradually dropped dramatically ... hopefully Indonesia will be free of Covid at the end of this year.")</f>
        <v>The existence of PPKM ... Indonesia has gradually dropped dramatically ... hopefully Indonesia will be free of Covid at the end of this year.</v>
      </c>
    </row>
    <row r="7548" ht="15.75" customHeight="1">
      <c r="A7548" s="2">
        <v>7551.0</v>
      </c>
      <c r="B7548" s="5" t="s">
        <v>13820</v>
      </c>
      <c r="C7548" s="6">
        <v>2.0</v>
      </c>
      <c r="D7548" s="9" t="s">
        <v>13821</v>
      </c>
      <c r="E7548" s="8" t="str">
        <f>IFERROR(__xludf.DUMMYFUNCTION("googletranslate(D7548,""id"",""en"")"),"Since the PPKM work system Shift2an, enter the clock. Except Saturday. Hang out in the locker.")</f>
        <v>Since the PPKM work system Shift2an, enter the clock. Except Saturday. Hang out in the locker.</v>
      </c>
    </row>
    <row r="7549" ht="15.75" customHeight="1">
      <c r="A7549" s="2">
        <v>7552.0</v>
      </c>
      <c r="B7549" s="5" t="s">
        <v>13822</v>
      </c>
      <c r="C7549" s="6">
        <v>2.0</v>
      </c>
      <c r="D7549" s="7" t="s">
        <v>13823</v>
      </c>
      <c r="E7549" s="8" t="str">
        <f>IFERROR(__xludf.DUMMYFUNCTION("googletranslate(D7549,""id"",""en"")"),"I like PPKM but don't use PP")</f>
        <v>I like PPKM but don't use PP</v>
      </c>
    </row>
    <row r="7550" ht="15.75" customHeight="1">
      <c r="A7550" s="2">
        <v>7553.0</v>
      </c>
      <c r="B7550" s="5" t="s">
        <v>13824</v>
      </c>
      <c r="C7550" s="6">
        <v>1.0</v>
      </c>
      <c r="D7550" s="9" t="s">
        <v>13825</v>
      </c>
      <c r="E7550" s="8" t="str">
        <f>IFERROR(__xludf.DUMMYFUNCTION("googletranslate(D7550,""id"",""en"")"),"Ppkm when finished, long old crazy gw")</f>
        <v>Ppkm when finished, long old crazy gw</v>
      </c>
    </row>
    <row r="7551" ht="15.75" customHeight="1">
      <c r="A7551" s="2">
        <v>7554.0</v>
      </c>
      <c r="B7551" s="5" t="s">
        <v>13826</v>
      </c>
      <c r="C7551" s="6">
        <v>1.0</v>
      </c>
      <c r="D7551" s="9" t="s">
        <v>13827</v>
      </c>
      <c r="E7551" s="8" t="str">
        <f>IFERROR(__xludf.DUMMYFUNCTION("googletranslate(D7551,""id"",""en"")"),"Mah august is bangbarongan or not? (Jabar Regional Arts) There is no more PPKEdah Year without August's celebration ... because of the Covid Gelo")</f>
        <v>Mah august is bangbarongan or not? (Jabar Regional Arts) There is no more PPKEdah Year without August's celebration ... because of the Covid Gelo</v>
      </c>
    </row>
    <row r="7552" ht="15.75" customHeight="1">
      <c r="A7552" s="2">
        <v>7555.0</v>
      </c>
      <c r="B7552" s="5" t="s">
        <v>13828</v>
      </c>
      <c r="C7552" s="6">
        <v>2.0</v>
      </c>
      <c r="D7552" s="7" t="s">
        <v>13829</v>
      </c>
      <c r="E7552" s="8" t="str">
        <f>IFERROR(__xludf.DUMMYFUNCTION("googletranslate(D7552,""id"",""en"")"),"again ppkm can't be noisy")</f>
        <v>again ppkm can't be noisy</v>
      </c>
    </row>
    <row r="7553" ht="15.75" customHeight="1">
      <c r="A7553" s="2">
        <v>7556.0</v>
      </c>
      <c r="B7553" s="5" t="s">
        <v>13830</v>
      </c>
      <c r="C7553" s="6">
        <v>2.0</v>
      </c>
      <c r="D7553" s="9" t="s">
        <v>13831</v>
      </c>
      <c r="E7553" s="8" t="str">
        <f>IFERROR(__xludf.DUMMYFUNCTION("googletranslate(D7553,""id"",""en"")"),"because the ppkm trs a ozone has jarrang kna pollution ...")</f>
        <v>because the ppkm trs a ozone has jarrang kna pollution ...</v>
      </c>
    </row>
    <row r="7554" ht="15.75" customHeight="1">
      <c r="A7554" s="2">
        <v>7557.0</v>
      </c>
      <c r="B7554" s="5" t="s">
        <v>13832</v>
      </c>
      <c r="C7554" s="6">
        <v>2.0</v>
      </c>
      <c r="D7554" s="9" t="s">
        <v>13832</v>
      </c>
      <c r="E7554" s="8" t="str">
        <f>IFERROR(__xludf.DUMMYFUNCTION("googletranslate(D7554,""id"",""en"")"),"PPKM in the long per length prevents the crowd but the crowd does not mean the crowd, because the crowd is only done by a group of people who gathered that the crowd, Lieur is Ngabixana OGE")</f>
        <v>PPKM in the long per length prevents the crowd but the crowd does not mean the crowd, because the crowd is only done by a group of people who gathered that the crowd, Lieur is Ngabixana OGE</v>
      </c>
    </row>
    <row r="7555" ht="15.75" customHeight="1">
      <c r="A7555" s="2">
        <v>7558.0</v>
      </c>
      <c r="B7555" s="5" t="s">
        <v>13833</v>
      </c>
      <c r="C7555" s="6">
        <v>2.0</v>
      </c>
      <c r="D7555" s="7" t="s">
        <v>13834</v>
      </c>
      <c r="E7555" s="8" t="str">
        <f>IFERROR(__xludf.DUMMYFUNCTION("googletranslate(D7555,""id"",""en"")"),"finished the ppkm huh?")</f>
        <v>finished the ppkm huh?</v>
      </c>
    </row>
    <row r="7556" ht="15.75" customHeight="1">
      <c r="A7556" s="2">
        <v>7559.0</v>
      </c>
      <c r="B7556" s="5" t="s">
        <v>13835</v>
      </c>
      <c r="C7556" s="6">
        <v>1.0</v>
      </c>
      <c r="D7556" s="7" t="s">
        <v>13836</v>
      </c>
      <c r="E7556" s="8" t="str">
        <f>IFERROR(__xludf.DUMMYFUNCTION("googletranslate(D7556,""id"",""en"")"),"It turns out that the PPKM has never ended")</f>
        <v>It turns out that the PPKM has never ended</v>
      </c>
    </row>
    <row r="7557" ht="15.75" customHeight="1">
      <c r="A7557" s="2">
        <v>7560.0</v>
      </c>
      <c r="B7557" s="5" t="s">
        <v>13837</v>
      </c>
      <c r="C7557" s="6">
        <v>2.0</v>
      </c>
      <c r="D7557" s="7" t="s">
        <v>13838</v>
      </c>
      <c r="E7557" s="8" t="str">
        <f>IFERROR(__xludf.DUMMYFUNCTION("googletranslate(D7557,""id"",""en"")"),"The pandemic is not PPKM quarantine")</f>
        <v>The pandemic is not PPKM quarantine</v>
      </c>
    </row>
    <row r="7558" ht="15.75" customHeight="1">
      <c r="A7558" s="2">
        <v>7561.0</v>
      </c>
      <c r="B7558" s="5" t="s">
        <v>13839</v>
      </c>
      <c r="C7558" s="6">
        <v>1.0</v>
      </c>
      <c r="D7558" s="7" t="s">
        <v>13840</v>
      </c>
      <c r="E7558" s="8" t="str">
        <f>IFERROR(__xludf.DUMMYFUNCTION("googletranslate(D7558,""id"",""en"")"),"During the PPKM, it feels like it doesn't have any friends? Ga gather, it doesn't hang out together, can't hahahihi gossip etc.")</f>
        <v>During the PPKM, it feels like it doesn't have any friends? Ga gather, it doesn't hang out together, can't hahahihi gossip etc.</v>
      </c>
    </row>
    <row r="7559" ht="15.75" customHeight="1">
      <c r="A7559" s="2">
        <v>7562.0</v>
      </c>
      <c r="B7559" s="5" t="s">
        <v>13841</v>
      </c>
      <c r="C7559" s="6">
        <v>1.0</v>
      </c>
      <c r="D7559" s="7" t="s">
        <v>13842</v>
      </c>
      <c r="E7559" s="8" t="str">
        <f>IFERROR(__xludf.DUMMYFUNCTION("googletranslate(D7559,""id"",""en"")"),"just taekook or what's the arrangement don't really have the snails of the sob tokopedia but it's just dong ppkm, it's just a money [ga ppkm, it's just a money of heu]")</f>
        <v>just taekook or what's the arrangement don't really have the snails of the sob tokopedia but it's just dong ppkm, it's just a money [ga ppkm, it's just a money of heu]</v>
      </c>
    </row>
    <row r="7560" ht="15.75" customHeight="1">
      <c r="A7560" s="2">
        <v>7563.0</v>
      </c>
      <c r="B7560" s="5" t="s">
        <v>13843</v>
      </c>
      <c r="C7560" s="6">
        <v>2.0</v>
      </c>
      <c r="D7560" s="7" t="s">
        <v>13844</v>
      </c>
      <c r="E7560" s="8" t="str">
        <f>IFERROR(__xludf.DUMMYFUNCTION("googletranslate(D7560,""id"",""en"")"),"PPKM version of Mak Erot")</f>
        <v>PPKM version of Mak Erot</v>
      </c>
    </row>
    <row r="7561" ht="15.75" customHeight="1">
      <c r="A7561" s="2">
        <v>7564.0</v>
      </c>
      <c r="B7561" s="5" t="s">
        <v>13845</v>
      </c>
      <c r="C7561" s="6">
        <v>1.0</v>
      </c>
      <c r="D7561" s="7" t="s">
        <v>13845</v>
      </c>
      <c r="E7561" s="8" t="str">
        <f>IFERROR(__xludf.DUMMYFUNCTION("googletranslate(D7561,""id"",""en"")"),"Yesterday through Gileee Puputan Rame really the crowd using sports tools in Puputan. Kone PPKM?")</f>
        <v>Yesterday through Gileee Puputan Rame really the crowd using sports tools in Puputan. Kone PPKM?</v>
      </c>
    </row>
    <row r="7562" ht="15.75" customHeight="1">
      <c r="A7562" s="2">
        <v>7565.0</v>
      </c>
      <c r="B7562" s="5" t="s">
        <v>13846</v>
      </c>
      <c r="C7562" s="6">
        <v>2.0</v>
      </c>
      <c r="D7562" s="7" t="s">
        <v>13847</v>
      </c>
      <c r="E7562" s="8" t="str">
        <f>IFERROR(__xludf.DUMMYFUNCTION("googletranslate(D7562,""id"",""en"")"),"Ppkm (slowly slowly stretchy) the power off capsule gingger, diet amandiet convenientnnnno ngemill can not change size clothes Sayy")</f>
        <v>Ppkm (slowly slowly stretchy) the power off capsule gingger, diet amandiet convenientnnnno ngemill can not change size clothes Sayy</v>
      </c>
    </row>
    <row r="7563" ht="15.75" customHeight="1">
      <c r="A7563" s="2">
        <v>7566.0</v>
      </c>
      <c r="B7563" s="5" t="s">
        <v>13848</v>
      </c>
      <c r="C7563" s="6">
        <v>3.0</v>
      </c>
      <c r="D7563" s="7" t="s">
        <v>13849</v>
      </c>
      <c r="E7563" s="8" t="str">
        <f>IFERROR(__xludf.DUMMYFUNCTION("googletranslate(D7563,""id"",""en"")"),"When you eat asan bakmi too. There is still a nerapin Covid Prames PPKM.")</f>
        <v>When you eat asan bakmi too. There is still a nerapin Covid Prames PPKM.</v>
      </c>
    </row>
    <row r="7564" ht="15.75" customHeight="1">
      <c r="A7564" s="2">
        <v>7567.0</v>
      </c>
      <c r="B7564" s="5" t="s">
        <v>13850</v>
      </c>
      <c r="C7564" s="6">
        <v>1.0</v>
      </c>
      <c r="D7564" s="10" t="s">
        <v>13851</v>
      </c>
      <c r="E7564" s="8" t="str">
        <f>IFERROR(__xludf.DUMMYFUNCTION("googletranslate(D7564,""id"",""en"")"),"Anjrit PPKM.")</f>
        <v>Anjrit PPKM.</v>
      </c>
    </row>
    <row r="7565" ht="15.75" customHeight="1">
      <c r="A7565" s="2">
        <v>7568.0</v>
      </c>
      <c r="B7565" s="5" t="s">
        <v>13852</v>
      </c>
      <c r="C7565" s="6">
        <v>1.0</v>
      </c>
      <c r="D7565" s="7" t="s">
        <v>13853</v>
      </c>
      <c r="E7565" s="8" t="str">
        <f>IFERROR(__xludf.DUMMYFUNCTION("googletranslate(D7565,""id"",""en"")"),"Pen really htapnnnnn ppkm when it's just")</f>
        <v>Pen really htapnnnnn ppkm when it's just</v>
      </c>
    </row>
    <row r="7566" ht="15.75" customHeight="1">
      <c r="A7566" s="2">
        <v>7569.0</v>
      </c>
      <c r="B7566" s="5" t="s">
        <v>13854</v>
      </c>
      <c r="C7566" s="6">
        <v>2.0</v>
      </c>
      <c r="D7566" s="7" t="s">
        <v>13854</v>
      </c>
      <c r="E7566" s="8" t="str">
        <f>IFERROR(__xludf.DUMMYFUNCTION("googletranslate(D7566,""id"",""en"")"),"PPKM extended until Arsenal stopped singing.")</f>
        <v>PPKM extended until Arsenal stopped singing.</v>
      </c>
    </row>
    <row r="7567" ht="15.75" customHeight="1">
      <c r="A7567" s="2">
        <v>7570.0</v>
      </c>
      <c r="B7567" s="5" t="s">
        <v>13855</v>
      </c>
      <c r="C7567" s="6">
        <v>3.0</v>
      </c>
      <c r="D7567" s="7" t="s">
        <v>13856</v>
      </c>
      <c r="E7567" s="8" t="str">
        <f>IFERROR(__xludf.DUMMYFUNCTION("googletranslate(D7567,""id"",""en"")"),"Hehehe ... the implementation of the PPKM is actually all of us, so that this virus is not developed, and this applies the world not only Indonesia. If you want to quickly meet the angel yes free SJ")</f>
        <v>Hehehe ... the implementation of the PPKM is actually all of us, so that this virus is not developed, and this applies the world not only Indonesia. If you want to quickly meet the angel yes free SJ</v>
      </c>
    </row>
    <row r="7568" ht="15.75" customHeight="1">
      <c r="A7568" s="2">
        <v>7571.0</v>
      </c>
      <c r="B7568" s="5" t="s">
        <v>13857</v>
      </c>
      <c r="C7568" s="6">
        <v>2.0</v>
      </c>
      <c r="D7568" s="7" t="s">
        <v>13858</v>
      </c>
      <c r="E7568" s="8" t="str">
        <f>IFERROR(__xludf.DUMMYFUNCTION("googletranslate(D7568,""id"",""en"")"),"PPKM (Papa, you want to get married)?")</f>
        <v>PPKM (Papa, you want to get married)?</v>
      </c>
    </row>
    <row r="7569" ht="15.75" customHeight="1">
      <c r="A7569" s="2">
        <v>7572.0</v>
      </c>
      <c r="B7569" s="5" t="s">
        <v>13859</v>
      </c>
      <c r="C7569" s="6">
        <v>1.0</v>
      </c>
      <c r="D7569" s="9" t="s">
        <v>13860</v>
      </c>
      <c r="E7569" s="8" t="str">
        <f>IFERROR(__xludf.DUMMYFUNCTION("googletranslate(D7569,""id"",""en"")"),"Dude's call for the brother of winning the sovereignty of the state, but if you still let Chinese TKA go to PPKM, this tongue is called with ...")</f>
        <v>Dude's call for the brother of winning the sovereignty of the state, but if you still let Chinese TKA go to PPKM, this tongue is called with ...</v>
      </c>
    </row>
    <row r="7570" ht="15.75" customHeight="1">
      <c r="A7570" s="2">
        <v>7573.0</v>
      </c>
      <c r="B7570" s="5" t="s">
        <v>13861</v>
      </c>
      <c r="C7570" s="6">
        <v>2.0</v>
      </c>
      <c r="D7570" s="9" t="s">
        <v>13862</v>
      </c>
      <c r="E7570" s="8" t="str">
        <f>IFERROR(__xludf.DUMMYFUNCTION("googletranslate(D7570,""id"",""en"")"),"Too long PPKM, Indonesia needs a vacation ... ""Like or Dislike""")</f>
        <v>Too long PPKM, Indonesia needs a vacation ... "Like or Dislike"</v>
      </c>
    </row>
    <row r="7571" ht="15.75" customHeight="1">
      <c r="A7571" s="2">
        <v>7574.0</v>
      </c>
      <c r="B7571" s="5" t="s">
        <v>13863</v>
      </c>
      <c r="C7571" s="6">
        <v>1.0</v>
      </c>
      <c r="D7571" s="9" t="s">
        <v>13864</v>
      </c>
      <c r="E7571" s="8" t="str">
        <f>IFERROR(__xludf.DUMMYFUNCTION("googletranslate(D7571,""id"",""en"")"),"Uda speechless and g understand again the people who have been hit, trs the family struggled junior high school died and just recovering was still arrived in gymnastics during the ppkm gini.Pengen asked it d palem tee what did you have a sense of worry or"&amp;" gt?")</f>
        <v>Uda speechless and g understand again the people who have been hit, trs the family struggled junior high school died and just recovering was still arrived in gymnastics during the ppkm gini.Pengen asked it d palem tee what did you have a sense of worry or gt?</v>
      </c>
    </row>
    <row r="7572" ht="15.75" customHeight="1">
      <c r="A7572" s="2">
        <v>7575.0</v>
      </c>
      <c r="B7572" s="5" t="s">
        <v>13865</v>
      </c>
      <c r="C7572" s="6">
        <v>2.0</v>
      </c>
      <c r="D7572" s="10" t="s">
        <v>13865</v>
      </c>
      <c r="E7572" s="8" t="str">
        <f>IFERROR(__xludf.DUMMYFUNCTION("googletranslate(D7572,""id"",""en"")"),"Still PPKM.")</f>
        <v>Still PPKM.</v>
      </c>
    </row>
    <row r="7573" ht="15.75" customHeight="1">
      <c r="A7573" s="2">
        <v>7576.0</v>
      </c>
      <c r="B7573" s="5" t="s">
        <v>13866</v>
      </c>
      <c r="C7573" s="6">
        <v>1.0</v>
      </c>
      <c r="D7573" s="9" t="s">
        <v>13867</v>
      </c>
      <c r="E7573" s="8" t="str">
        <f>IFERROR(__xludf.DUMMYFUNCTION("googletranslate(D7573,""id"",""en"")"),"It is very proud to be a citizen, for this covid handling, I am not satisfied because it doesn't think too much about the need for people's lives affected during the PPKM enactment.")</f>
        <v>It is very proud to be a citizen, for this covid handling, I am not satisfied because it doesn't think too much about the need for people's lives affected during the PPKM enactment.</v>
      </c>
    </row>
    <row r="7574" ht="15.75" customHeight="1">
      <c r="A7574" s="2">
        <v>7577.0</v>
      </c>
      <c r="B7574" s="5" t="s">
        <v>13868</v>
      </c>
      <c r="C7574" s="6">
        <v>2.0</v>
      </c>
      <c r="D7574" s="7" t="s">
        <v>13868</v>
      </c>
      <c r="E7574" s="8" t="str">
        <f>IFERROR(__xludf.DUMMYFUNCTION("googletranslate(D7574,""id"",""en"")"),"But PPKM is extended again, Gaes, hahahahhaaa")</f>
        <v>But PPKM is extended again, Gaes, hahahahhaaa</v>
      </c>
    </row>
    <row r="7575" ht="15.75" customHeight="1">
      <c r="A7575" s="2">
        <v>7578.0</v>
      </c>
      <c r="B7575" s="5" t="s">
        <v>13869</v>
      </c>
      <c r="C7575" s="6">
        <v>1.0</v>
      </c>
      <c r="D7575" s="7" t="s">
        <v>13870</v>
      </c>
      <c r="E7575" s="8" t="str">
        <f>IFERROR(__xludf.DUMMYFUNCTION("googletranslate(D7575,""id"",""en"")"),"For the PCR test, the people are obliged, Covid-19 is getting crazy, the People's PPKM is not mentioned to eat n D to be search for it yourself but can't be effort. Where are you trillions?")</f>
        <v>For the PCR test, the people are obliged, Covid-19 is getting crazy, the People's PPKM is not mentioned to eat n D to be search for it yourself but can't be effort. Where are you trillions?</v>
      </c>
    </row>
    <row r="7576" ht="15.75" customHeight="1">
      <c r="A7576" s="2">
        <v>7579.0</v>
      </c>
      <c r="B7576" s="5" t="s">
        <v>13871</v>
      </c>
      <c r="C7576" s="6">
        <v>2.0</v>
      </c>
      <c r="D7576" s="9" t="s">
        <v>13871</v>
      </c>
      <c r="E7576" s="8" t="str">
        <f>IFERROR(__xludf.DUMMYFUNCTION("googletranslate(D7576,""id"",""en"")"),"make a long holiday if it's still ppkm")</f>
        <v>make a long holiday if it's still ppkm</v>
      </c>
    </row>
    <row r="7577" ht="15.75" customHeight="1">
      <c r="A7577" s="2">
        <v>7580.0</v>
      </c>
      <c r="B7577" s="5" t="s">
        <v>13872</v>
      </c>
      <c r="C7577" s="6">
        <v>1.0</v>
      </c>
      <c r="D7577" s="9" t="s">
        <v>13873</v>
      </c>
      <c r="E7577" s="8" t="str">
        <f>IFERROR(__xludf.DUMMYFUNCTION("googletranslate(D7577,""id"",""en"")"),"If it's not wrong, the birthday party title in Bekasi is right again PPKM ... CMIIW")</f>
        <v>If it's not wrong, the birthday party title in Bekasi is right again PPKM ... CMIIW</v>
      </c>
    </row>
    <row r="7578" ht="15.75" customHeight="1">
      <c r="A7578" s="2">
        <v>7581.0</v>
      </c>
      <c r="B7578" s="5" t="s">
        <v>13874</v>
      </c>
      <c r="C7578" s="6">
        <v>1.0</v>
      </c>
      <c r="D7578" s="9" t="s">
        <v>13875</v>
      </c>
      <c r="E7578" s="8" t="str">
        <f>IFERROR(__xludf.DUMMYFUNCTION("googletranslate(D7578,""id"",""en"")"),"My dream of PPKM finished bangsead, aing tired of ngelumut continues at home.")</f>
        <v>My dream of PPKM finished bangsead, aing tired of ngelumut continues at home.</v>
      </c>
    </row>
    <row r="7579" ht="15.75" customHeight="1">
      <c r="A7579" s="2">
        <v>7582.0</v>
      </c>
      <c r="B7579" s="5" t="s">
        <v>13876</v>
      </c>
      <c r="C7579" s="6">
        <v>2.0</v>
      </c>
      <c r="D7579" s="7" t="s">
        <v>13877</v>
      </c>
      <c r="E7579" s="8" t="str">
        <f>IFERROR(__xludf.DUMMYFUNCTION("googletranslate(D7579,""id"",""en"")"),"Gara2 Corona + PPKM, W Felt Seue W Who was extroverted to be introverted")</f>
        <v>Gara2 Corona + PPKM, W Felt Seue W Who was extroverted to be introverted</v>
      </c>
    </row>
    <row r="7580" ht="15.75" customHeight="1">
      <c r="A7580" s="2">
        <v>7583.0</v>
      </c>
      <c r="B7580" s="5" t="s">
        <v>13878</v>
      </c>
      <c r="C7580" s="6">
        <v>2.0</v>
      </c>
      <c r="D7580" s="7" t="s">
        <v>13879</v>
      </c>
      <c r="E7580" s="8" t="str">
        <f>IFERROR(__xludf.DUMMYFUNCTION("googletranslate(D7580,""id"",""en"")"),"But again ppkm kak")</f>
        <v>But again ppkm kak</v>
      </c>
    </row>
    <row r="7581" ht="15.75" customHeight="1">
      <c r="A7581" s="2">
        <v>7584.0</v>
      </c>
      <c r="B7581" s="5" t="s">
        <v>13880</v>
      </c>
      <c r="C7581" s="6">
        <v>1.0</v>
      </c>
      <c r="D7581" s="7" t="s">
        <v>13881</v>
      </c>
      <c r="E7581" s="8" t="str">
        <f>IFERROR(__xludf.DUMMYFUNCTION("googletranslate(D7581,""id"",""en"")"),"ppkm gini many bgt bansos programs. happy there are many who get help, but the brush body manages this and it works on holidays anyway -_-")</f>
        <v>ppkm gini many bgt bansos programs. happy there are many who get help, but the brush body manages this and it works on holidays anyway -_-</v>
      </c>
    </row>
    <row r="7582" ht="15.75" customHeight="1">
      <c r="A7582" s="2">
        <v>7585.0</v>
      </c>
      <c r="B7582" s="5" t="s">
        <v>13882</v>
      </c>
      <c r="C7582" s="6">
        <v>2.0</v>
      </c>
      <c r="D7582" s="9" t="s">
        <v>13882</v>
      </c>
      <c r="E7582" s="8" t="str">
        <f>IFERROR(__xludf.DUMMYFUNCTION("googletranslate(D7582,""id"",""en"")"),"If my rum, dkt dkt daerh stu doesn't need to smp it waited for finished ppkm. The problem is far from mampang: "")")</f>
        <v>If my rum, dkt dkt daerh stu doesn't need to smp it waited for finished ppkm. The problem is far from mampang: ")</v>
      </c>
    </row>
    <row r="7583" ht="15.75" customHeight="1">
      <c r="A7583" s="2">
        <v>7586.0</v>
      </c>
      <c r="B7583" s="5" t="s">
        <v>13883</v>
      </c>
      <c r="C7583" s="6">
        <v>2.0</v>
      </c>
      <c r="D7583" s="9" t="s">
        <v>13884</v>
      </c>
      <c r="E7583" s="8" t="str">
        <f>IFERROR(__xludf.DUMMYFUNCTION("googletranslate(D7583,""id"",""en"")"),"iyaaa we together get there so I miss there it's fun that I'm the photoin (before PPKM = fitting PSBB)")</f>
        <v>iyaaa we together get there so I miss there it's fun that I'm the photoin (before PPKM = fitting PSBB)</v>
      </c>
    </row>
    <row r="7584" ht="15.75" customHeight="1">
      <c r="A7584" s="2">
        <v>7587.0</v>
      </c>
      <c r="B7584" s="5" t="s">
        <v>13885</v>
      </c>
      <c r="C7584" s="6">
        <v>1.0</v>
      </c>
      <c r="D7584" s="7" t="s">
        <v>13885</v>
      </c>
      <c r="E7584" s="8" t="str">
        <f>IFERROR(__xludf.DUMMYFUNCTION("googletranslate(D7584,""id"",""en"")"),"For FTV, but the doom extend PPKM to, Stress Yaallah Gustii.")</f>
        <v>For FTV, but the doom extend PPKM to, Stress Yaallah Gustii.</v>
      </c>
    </row>
    <row r="7585" ht="15.75" customHeight="1">
      <c r="A7585" s="2">
        <v>7588.0</v>
      </c>
      <c r="B7585" s="5" t="s">
        <v>13886</v>
      </c>
      <c r="C7585" s="6">
        <v>2.0</v>
      </c>
      <c r="D7585" s="9" t="s">
        <v>13886</v>
      </c>
      <c r="E7585" s="8" t="str">
        <f>IFERROR(__xludf.DUMMYFUNCTION("googletranslate(D7585,""id"",""en"")"),"If the ppkm is not extended the first tmpt you want to get the market. Dri Krmn in Sharein The Video Mulu Jdi Pngn Buy Snack / Drink")</f>
        <v>If the ppkm is not extended the first tmpt you want to get the market. Dri Krmn in Sharein The Video Mulu Jdi Pngn Buy Snack / Drink</v>
      </c>
    </row>
    <row r="7586" ht="15.75" customHeight="1">
      <c r="A7586" s="2">
        <v>7589.0</v>
      </c>
      <c r="B7586" s="5" t="s">
        <v>13887</v>
      </c>
      <c r="C7586" s="6">
        <v>2.0</v>
      </c>
      <c r="D7586" s="7" t="s">
        <v>13888</v>
      </c>
      <c r="E7586" s="8" t="str">
        <f>IFERROR(__xludf.DUMMYFUNCTION("googletranslate(D7586,""id"",""en"")"),"Yes ppkm there is a gr of the case goes up ... go up trs ... hopefully the ppkm level is not rich in wafer tang0")</f>
        <v>Yes ppkm there is a gr of the case goes up ... go up trs ... hopefully the ppkm level is not rich in wafer tang0</v>
      </c>
    </row>
    <row r="7587" ht="15.75" customHeight="1">
      <c r="A7587" s="2">
        <v>7590.0</v>
      </c>
      <c r="B7587" s="5" t="s">
        <v>13889</v>
      </c>
      <c r="C7587" s="6">
        <v>1.0</v>
      </c>
      <c r="D7587" s="9" t="s">
        <v>13890</v>
      </c>
      <c r="E7587" s="8" t="str">
        <f>IFERROR(__xludf.DUMMYFUNCTION("googletranslate(D7587,""id"",""en"")"),"For example, PPKM, make a difficult money like this. Soul poly price please reduce the price")</f>
        <v>For example, PPKM, make a difficult money like this. Soul poly price please reduce the price</v>
      </c>
    </row>
    <row r="7588" ht="15.75" customHeight="1">
      <c r="A7588" s="2">
        <v>7591.0</v>
      </c>
      <c r="B7588" s="5" t="s">
        <v>13891</v>
      </c>
      <c r="C7588" s="6">
        <v>1.0</v>
      </c>
      <c r="D7588" s="7" t="s">
        <v>13892</v>
      </c>
      <c r="E7588" s="8" t="str">
        <f>IFERROR(__xludf.DUMMYFUNCTION("googletranslate(D7588,""id"",""en"")"),"PPKM = Disconnect of opinions and community criticism ...")</f>
        <v>PPKM = Disconnect of opinions and community criticism ...</v>
      </c>
    </row>
    <row r="7589" ht="15.75" customHeight="1">
      <c r="A7589" s="2">
        <v>7592.0</v>
      </c>
      <c r="B7589" s="5" t="s">
        <v>13893</v>
      </c>
      <c r="C7589" s="6">
        <v>1.0</v>
      </c>
      <c r="D7589" s="7" t="s">
        <v>13894</v>
      </c>
      <c r="E7589" s="8" t="str">
        <f>IFERROR(__xludf.DUMMYFUNCTION("googletranslate(D7589,""id"",""en"")"),"Yeah kang, ppkm d extends so it can't be krumunan..dia mlah for krumanunan ... hadeuuhhhh ...")</f>
        <v>Yeah kang, ppkm d extends so it can't be krumunan..dia mlah for krumanunan ... hadeuuhhhh ...</v>
      </c>
    </row>
    <row r="7590" ht="15.75" customHeight="1">
      <c r="A7590" s="2">
        <v>7593.0</v>
      </c>
      <c r="B7590" s="5" t="s">
        <v>13895</v>
      </c>
      <c r="C7590" s="6">
        <v>2.0</v>
      </c>
      <c r="D7590" s="7" t="s">
        <v>13896</v>
      </c>
      <c r="E7590" s="8" t="str">
        <f>IFERROR(__xludf.DUMMYFUNCTION("googletranslate(D7590,""id"",""en"")"),"Already Sis Alma just at home. Kan again PPKM")</f>
        <v>Already Sis Alma just at home. Kan again PPKM</v>
      </c>
    </row>
    <row r="7591" ht="15.75" customHeight="1">
      <c r="A7591" s="2">
        <v>7594.0</v>
      </c>
      <c r="B7591" s="5" t="s">
        <v>13897</v>
      </c>
      <c r="C7591" s="6">
        <v>1.0</v>
      </c>
      <c r="D7591" s="7" t="s">
        <v>13898</v>
      </c>
      <c r="E7591" s="8" t="str">
        <f>IFERROR(__xludf.DUMMYFUNCTION("googletranslate(D7591,""id"",""en"")"),"What is still allowing to enter China in PPKM all Satan ...")</f>
        <v>What is still allowing to enter China in PPKM all Satan ...</v>
      </c>
    </row>
    <row r="7592" ht="15.75" customHeight="1">
      <c r="A7592" s="2">
        <v>7595.0</v>
      </c>
      <c r="B7592" s="5" t="s">
        <v>13899</v>
      </c>
      <c r="C7592" s="6">
        <v>1.0</v>
      </c>
      <c r="D7592" s="7" t="s">
        <v>13900</v>
      </c>
      <c r="E7592" s="8" t="str">
        <f>IFERROR(__xludf.DUMMYFUNCTION("googletranslate(D7592,""id"",""en"")"),"Ppkm = opinion and criticism of society")</f>
        <v>Ppkm = opinion and criticism of society</v>
      </c>
    </row>
    <row r="7593" ht="15.75" customHeight="1">
      <c r="A7593" s="2">
        <v>7596.0</v>
      </c>
      <c r="B7593" s="5" t="s">
        <v>13901</v>
      </c>
      <c r="C7593" s="6">
        <v>1.0</v>
      </c>
      <c r="D7593" s="7" t="s">
        <v>13902</v>
      </c>
      <c r="E7593" s="8" t="str">
        <f>IFERROR(__xludf.DUMMYFUNCTION("googletranslate(D7593,""id"",""en"")"),"Paper paint at the time of the people suffered in the same ppkm isoman,")</f>
        <v>Paper paint at the time of the people suffered in the same ppkm isoman,</v>
      </c>
    </row>
    <row r="7594" ht="15.75" customHeight="1">
      <c r="A7594" s="2">
        <v>7597.0</v>
      </c>
      <c r="B7594" s="5" t="s">
        <v>13903</v>
      </c>
      <c r="C7594" s="6">
        <v>1.0</v>
      </c>
      <c r="D7594" s="7" t="s">
        <v>13903</v>
      </c>
      <c r="E7594" s="8" t="str">
        <f>IFERROR(__xludf.DUMMYFUNCTION("googletranslate(D7594,""id"",""en"")"),"Already there are rules of underage children can't get on a plane, you know in the PPKM period, how come it's still ngeyel")</f>
        <v>Already there are rules of underage children can't get on a plane, you know in the PPKM period, how come it's still ngeyel</v>
      </c>
    </row>
    <row r="7595" ht="15.75" customHeight="1">
      <c r="A7595" s="2">
        <v>7598.0</v>
      </c>
      <c r="B7595" s="5" t="s">
        <v>13904</v>
      </c>
      <c r="C7595" s="6">
        <v>1.0</v>
      </c>
      <c r="D7595" s="7" t="s">
        <v>13905</v>
      </c>
      <c r="E7595" s="8" t="str">
        <f>IFERROR(__xludf.DUMMYFUNCTION("googletranslate(D7595,""id"",""en"")"),"Positive wewgara2 was told by ppkmgara2 ppkm instead became positive piye jal ???")</f>
        <v>Positive wewgara2 was told by ppkmgara2 ppkm instead became positive piye jal ???</v>
      </c>
    </row>
    <row r="7596" ht="15.75" customHeight="1">
      <c r="A7596" s="2">
        <v>7599.0</v>
      </c>
      <c r="B7596" s="5" t="s">
        <v>13906</v>
      </c>
      <c r="C7596" s="6">
        <v>2.0</v>
      </c>
      <c r="D7596" s="7" t="s">
        <v>13906</v>
      </c>
      <c r="E7596" s="8" t="str">
        <f>IFERROR(__xludf.DUMMYFUNCTION("googletranslate(D7596,""id"",""en"")"),"Because again PPKM, I have to maintain the body's humiliation")</f>
        <v>Because again PPKM, I have to maintain the body's humiliation</v>
      </c>
    </row>
    <row r="7597" ht="15.75" customHeight="1">
      <c r="A7597" s="2">
        <v>7600.0</v>
      </c>
      <c r="B7597" s="5" t="s">
        <v>13907</v>
      </c>
      <c r="C7597" s="6">
        <v>2.0</v>
      </c>
      <c r="D7597" s="7" t="s">
        <v>13908</v>
      </c>
      <c r="E7597" s="8" t="str">
        <f>IFERROR(__xludf.DUMMYFUNCTION("googletranslate(D7597,""id"",""en"")"),"But still PPKM")</f>
        <v>But still PPKM</v>
      </c>
    </row>
    <row r="7598" ht="15.75" customHeight="1">
      <c r="A7598" s="2">
        <v>7601.0</v>
      </c>
      <c r="B7598" s="5" t="s">
        <v>13909</v>
      </c>
      <c r="C7598" s="6">
        <v>1.0</v>
      </c>
      <c r="D7598" s="7" t="s">
        <v>13910</v>
      </c>
      <c r="E7598" s="8" t="str">
        <f>IFERROR(__xludf.DUMMYFUNCTION("googletranslate(D7598,""id"",""en"")"),"Though weird AJ sliding holidays in the PPKM period. ..g jg no krj krj kntr, pd wfh, school jg online. Don't think I use a brain. JLS ... this shows that Islam is weak in Muslim majority countries. Trm ksh bang he wants us.")</f>
        <v>Though weird AJ sliding holidays in the PPKM period. ..g jg no krj krj kntr, pd wfh, school jg online. Don't think I use a brain. JLS ... this shows that Islam is weak in Muslim majority countries. Trm ksh bang he wants us.</v>
      </c>
    </row>
    <row r="7599" ht="15.75" customHeight="1">
      <c r="A7599" s="2">
        <v>7602.0</v>
      </c>
      <c r="B7599" s="5" t="s">
        <v>13911</v>
      </c>
      <c r="C7599" s="6">
        <v>1.0</v>
      </c>
      <c r="D7599" s="9" t="s">
        <v>13912</v>
      </c>
      <c r="E7599" s="8" t="str">
        <f>IFERROR(__xludf.DUMMYFUNCTION("googletranslate(D7599,""id"",""en"")"),"Ppkm euy ngepain out if it's not important")</f>
        <v>Ppkm euy ngepain out if it's not important</v>
      </c>
    </row>
    <row r="7600" ht="15.75" customHeight="1">
      <c r="A7600" s="2">
        <v>7603.0</v>
      </c>
      <c r="B7600" s="5" t="s">
        <v>13913</v>
      </c>
      <c r="C7600" s="6">
        <v>2.0</v>
      </c>
      <c r="D7600" s="7" t="s">
        <v>13914</v>
      </c>
      <c r="E7600" s="8" t="str">
        <f>IFERROR(__xludf.DUMMYFUNCTION("googletranslate(D7600,""id"",""en"")"),"Ppkm to when? Until the end closed his eyes.")</f>
        <v>Ppkm to when? Until the end closed his eyes.</v>
      </c>
    </row>
    <row r="7601" ht="15.75" customHeight="1">
      <c r="A7601" s="2">
        <v>7604.0</v>
      </c>
      <c r="B7601" s="5" t="s">
        <v>13915</v>
      </c>
      <c r="C7601" s="6">
        <v>2.0</v>
      </c>
      <c r="D7601" s="7" t="s">
        <v>13916</v>
      </c>
      <c r="E7601" s="8" t="str">
        <f>IFERROR(__xludf.DUMMYFUNCTION("googletranslate(D7601,""id"",""en"")"),"info on ppkm stock, bro")</f>
        <v>info on ppkm stock, bro</v>
      </c>
    </row>
    <row r="7602" ht="15.75" customHeight="1">
      <c r="A7602" s="2">
        <v>7605.0</v>
      </c>
      <c r="B7602" s="5" t="s">
        <v>13917</v>
      </c>
      <c r="C7602" s="6">
        <v>2.0</v>
      </c>
      <c r="D7602" s="10" t="s">
        <v>13918</v>
      </c>
      <c r="E7602" s="8" t="str">
        <f>IFERROR(__xludf.DUMMYFUNCTION("googletranslate(D7602,""id"",""en"")"),"PPKM Mbakkk.")</f>
        <v>PPKM Mbakkk.</v>
      </c>
    </row>
    <row r="7603" ht="15.75" customHeight="1">
      <c r="A7603" s="2">
        <v>7606.0</v>
      </c>
      <c r="B7603" s="5" t="s">
        <v>13919</v>
      </c>
      <c r="C7603" s="6">
        <v>2.0</v>
      </c>
      <c r="D7603" s="7" t="s">
        <v>13920</v>
      </c>
      <c r="E7603" s="8" t="str">
        <f>IFERROR(__xludf.DUMMYFUNCTION("googletranslate(D7603,""id"",""en"")"),"Hihi ok kaaa but I think it's not closed, the first time the first PPKM was closed rich in SKH so that I have a little bit.")</f>
        <v>Hihi ok kaaa but I think it's not closed, the first time the first PPKM was closed rich in SKH so that I have a little bit.</v>
      </c>
    </row>
    <row r="7604" ht="15.75" customHeight="1">
      <c r="A7604" s="2">
        <v>7607.0</v>
      </c>
      <c r="B7604" s="5" t="s">
        <v>13921</v>
      </c>
      <c r="C7604" s="6">
        <v>3.0</v>
      </c>
      <c r="D7604" s="9" t="s">
        <v>13922</v>
      </c>
      <c r="E7604" s="8" t="str">
        <f>IFERROR(__xludf.DUMMYFUNCTION("googletranslate(D7604,""id"",""en"")"),"If clustered, while PPKM is forbidden to use a health protocol. Masy needs to know this covid emergency ban for Masy's salvation as well. The party may be postponed first. Marriage Shah if Aqad. And can be done with only witnesses and both parents each")</f>
        <v>If clustered, while PPKM is forbidden to use a health protocol. Masy needs to know this covid emergency ban for Masy's salvation as well. The party may be postponed first. Marriage Shah if Aqad. And can be done with only witnesses and both parents each</v>
      </c>
    </row>
    <row r="7605" ht="15.75" customHeight="1">
      <c r="A7605" s="2">
        <v>7608.0</v>
      </c>
      <c r="B7605" s="5" t="s">
        <v>13923</v>
      </c>
      <c r="C7605" s="6">
        <v>2.0</v>
      </c>
      <c r="D7605" s="10" t="s">
        <v>13923</v>
      </c>
      <c r="E7605" s="8" t="str">
        <f>IFERROR(__xludf.DUMMYFUNCTION("googletranslate(D7605,""id"",""en"")"),"PPKM applies")</f>
        <v>PPKM applies</v>
      </c>
    </row>
    <row r="7606" ht="15.75" customHeight="1">
      <c r="A7606" s="2">
        <v>7609.0</v>
      </c>
      <c r="B7606" s="5" t="s">
        <v>13924</v>
      </c>
      <c r="C7606" s="6">
        <v>2.0</v>
      </c>
      <c r="D7606" s="9" t="s">
        <v>13925</v>
      </c>
      <c r="E7606" s="8" t="str">
        <f>IFERROR(__xludf.DUMMYFUNCTION("googletranslate(D7606,""id"",""en"")"),"I don't want to extend the jomblomu if the government extends the ppkm ahahahah")</f>
        <v>I don't want to extend the jomblomu if the government extends the ppkm ahahahah</v>
      </c>
    </row>
    <row r="7607" ht="15.75" customHeight="1">
      <c r="A7607" s="2">
        <v>7610.0</v>
      </c>
      <c r="B7607" s="5" t="s">
        <v>13926</v>
      </c>
      <c r="C7607" s="6">
        <v>1.0</v>
      </c>
      <c r="D7607" s="7" t="s">
        <v>13927</v>
      </c>
      <c r="E7607" s="8" t="str">
        <f>IFERROR(__xludf.DUMMYFUNCTION("googletranslate(D7607,""id"",""en"")"),"PPKM is made erratic, has a sloping makes the intelligent crowd try")</f>
        <v>PPKM is made erratic, has a sloping makes the intelligent crowd try</v>
      </c>
    </row>
    <row r="7608" ht="15.75" customHeight="1">
      <c r="A7608" s="2">
        <v>7611.0</v>
      </c>
      <c r="B7608" s="5" t="s">
        <v>13928</v>
      </c>
      <c r="C7608" s="6">
        <v>1.0</v>
      </c>
      <c r="D7608" s="7" t="s">
        <v>13928</v>
      </c>
      <c r="E7608" s="8" t="str">
        <f>IFERROR(__xludf.DUMMYFUNCTION("googletranslate(D7608,""id"",""en"")"),"PPKM is very effective in breaking the chain of spread of sustenance.")</f>
        <v>PPKM is very effective in breaking the chain of spread of sustenance.</v>
      </c>
    </row>
    <row r="7609" ht="15.75" customHeight="1">
      <c r="A7609" s="2">
        <v>7612.0</v>
      </c>
      <c r="B7609" s="5" t="s">
        <v>13929</v>
      </c>
      <c r="C7609" s="6">
        <v>2.0</v>
      </c>
      <c r="D7609" s="9" t="s">
        <v>13930</v>
      </c>
      <c r="E7609" s="8" t="str">
        <f>IFERROR(__xludf.DUMMYFUNCTION("googletranslate(D7609,""id"",""en"")"),"So remember my new friend's marriage. Already dp building and everything, suddenly PPKM. So they are just blessings with salvation events at the house like the guests come home and then go home to bring food. So doang.")</f>
        <v>So remember my new friend's marriage. Already dp building and everything, suddenly PPKM. So they are just blessings with salvation events at the house like the guests come home and then go home to bring food. So doang.</v>
      </c>
    </row>
    <row r="7610" ht="15.75" customHeight="1">
      <c r="A7610" s="2">
        <v>7613.0</v>
      </c>
      <c r="B7610" s="5" t="s">
        <v>13931</v>
      </c>
      <c r="C7610" s="6">
        <v>1.0</v>
      </c>
      <c r="D7610" s="7" t="s">
        <v>13932</v>
      </c>
      <c r="E7610" s="8" t="str">
        <f>IFERROR(__xludf.DUMMYFUNCTION("googletranslate(D7610,""id"",""en"")"),"Make what PPKM Level-4 is extended. If your own mukidi print the crowd. Which brain")</f>
        <v>Make what PPKM Level-4 is extended. If your own mukidi print the crowd. Which brain</v>
      </c>
    </row>
    <row r="7611" ht="15.75" customHeight="1">
      <c r="A7611" s="2">
        <v>7614.0</v>
      </c>
      <c r="B7611" s="5" t="s">
        <v>13933</v>
      </c>
      <c r="C7611" s="6">
        <v>1.0</v>
      </c>
      <c r="D7611" s="7" t="s">
        <v>13934</v>
      </c>
      <c r="E7611" s="8" t="str">
        <f>IFERROR(__xludf.DUMMYFUNCTION("googletranslate(D7611,""id"",""en"")"),"I'll sell you to know the uncle cman tags survive monthly because of the ppkm of volumes to be quiet")</f>
        <v>I'll sell you to know the uncle cman tags survive monthly because of the ppkm of volumes to be quiet</v>
      </c>
    </row>
    <row r="7612" ht="15.75" customHeight="1">
      <c r="A7612" s="2">
        <v>7615.0</v>
      </c>
      <c r="B7612" s="5" t="s">
        <v>13935</v>
      </c>
      <c r="C7612" s="6">
        <v>2.0</v>
      </c>
      <c r="D7612" s="7" t="s">
        <v>13936</v>
      </c>
      <c r="E7612" s="8" t="str">
        <f>IFERROR(__xludf.DUMMYFUNCTION("googletranslate(D7612,""id"",""en"")"),"CityLink and Lion Air, I have to be dealt with because of facilitating PPKM violations")</f>
        <v>CityLink and Lion Air, I have to be dealt with because of facilitating PPKM violations</v>
      </c>
    </row>
    <row r="7613" ht="15.75" customHeight="1">
      <c r="A7613" s="2">
        <v>7616.0</v>
      </c>
      <c r="B7613" s="5" t="s">
        <v>13937</v>
      </c>
      <c r="C7613" s="6">
        <v>1.0</v>
      </c>
      <c r="D7613" s="7" t="s">
        <v>13938</v>
      </c>
      <c r="E7613" s="8" t="str">
        <f>IFERROR(__xludf.DUMMYFUNCTION("googletranslate(D7613,""id"",""en"")"),"it's not a strong PPKM sir, his efforts slumped")</f>
        <v>it's not a strong PPKM sir, his efforts slumped</v>
      </c>
    </row>
    <row r="7614" ht="15.75" customHeight="1">
      <c r="A7614" s="2">
        <v>7617.0</v>
      </c>
      <c r="B7614" s="5" t="s">
        <v>13939</v>
      </c>
      <c r="C7614" s="6">
        <v>1.0</v>
      </c>
      <c r="D7614" s="7" t="s">
        <v>13940</v>
      </c>
      <c r="E7614" s="8" t="str">
        <f>IFERROR(__xludf.DUMMYFUNCTION("googletranslate(D7614,""id"",""en"")"),"In the midst of the people's pandemic all struggling against Covid19 AdatV which will broadcast out the show like what do you do it? What is the education of what the benefits are what the urgency for the TV viewer said the artist is normal, the example o"&amp;"f the wagiran &amp; amp; Wagirin Mo Mo Rame2 canceled because of respecting the PPKM")</f>
        <v>In the midst of the people's pandemic all struggling against Covid19 AdatV which will broadcast out the show like what do you do it? What is the education of what the benefits are what the urgency for the TV viewer said the artist is normal, the example of the wagiran &amp; amp; Wagirin Mo Mo Rame2 canceled because of respecting the PPKM</v>
      </c>
    </row>
    <row r="7615" ht="15.75" customHeight="1">
      <c r="A7615" s="2">
        <v>7618.0</v>
      </c>
      <c r="B7615" s="5" t="s">
        <v>13941</v>
      </c>
      <c r="C7615" s="6">
        <v>1.0</v>
      </c>
      <c r="D7615" s="7" t="s">
        <v>13942</v>
      </c>
      <c r="E7615" s="8" t="str">
        <f>IFERROR(__xludf.DUMMYFUNCTION("googletranslate(D7615,""id"",""en"")"),"This is one of the examples we are helpless by China, at the time of the People's PPKM told to obey and obediently but in China it remains in and not prohibited even though it has been made by the regulation by Menkumham all the workers are prohibited fro"&amp;"m entering but in fact ... so this regulation is sickening")</f>
        <v>This is one of the examples we are helpless by China, at the time of the People's PPKM told to obey and obediently but in China it remains in and not prohibited even though it has been made by the regulation by Menkumham all the workers are prohibited from entering but in fact ... so this regulation is sickening</v>
      </c>
    </row>
    <row r="7616" ht="15.75" customHeight="1">
      <c r="A7616" s="2">
        <v>7619.0</v>
      </c>
      <c r="B7616" s="5" t="s">
        <v>13943</v>
      </c>
      <c r="C7616" s="6">
        <v>2.0</v>
      </c>
      <c r="D7616" s="7" t="s">
        <v>13944</v>
      </c>
      <c r="E7616" s="8" t="str">
        <f>IFERROR(__xludf.DUMMYFUNCTION("googletranslate(D7616,""id"",""en"")"),"Talking for PPKM Yu.")</f>
        <v>Talking for PPKM Yu.</v>
      </c>
    </row>
    <row r="7617" ht="15.75" customHeight="1">
      <c r="A7617" s="2">
        <v>7620.0</v>
      </c>
      <c r="B7617" s="5" t="s">
        <v>13945</v>
      </c>
      <c r="C7617" s="6">
        <v>2.0</v>
      </c>
      <c r="D7617" s="7" t="s">
        <v>13946</v>
      </c>
      <c r="E7617" s="8" t="str">
        <f>IFERROR(__xludf.DUMMYFUNCTION("googletranslate(D7617,""id"",""en"")"),"Holidays have arrived, holidays have arrived ... but ppkm ...")</f>
        <v>Holidays have arrived, holidays have arrived ... but ppkm ...</v>
      </c>
    </row>
    <row r="7618" ht="15.75" customHeight="1">
      <c r="A7618" s="2">
        <v>7621.0</v>
      </c>
      <c r="B7618" s="5" t="s">
        <v>13947</v>
      </c>
      <c r="C7618" s="6">
        <v>2.0</v>
      </c>
      <c r="D7618" s="7" t="s">
        <v>13947</v>
      </c>
      <c r="E7618" s="8" t="str">
        <f>IFERROR(__xludf.DUMMYFUNCTION("googletranslate(D7618,""id"",""en"")"),"PPKM closes what time")</f>
        <v>PPKM closes what time</v>
      </c>
    </row>
    <row r="7619" ht="15.75" customHeight="1">
      <c r="A7619" s="2">
        <v>7622.0</v>
      </c>
      <c r="B7619" s="5" t="s">
        <v>13948</v>
      </c>
      <c r="C7619" s="6">
        <v>2.0</v>
      </c>
      <c r="D7619" s="7" t="s">
        <v>13949</v>
      </c>
      <c r="E7619" s="8" t="str">
        <f>IFERROR(__xludf.DUMMYFUNCTION("googletranslate(D7619,""id"",""en"")"),"Yukkk PPKM is reluctant, because myself is very highly needed cool air")</f>
        <v>Yukkk PPKM is reluctant, because myself is very highly needed cool air</v>
      </c>
    </row>
    <row r="7620" ht="15.75" customHeight="1">
      <c r="A7620" s="2">
        <v>7623.0</v>
      </c>
      <c r="B7620" s="5" t="s">
        <v>13950</v>
      </c>
      <c r="C7620" s="6">
        <v>1.0</v>
      </c>
      <c r="D7620" s="7" t="s">
        <v>13951</v>
      </c>
      <c r="E7620" s="8" t="str">
        <f>IFERROR(__xludf.DUMMYFUNCTION("googletranslate(D7620,""id"",""en"")"),"Which arbitrary conflicting Rwkyat with PPKM, requiring a vaccine as this dysrat but the stock of the vaccine Eibayk Tempts run out, the people of the people gathered, sunbathing and the Ujung2x could not vaccine.")</f>
        <v>Which arbitrary conflicting Rwkyat with PPKM, requiring a vaccine as this dysrat but the stock of the vaccine Eibayk Tempts run out, the people of the people gathered, sunbathing and the Ujung2x could not vaccine.</v>
      </c>
    </row>
    <row r="7621" ht="15.75" customHeight="1">
      <c r="A7621" s="2">
        <v>7624.0</v>
      </c>
      <c r="B7621" s="5" t="s">
        <v>13952</v>
      </c>
      <c r="C7621" s="6">
        <v>1.0</v>
      </c>
      <c r="D7621" s="9" t="s">
        <v>13953</v>
      </c>
      <c r="E7621" s="8" t="str">
        <f>IFERROR(__xludf.DUMMYFUNCTION("googletranslate(D7621,""id"",""en"")"),"reverse the money I woi astagaih the heart is really the one who nipuuu must think of the ppkm, I have to pay the boarding house")</f>
        <v>reverse the money I woi astagaih the heart is really the one who nipuuu must think of the ppkm, I have to pay the boarding house</v>
      </c>
    </row>
    <row r="7622" ht="15.75" customHeight="1">
      <c r="A7622" s="2">
        <v>7625.0</v>
      </c>
      <c r="B7622" s="5" t="s">
        <v>13954</v>
      </c>
      <c r="C7622" s="6">
        <v>2.0</v>
      </c>
      <c r="D7622" s="7" t="s">
        <v>13955</v>
      </c>
      <c r="E7622" s="8" t="str">
        <f>IFERROR(__xludf.DUMMYFUNCTION("googletranslate(D7622,""id"",""en"")"),"Wkwkwk because of the PPKM")</f>
        <v>Wkwkwk because of the PPKM</v>
      </c>
    </row>
    <row r="7623" ht="15.75" customHeight="1">
      <c r="A7623" s="2">
        <v>7626.0</v>
      </c>
      <c r="B7623" s="5" t="s">
        <v>13956</v>
      </c>
      <c r="C7623" s="6">
        <v>1.0</v>
      </c>
      <c r="D7623" s="7" t="s">
        <v>13957</v>
      </c>
      <c r="E7623" s="8" t="str">
        <f>IFERROR(__xludf.DUMMYFUNCTION("googletranslate(D7623,""id"",""en"")"),"When the government is busy with Covid19, the people are grown by fear, the PPKM is imposed everywhere, they are actually koplak!")</f>
        <v>When the government is busy with Covid19, the people are grown by fear, the PPKM is imposed everywhere, they are actually koplak!</v>
      </c>
    </row>
    <row r="7624" ht="15.75" customHeight="1">
      <c r="A7624" s="2">
        <v>7627.0</v>
      </c>
      <c r="B7624" s="5" t="s">
        <v>13958</v>
      </c>
      <c r="C7624" s="6">
        <v>1.0</v>
      </c>
      <c r="D7624" s="7" t="s">
        <v>13959</v>
      </c>
      <c r="E7624" s="8" t="str">
        <f>IFERROR(__xludf.DUMMYFUNCTION("googletranslate(D7624,""id"",""en"")"),"Why is the billboards of politicians not used for the PPKM affected society?")</f>
        <v>Why is the billboards of politicians not used for the PPKM affected society?</v>
      </c>
    </row>
    <row r="7625" ht="15.75" customHeight="1">
      <c r="A7625" s="2">
        <v>7628.0</v>
      </c>
      <c r="B7625" s="5" t="s">
        <v>13960</v>
      </c>
      <c r="C7625" s="6">
        <v>2.0</v>
      </c>
      <c r="D7625" s="7" t="s">
        <v>13960</v>
      </c>
      <c r="E7625" s="8" t="str">
        <f>IFERROR(__xludf.DUMMYFUNCTION("googletranslate(D7625,""id"",""en"")"),"After the PPKM rises rain.")</f>
        <v>After the PPKM rises rain.</v>
      </c>
    </row>
    <row r="7626" ht="15.75" customHeight="1">
      <c r="A7626" s="2">
        <v>7629.0</v>
      </c>
      <c r="B7626" s="5" t="s">
        <v>13961</v>
      </c>
      <c r="C7626" s="6">
        <v>1.0</v>
      </c>
      <c r="D7626" s="7" t="s">
        <v>13962</v>
      </c>
      <c r="E7626" s="8" t="str">
        <f>IFERROR(__xludf.DUMMYFUNCTION("googletranslate(D7626,""id"",""en"")"),"PPKM is a volume disbanding the road due to the task of Mr. RT taken Mukidi .... !!!")</f>
        <v>PPKM is a volume disbanding the road due to the task of Mr. RT taken Mukidi .... !!!</v>
      </c>
    </row>
    <row r="7627" ht="15.75" customHeight="1">
      <c r="A7627" s="2">
        <v>7630.0</v>
      </c>
      <c r="B7627" s="5" t="s">
        <v>13963</v>
      </c>
      <c r="C7627" s="6">
        <v>3.0</v>
      </c>
      <c r="D7627" s="9" t="s">
        <v>13964</v>
      </c>
      <c r="E7627" s="8" t="str">
        <f>IFERROR(__xludf.DUMMYFUNCTION("googletranslate(D7627,""id"",""en"")"),"How can it be that it can be said to be said to be ""reconcile"" with Covid, it is precisely there they are the high echoes of the prokes and the vaccination numbers, so they can be free from lockdown, PSBB, or PPKM")</f>
        <v>How can it be that it can be said to be said to be "reconcile" with Covid, it is precisely there they are the high echoes of the prokes and the vaccination numbers, so they can be free from lockdown, PSBB, or PPKM</v>
      </c>
    </row>
    <row r="7628" ht="15.75" customHeight="1">
      <c r="A7628" s="2">
        <v>7631.0</v>
      </c>
      <c r="B7628" s="5" t="s">
        <v>13965</v>
      </c>
      <c r="C7628" s="6">
        <v>1.0</v>
      </c>
      <c r="D7628" s="7" t="s">
        <v>13966</v>
      </c>
      <c r="E7628" s="8" t="str">
        <f>IFERROR(__xludf.DUMMYFUNCTION("googletranslate(D7628,""id"",""en"")"),"means the PPKM effect is unemployed ??")</f>
        <v>means the PPKM effect is unemployed ??</v>
      </c>
    </row>
    <row r="7629" ht="15.75" customHeight="1">
      <c r="A7629" s="2">
        <v>7632.0</v>
      </c>
      <c r="B7629" s="5" t="s">
        <v>13967</v>
      </c>
      <c r="C7629" s="6">
        <v>2.0</v>
      </c>
      <c r="D7629" s="7" t="s">
        <v>13967</v>
      </c>
      <c r="E7629" s="8" t="str">
        <f>IFERROR(__xludf.DUMMYFUNCTION("googletranslate(D7629,""id"",""en"")"),"PPKM extended to Arsenal champions")</f>
        <v>PPKM extended to Arsenal champions</v>
      </c>
    </row>
    <row r="7630" ht="15.75" customHeight="1">
      <c r="A7630" s="2">
        <v>7633.0</v>
      </c>
      <c r="B7630" s="5" t="s">
        <v>13968</v>
      </c>
      <c r="C7630" s="6">
        <v>2.0</v>
      </c>
      <c r="D7630" s="9" t="s">
        <v>13969</v>
      </c>
      <c r="E7630" s="8" t="str">
        <f>IFERROR(__xludf.DUMMYFUNCTION("googletranslate(D7630,""id"",""en"")"),"Zabar PPKM must have passed WKWKWK")</f>
        <v>Zabar PPKM must have passed WKWKWK</v>
      </c>
    </row>
    <row r="7631" ht="15.75" customHeight="1">
      <c r="A7631" s="2">
        <v>7634.0</v>
      </c>
      <c r="B7631" s="5" t="s">
        <v>13970</v>
      </c>
      <c r="C7631" s="6">
        <v>1.0</v>
      </c>
      <c r="D7631" s="7" t="s">
        <v>13971</v>
      </c>
      <c r="E7631" s="8" t="str">
        <f>IFERROR(__xludf.DUMMYFUNCTION("googletranslate(D7631,""id"",""en"")"),""".. PPKM regulation is not clear blah blah blah .."" Yes according to L ??")</f>
        <v>".. PPKM regulation is not clear blah blah blah .." Yes according to L ??</v>
      </c>
    </row>
    <row r="7632" ht="15.75" customHeight="1">
      <c r="A7632" s="2">
        <v>7635.0</v>
      </c>
      <c r="B7632" s="5" t="s">
        <v>13972</v>
      </c>
      <c r="C7632" s="6">
        <v>2.0</v>
      </c>
      <c r="D7632" s="7" t="s">
        <v>13973</v>
      </c>
      <c r="E7632" s="8" t="str">
        <f>IFERROR(__xludf.DUMMYFUNCTION("googletranslate(D7632,""id"",""en"")"),"yes, hopefully PPKM and pandemics are fast finished")</f>
        <v>yes, hopefully PPKM and pandemics are fast finished</v>
      </c>
    </row>
    <row r="7633" ht="15.75" customHeight="1">
      <c r="A7633" s="2">
        <v>7636.0</v>
      </c>
      <c r="B7633" s="5" t="s">
        <v>13974</v>
      </c>
      <c r="C7633" s="6">
        <v>1.0</v>
      </c>
      <c r="D7633" s="7" t="s">
        <v>13975</v>
      </c>
      <c r="E7633" s="8" t="str">
        <f>IFERROR(__xludf.DUMMYFUNCTION("googletranslate(D7633,""id"",""en"")"),"Close Abang. PPKM.")</f>
        <v>Close Abang. PPKM.</v>
      </c>
    </row>
    <row r="7634" ht="15.75" customHeight="1">
      <c r="A7634" s="2">
        <v>7637.0</v>
      </c>
      <c r="B7634" s="5" t="s">
        <v>13976</v>
      </c>
      <c r="C7634" s="6">
        <v>2.0</v>
      </c>
      <c r="D7634" s="9" t="s">
        <v>13977</v>
      </c>
      <c r="E7634" s="8" t="str">
        <f>IFERROR(__xludf.DUMMYFUNCTION("googletranslate(D7634,""id"",""en"")"),"Ppkm - want to hug you - and will continue ...")</f>
        <v>Ppkm - want to hug you - and will continue ...</v>
      </c>
    </row>
    <row r="7635" ht="15.75" customHeight="1">
      <c r="A7635" s="2">
        <v>7638.0</v>
      </c>
      <c r="B7635" s="5" t="s">
        <v>13978</v>
      </c>
      <c r="C7635" s="6">
        <v>3.0</v>
      </c>
      <c r="D7635" s="7" t="s">
        <v>13979</v>
      </c>
      <c r="E7635" s="8" t="str">
        <f>IFERROR(__xludf.DUMMYFUNCTION("googletranslate(D7635,""id"",""en"")"),"For high school students elected as Paskibraka, keep healthy. Don't get up to your respective regions to carry a virus. PPKM is indeed a day off, but Corona wallahu a'lam. To keep your health, sir. Don't collapse after giving a speech.")</f>
        <v>For high school students elected as Paskibraka, keep healthy. Don't get up to your respective regions to carry a virus. PPKM is indeed a day off, but Corona wallahu a'lam. To keep your health, sir. Don't collapse after giving a speech.</v>
      </c>
    </row>
    <row r="7636" ht="15.75" customHeight="1">
      <c r="A7636" s="2">
        <v>7639.0</v>
      </c>
      <c r="B7636" s="5" t="s">
        <v>13980</v>
      </c>
      <c r="C7636" s="6">
        <v>1.0</v>
      </c>
      <c r="D7636" s="9" t="s">
        <v>13980</v>
      </c>
      <c r="E7636" s="8" t="str">
        <f>IFERROR(__xludf.DUMMYFUNCTION("googletranslate(D7636,""id"",""en"")"),"I am only an apprentice in one place and it is also not effective because of the PPKM so you can only Nepis Nepis Nethink, every time I see a sometime to post a job from ABCDEFG")</f>
        <v>I am only an apprentice in one place and it is also not effective because of the PPKM so you can only Nepis Nepis Nethink, every time I see a sometime to post a job from ABCDEFG</v>
      </c>
    </row>
    <row r="7637" ht="15.75" customHeight="1">
      <c r="A7637" s="2">
        <v>7640.0</v>
      </c>
      <c r="B7637" s="5" t="s">
        <v>13981</v>
      </c>
      <c r="C7637" s="6">
        <v>2.0</v>
      </c>
      <c r="D7637" s="7" t="s">
        <v>13982</v>
      </c>
      <c r="E7637" s="8" t="str">
        <f>IFERROR(__xludf.DUMMYFUNCTION("googletranslate(D7637,""id"",""en"")"),"Dating a minute of eating fitting PPKM. Hunted down &amp; amp; Monitored.")</f>
        <v>Dating a minute of eating fitting PPKM. Hunted down &amp; amp; Monitored.</v>
      </c>
    </row>
    <row r="7638" ht="15.75" customHeight="1">
      <c r="A7638" s="2">
        <v>7641.0</v>
      </c>
      <c r="B7638" s="5" t="s">
        <v>13983</v>
      </c>
      <c r="C7638" s="6">
        <v>1.0</v>
      </c>
      <c r="D7638" s="7" t="s">
        <v>13984</v>
      </c>
      <c r="E7638" s="8" t="str">
        <f>IFERROR(__xludf.DUMMYFUNCTION("googletranslate(D7638,""id"",""en"")"),"Hi Sis, I'm sorry, I'm notified for delivery there is a delay due to PPKM, Kuy Infoin on the username with the same order number so I help check, thank you. ^ UB")</f>
        <v>Hi Sis, I'm sorry, I'm notified for delivery there is a delay due to PPKM, Kuy Infoin on the username with the same order number so I help check, thank you. ^ UB</v>
      </c>
    </row>
    <row r="7639" ht="15.75" customHeight="1">
      <c r="A7639" s="2">
        <v>7642.0</v>
      </c>
      <c r="B7639" s="5" t="s">
        <v>13985</v>
      </c>
      <c r="C7639" s="6">
        <v>2.0</v>
      </c>
      <c r="D7639" s="9" t="s">
        <v>13986</v>
      </c>
      <c r="E7639" s="8" t="str">
        <f>IFERROR(__xludf.DUMMYFUNCTION("googletranslate(D7639,""id"",""en"")"),"we have ever been in line before PPKM")</f>
        <v>we have ever been in line before PPKM</v>
      </c>
    </row>
    <row r="7640" ht="15.75" customHeight="1">
      <c r="A7640" s="2">
        <v>7643.0</v>
      </c>
      <c r="B7640" s="5" t="s">
        <v>13987</v>
      </c>
      <c r="C7640" s="6">
        <v>2.0</v>
      </c>
      <c r="D7640" s="10" t="s">
        <v>13988</v>
      </c>
      <c r="E7640" s="8" t="str">
        <f>IFERROR(__xludf.DUMMYFUNCTION("googletranslate(D7640,""id"",""en"")"),"PPKM Je.")</f>
        <v>PPKM Je.</v>
      </c>
    </row>
    <row r="7641" ht="15.75" customHeight="1">
      <c r="A7641" s="2">
        <v>7644.0</v>
      </c>
      <c r="B7641" s="5" t="s">
        <v>13989</v>
      </c>
      <c r="C7641" s="6">
        <v>1.0</v>
      </c>
      <c r="D7641" s="9" t="s">
        <v>13990</v>
      </c>
      <c r="E7641" s="8" t="str">
        <f>IFERROR(__xludf.DUMMYFUNCTION("googletranslate(D7641,""id"",""en"")"),"Salute with the Indian government that is not playing for Covid handling. Compared to the Indonesian government which only focused on the PPKM n social assistance without a PCR test policy whose price is exorbitant n very strangling the people. Pity the p"&amp;"eople are played by their advantage")</f>
        <v>Salute with the Indian government that is not playing for Covid handling. Compared to the Indonesian government which only focused on the PPKM n social assistance without a PCR test policy whose price is exorbitant n very strangling the people. Pity the people are played by their advantage</v>
      </c>
    </row>
    <row r="7642" ht="15.75" customHeight="1">
      <c r="A7642" s="2">
        <v>7645.0</v>
      </c>
      <c r="B7642" s="5" t="s">
        <v>13991</v>
      </c>
      <c r="C7642" s="6">
        <v>2.0</v>
      </c>
      <c r="D7642" s="7" t="s">
        <v>13992</v>
      </c>
      <c r="E7642" s="8" t="str">
        <f>IFERROR(__xludf.DUMMYFUNCTION("googletranslate(D7642,""id"",""en"")"),"Ppkermerean must be sadness disappear")</f>
        <v>Ppkermerean must be sadness disappear</v>
      </c>
    </row>
    <row r="7643" ht="15.75" customHeight="1">
      <c r="A7643" s="2">
        <v>7646.0</v>
      </c>
      <c r="B7643" s="5" t="s">
        <v>13993</v>
      </c>
      <c r="C7643" s="6">
        <v>2.0</v>
      </c>
      <c r="D7643" s="9" t="s">
        <v>13994</v>
      </c>
      <c r="E7643" s="8" t="str">
        <f>IFERROR(__xludf.DUMMYFUNCTION("googletranslate(D7643,""id"",""en"")"),"(Maybe) Mnrt me, SLH's only satisfaction due to the PPKM was extended by a recurring SCR. TP along with time, by starting to give it, I will, I'll belief / Satisfaction will increase by itself. (TP TTP is determined by the next government policy).")</f>
        <v>(Maybe) Mnrt me, SLH's only satisfaction due to the PPKM was extended by a recurring SCR. TP along with time, by starting to give it, I will, I'll belief / Satisfaction will increase by itself. (TP TTP is determined by the next government policy).</v>
      </c>
    </row>
    <row r="7644" ht="15.75" customHeight="1">
      <c r="A7644" s="2">
        <v>7647.0</v>
      </c>
      <c r="B7644" s="5" t="s">
        <v>13995</v>
      </c>
      <c r="C7644" s="6">
        <v>2.0</v>
      </c>
      <c r="D7644" s="7" t="s">
        <v>13996</v>
      </c>
      <c r="E7644" s="8" t="str">
        <f>IFERROR(__xludf.DUMMYFUNCTION("googletranslate(D7644,""id"",""en"")"),"Just bm, but the ppkm is extended he said")</f>
        <v>Just bm, but the ppkm is extended he said</v>
      </c>
    </row>
    <row r="7645" ht="15.75" customHeight="1">
      <c r="A7645" s="2">
        <v>7648.0</v>
      </c>
      <c r="B7645" s="5" t="s">
        <v>13997</v>
      </c>
      <c r="C7645" s="6">
        <v>1.0</v>
      </c>
      <c r="D7645" s="7" t="s">
        <v>13998</v>
      </c>
      <c r="E7645" s="8" t="str">
        <f>IFERROR(__xludf.DUMMYFUNCTION("googletranslate(D7645,""id"",""en"")"),"Again confused where the application was ""kaga there was a pisan call since the PPKM")</f>
        <v>Again confused where the application was "kaga there was a pisan call since the PPKM</v>
      </c>
    </row>
    <row r="7646" ht="15.75" customHeight="1">
      <c r="A7646" s="2">
        <v>7649.0</v>
      </c>
      <c r="B7646" s="5" t="s">
        <v>13999</v>
      </c>
      <c r="C7646" s="6">
        <v>2.0</v>
      </c>
      <c r="D7646" s="9" t="s">
        <v>14000</v>
      </c>
      <c r="E7646" s="8" t="str">
        <f>IFERROR(__xludf.DUMMYFUNCTION("googletranslate(D7646,""id"",""en"")"),"Real evidence if restrictions on population activities can reduce the rate of transmission of Covid-19. Cases in Java-Bali declined and outside Java-Bali increased. Why is it outside Java-Bali PPKM has not been successful?")</f>
        <v>Real evidence if restrictions on population activities can reduce the rate of transmission of Covid-19. Cases in Java-Bali declined and outside Java-Bali increased. Why is it outside Java-Bali PPKM has not been successful?</v>
      </c>
    </row>
    <row r="7647" ht="15.75" customHeight="1">
      <c r="A7647" s="2">
        <v>7650.0</v>
      </c>
      <c r="B7647" s="5" t="s">
        <v>14001</v>
      </c>
      <c r="C7647" s="6">
        <v>2.0</v>
      </c>
      <c r="D7647" s="9" t="s">
        <v>14002</v>
      </c>
      <c r="E7647" s="8" t="str">
        <f>IFERROR(__xludf.DUMMYFUNCTION("googletranslate(D7647,""id"",""en"")"),"He ngadin sweet bday party fitting ppkm ning, immediately attacked with neutijen. Then he made a video of the apology, I was clear again, hhh, followers of the million million")</f>
        <v>He ngadin sweet bday party fitting ppkm ning, immediately attacked with neutijen. Then he made a video of the apology, I was clear again, hhh, followers of the million million</v>
      </c>
    </row>
    <row r="7648" ht="15.75" customHeight="1">
      <c r="A7648" s="2">
        <v>7651.0</v>
      </c>
      <c r="B7648" s="5" t="s">
        <v>14003</v>
      </c>
      <c r="C7648" s="6">
        <v>1.0</v>
      </c>
      <c r="D7648" s="7" t="s">
        <v>14003</v>
      </c>
      <c r="E7648" s="8" t="str">
        <f>IFERROR(__xludf.DUMMYFUNCTION("googletranslate(D7648,""id"",""en"")"),"I agree with PPKM = slowly getting mentally hahahaha")</f>
        <v>I agree with PPKM = slowly getting mentally hahahaha</v>
      </c>
    </row>
    <row r="7649" ht="15.75" customHeight="1">
      <c r="A7649" s="2">
        <v>7652.0</v>
      </c>
      <c r="B7649" s="5" t="s">
        <v>14004</v>
      </c>
      <c r="C7649" s="6">
        <v>1.0</v>
      </c>
      <c r="D7649" s="9" t="s">
        <v>14005</v>
      </c>
      <c r="E7649" s="8" t="str">
        <f>IFERROR(__xludf.DUMMYFUNCTION("googletranslate(D7649,""id"",""en"")"),"The right thing is that the people are hungry, yes, really help. Run the Health Quarantine Law, not PPKM without collateral. Talking if hungry don't buy an easy paint. There in the executive bro")</f>
        <v>The right thing is that the people are hungry, yes, really help. Run the Health Quarantine Law, not PPKM without collateral. Talking if hungry don't buy an easy paint. There in the executive bro</v>
      </c>
    </row>
    <row r="7650" ht="15.75" customHeight="1">
      <c r="A7650" s="2">
        <v>7653.0</v>
      </c>
      <c r="B7650" s="5" t="s">
        <v>14006</v>
      </c>
      <c r="C7650" s="6">
        <v>2.0</v>
      </c>
      <c r="D7650" s="9" t="s">
        <v>14007</v>
      </c>
      <c r="E7650" s="8" t="str">
        <f>IFERROR(__xludf.DUMMYFUNCTION("googletranslate(D7650,""id"",""en"")"),"If it's late eating because of how to save expenses? Smntra still ppkm")</f>
        <v>If it's late eating because of how to save expenses? Smntra still ppkm</v>
      </c>
    </row>
    <row r="7651" ht="15.75" customHeight="1">
      <c r="A7651" s="2">
        <v>7654.0</v>
      </c>
      <c r="B7651" s="5" t="s">
        <v>14008</v>
      </c>
      <c r="C7651" s="6">
        <v>2.0</v>
      </c>
      <c r="D7651" s="7" t="s">
        <v>14009</v>
      </c>
      <c r="E7651" s="8" t="str">
        <f>IFERROR(__xludf.DUMMYFUNCTION("googletranslate(D7651,""id"",""en"")"),"Ppkm sir, assisted by the support sir")</f>
        <v>Ppkm sir, assisted by the support sir</v>
      </c>
    </row>
    <row r="7652" ht="15.75" customHeight="1">
      <c r="A7652" s="2">
        <v>7655.0</v>
      </c>
      <c r="B7652" s="5" t="s">
        <v>14010</v>
      </c>
      <c r="C7652" s="6">
        <v>2.0</v>
      </c>
      <c r="D7652" s="7" t="s">
        <v>14010</v>
      </c>
      <c r="E7652" s="8" t="str">
        <f>IFERROR(__xludf.DUMMYFUNCTION("googletranslate(D7652,""id"",""en"")"),"PPKM extended continuously.")</f>
        <v>PPKM extended continuously.</v>
      </c>
    </row>
    <row r="7653" ht="15.75" customHeight="1">
      <c r="A7653" s="2">
        <v>7656.0</v>
      </c>
      <c r="B7653" s="5" t="s">
        <v>14011</v>
      </c>
      <c r="C7653" s="6">
        <v>1.0</v>
      </c>
      <c r="D7653" s="9" t="s">
        <v>14011</v>
      </c>
      <c r="E7653" s="8" t="str">
        <f>IFERROR(__xludf.DUMMYFUNCTION("googletranslate(D7653,""id"",""en"")"),"CAPE AD is given the hrpn mulu, ga ppkm not just do it")</f>
        <v>CAPE AD is given the hrpn mulu, ga ppkm not just do it</v>
      </c>
    </row>
    <row r="7654" ht="15.75" customHeight="1">
      <c r="A7654" s="2">
        <v>7657.0</v>
      </c>
      <c r="B7654" s="5" t="s">
        <v>14012</v>
      </c>
      <c r="C7654" s="6">
        <v>1.0</v>
      </c>
      <c r="D7654" s="9" t="s">
        <v>14013</v>
      </c>
      <c r="E7654" s="8" t="str">
        <f>IFERROR(__xludf.DUMMYFUNCTION("googletranslate(D7654,""id"",""en"")"),"Want to hurry ""there is an election so that it can get a dawn attack, so you can make a business. I don't know the PPKM extended LG finally a messy business, go bankrupt and gajadi nglamar kamo, apalanekokcinta")</f>
        <v>Want to hurry "there is an election so that it can get a dawn attack, so you can make a business. I don't know the PPKM extended LG finally a messy business, go bankrupt and gajadi nglamar kamo, apalanekokcinta</v>
      </c>
    </row>
    <row r="7655" ht="15.75" customHeight="1">
      <c r="A7655" s="2">
        <v>7658.0</v>
      </c>
      <c r="B7655" s="5" t="s">
        <v>14014</v>
      </c>
      <c r="C7655" s="6">
        <v>2.0</v>
      </c>
      <c r="D7655" s="7" t="s">
        <v>14014</v>
      </c>
      <c r="E7655" s="8" t="str">
        <f>IFERROR(__xludf.DUMMYFUNCTION("googletranslate(D7655,""id"",""en"")"),"Couple Session After PPKM Yuk")</f>
        <v>Couple Session After PPKM Yuk</v>
      </c>
    </row>
    <row r="7656" ht="15.75" customHeight="1">
      <c r="A7656" s="2">
        <v>7659.0</v>
      </c>
      <c r="B7656" s="5" t="s">
        <v>14015</v>
      </c>
      <c r="C7656" s="6">
        <v>1.0</v>
      </c>
      <c r="D7656" s="12" t="s">
        <v>14016</v>
      </c>
      <c r="E7656" s="8" t="str">
        <f>IFERROR(__xludf.DUMMYFUNCTION("googletranslate(D7656,""id"",""en"")"),"Halp Level PPKM.")</f>
        <v>Halp Level PPKM.</v>
      </c>
    </row>
    <row r="7657" ht="15.75" customHeight="1">
      <c r="A7657" s="2">
        <v>7660.0</v>
      </c>
      <c r="B7657" s="5" t="s">
        <v>14017</v>
      </c>
      <c r="C7657" s="6">
        <v>2.0</v>
      </c>
      <c r="D7657" s="9" t="s">
        <v>14018</v>
      </c>
      <c r="E7657" s="8" t="str">
        <f>IFERROR(__xludf.DUMMYFUNCTION("googletranslate(D7657,""id"",""en"")"),"It doesn't feel like it's often kissing my own bad breath ...")</f>
        <v>It doesn't feel like it's often kissing my own bad breath ...</v>
      </c>
    </row>
    <row r="7658" ht="15.75" customHeight="1">
      <c r="A7658" s="2">
        <v>7661.0</v>
      </c>
      <c r="B7658" s="5" t="s">
        <v>14019</v>
      </c>
      <c r="C7658" s="6">
        <v>2.0</v>
      </c>
      <c r="D7658" s="9" t="s">
        <v>14020</v>
      </c>
      <c r="E7658" s="8" t="str">
        <f>IFERROR(__xludf.DUMMYFUNCTION("googletranslate(D7658,""id"",""en"")"),"Again PPKM Kok Salaman, broken by the existing PP Satpol PP.")</f>
        <v>Again PPKM Kok Salaman, broken by the existing PP Satpol PP.</v>
      </c>
    </row>
    <row r="7659" ht="15.75" customHeight="1">
      <c r="A7659" s="2">
        <v>7662.0</v>
      </c>
      <c r="B7659" s="5" t="s">
        <v>14021</v>
      </c>
      <c r="C7659" s="6">
        <v>2.0</v>
      </c>
      <c r="D7659" s="7" t="s">
        <v>14022</v>
      </c>
      <c r="E7659" s="8" t="str">
        <f>IFERROR(__xludf.DUMMYFUNCTION("googletranslate(D7659,""id"",""en"")"),"I want it. Only LG PPKM Period So Gabisa Meet For Palanya Bahot")</f>
        <v>I want it. Only LG PPKM Period So Gabisa Meet For Palanya Bahot</v>
      </c>
    </row>
    <row r="7660" ht="15.75" customHeight="1">
      <c r="A7660" s="2">
        <v>7663.0</v>
      </c>
      <c r="B7660" s="5" t="s">
        <v>14023</v>
      </c>
      <c r="C7660" s="6">
        <v>1.0</v>
      </c>
      <c r="D7660" s="9" t="s">
        <v>14023</v>
      </c>
      <c r="E7660" s="8" t="str">
        <f>IFERROR(__xludf.DUMMYFUNCTION("googletranslate(D7660,""id"",""en"")"),"Why with Indonesia? Schools are closed to the impact on the quality of the nation's successor students, whether the PPKM continues to update and the vaccine is still not enough?, Maybe there might be another intention of government officials? Or is it jus"&amp;"t me who still doesn't understand enough?")</f>
        <v>Why with Indonesia? Schools are closed to the impact on the quality of the nation's successor students, whether the PPKM continues to update and the vaccine is still not enough?, Maybe there might be another intention of government officials? Or is it just me who still doesn't understand enough?</v>
      </c>
    </row>
    <row r="7661" ht="15.75" customHeight="1">
      <c r="A7661" s="2">
        <v>7664.0</v>
      </c>
      <c r="B7661" s="5" t="s">
        <v>14024</v>
      </c>
      <c r="C7661" s="6">
        <v>1.0</v>
      </c>
      <c r="D7661" s="10" t="s">
        <v>14025</v>
      </c>
      <c r="E7661" s="8" t="str">
        <f>IFERROR(__xludf.DUMMYFUNCTION("googletranslate(D7661,""id"",""en"")"),"PPKM Bodor.")</f>
        <v>PPKM Bodor.</v>
      </c>
    </row>
    <row r="7662" ht="15.75" customHeight="1">
      <c r="A7662" s="2">
        <v>7665.0</v>
      </c>
      <c r="B7662" s="5" t="s">
        <v>14026</v>
      </c>
      <c r="C7662" s="6">
        <v>1.0</v>
      </c>
      <c r="D7662" s="9" t="s">
        <v>14026</v>
      </c>
      <c r="E7662" s="8" t="str">
        <f>IFERROR(__xludf.DUMMYFUNCTION("googletranslate(D7662,""id"",""en"")"),"Why on Julidin Ibas Dah, Julidin Mah Policy Pemrenta Noh. Gajelas is really, long PPKM mulu but it doesn't livelihood.")</f>
        <v>Why on Julidin Ibas Dah, Julidin Mah Policy Pemrenta Noh. Gajelas is really, long PPKM mulu but it doesn't livelihood.</v>
      </c>
    </row>
    <row r="7663" ht="15.75" customHeight="1">
      <c r="A7663" s="2">
        <v>7666.0</v>
      </c>
      <c r="B7663" s="5" t="s">
        <v>14027</v>
      </c>
      <c r="C7663" s="6">
        <v>1.0</v>
      </c>
      <c r="D7663" s="9" t="s">
        <v>14028</v>
      </c>
      <c r="E7663" s="8" t="str">
        <f>IFERROR(__xludf.DUMMYFUNCTION("googletranslate(D7663,""id"",""en"")"),"Severe original, just like at home because of PPKM but it is cape and stress. It's imagine if there are people up there who can relax it doesn't think tomorrow you want to eat what or pay monthly bills.")</f>
        <v>Severe original, just like at home because of PPKM but it is cape and stress. It's imagine if there are people up there who can relax it doesn't think tomorrow you want to eat what or pay monthly bills.</v>
      </c>
    </row>
    <row r="7664" ht="15.75" customHeight="1">
      <c r="A7664" s="2">
        <v>7667.0</v>
      </c>
      <c r="B7664" s="5" t="s">
        <v>14029</v>
      </c>
      <c r="C7664" s="6">
        <v>2.0</v>
      </c>
      <c r="D7664" s="7" t="s">
        <v>14030</v>
      </c>
      <c r="E7664" s="8" t="str">
        <f>IFERROR(__xludf.DUMMYFUNCTION("googletranslate(D7664,""id"",""en"")"),"Wait for the PPKM complete!")</f>
        <v>Wait for the PPKM complete!</v>
      </c>
    </row>
    <row r="7665" ht="15.75" customHeight="1">
      <c r="A7665" s="2">
        <v>7668.0</v>
      </c>
      <c r="B7665" s="5" t="s">
        <v>14031</v>
      </c>
      <c r="C7665" s="6">
        <v>1.0</v>
      </c>
      <c r="D7665" s="9" t="s">
        <v>14032</v>
      </c>
      <c r="E7665" s="8" t="str">
        <f>IFERROR(__xludf.DUMMYFUNCTION("googletranslate(D7665,""id"",""en"")"),"Maybe there will be a moment where the status of the covid-19 pandemic is revoked who. However, Indonesia is still busy testing, tracing, bathing data, fighting for vaccines and PPKM (if the name is not changed again).")</f>
        <v>Maybe there will be a moment where the status of the covid-19 pandemic is revoked who. However, Indonesia is still busy testing, tracing, bathing data, fighting for vaccines and PPKM (if the name is not changed again).</v>
      </c>
    </row>
    <row r="7666" ht="15.75" customHeight="1">
      <c r="A7666" s="2">
        <v>7669.0</v>
      </c>
      <c r="B7666" s="5" t="s">
        <v>14033</v>
      </c>
      <c r="C7666" s="6">
        <v>2.0</v>
      </c>
      <c r="D7666" s="7" t="s">
        <v>14033</v>
      </c>
      <c r="E7666" s="8" t="str">
        <f>IFERROR(__xludf.DUMMYFUNCTION("googletranslate(D7666,""id"",""en"")"),"Want to watch betweenes but again ppkm hmmm")</f>
        <v>Want to watch betweenes but again ppkm hmmm</v>
      </c>
    </row>
    <row r="7667" ht="15.75" customHeight="1">
      <c r="A7667" s="2">
        <v>7670.0</v>
      </c>
      <c r="B7667" s="5" t="s">
        <v>14034</v>
      </c>
      <c r="C7667" s="6">
        <v>2.0</v>
      </c>
      <c r="D7667" s="9" t="s">
        <v>14035</v>
      </c>
      <c r="E7667" s="8" t="str">
        <f>IFERROR(__xludf.DUMMYFUNCTION("googletranslate(D7667,""id"",""en"")"),"I'm a sembako gift, a gift version of PPKM")</f>
        <v>I'm a sembako gift, a gift version of PPKM</v>
      </c>
    </row>
    <row r="7668" ht="15.75" customHeight="1">
      <c r="A7668" s="2">
        <v>7671.0</v>
      </c>
      <c r="B7668" s="5" t="s">
        <v>14036</v>
      </c>
      <c r="C7668" s="6">
        <v>1.0</v>
      </c>
      <c r="D7668" s="9" t="s">
        <v>14037</v>
      </c>
      <c r="E7668" s="8" t="str">
        <f>IFERROR(__xludf.DUMMYFUNCTION("googletranslate(D7668,""id"",""en"")"),"Crazy ki effect on the boarding house because it works mulu because the ppkm is extended continuously this is so it happens")</f>
        <v>Crazy ki effect on the boarding house because it works mulu because the ppkm is extended continuously this is so it happens</v>
      </c>
    </row>
    <row r="7669" ht="15.75" customHeight="1">
      <c r="A7669" s="2">
        <v>7672.0</v>
      </c>
      <c r="B7669" s="5" t="s">
        <v>14038</v>
      </c>
      <c r="C7669" s="6">
        <v>2.0</v>
      </c>
      <c r="D7669" s="7" t="s">
        <v>14039</v>
      </c>
      <c r="E7669" s="8" t="str">
        <f>IFERROR(__xludf.DUMMYFUNCTION("googletranslate(D7669,""id"",""en"")"),"ntr Abis ppkm yes, tell mama")</f>
        <v>ntr Abis ppkm yes, tell mama</v>
      </c>
    </row>
    <row r="7670" ht="15.75" customHeight="1">
      <c r="A7670" s="2">
        <v>7673.0</v>
      </c>
      <c r="B7670" s="5" t="s">
        <v>14040</v>
      </c>
      <c r="C7670" s="6">
        <v>1.0</v>
      </c>
      <c r="D7670" s="7" t="s">
        <v>14041</v>
      </c>
      <c r="E7670" s="8" t="str">
        <f>IFERROR(__xludf.DUMMYFUNCTION("googletranslate(D7670,""id"",""en"")"),"But after PSBB and PPKM attack, everything changes: """)</f>
        <v>But after PSBB and PPKM attack, everything changes: "</v>
      </c>
    </row>
    <row r="7671" ht="15.75" customHeight="1">
      <c r="A7671" s="2">
        <v>7674.0</v>
      </c>
      <c r="B7671" s="5" t="s">
        <v>14042</v>
      </c>
      <c r="C7671" s="6">
        <v>1.0</v>
      </c>
      <c r="D7671" s="7" t="s">
        <v>14043</v>
      </c>
      <c r="E7671" s="8" t="str">
        <f>IFERROR(__xludf.DUMMYFUNCTION("googletranslate(D7671,""id"",""en"")"),"Just a devil protested 'aaaakhh we lackaaaaar ... when kellaaaaarrr' ppkm")</f>
        <v>Just a devil protested 'aaaakhh we lackaaaaar ... when kellaaaaarrr' ppkm</v>
      </c>
    </row>
    <row r="7672" ht="15.75" customHeight="1">
      <c r="A7672" s="2">
        <v>7675.0</v>
      </c>
      <c r="B7672" s="5" t="s">
        <v>14044</v>
      </c>
      <c r="C7672" s="6">
        <v>2.0</v>
      </c>
      <c r="D7672" s="9" t="s">
        <v>14044</v>
      </c>
      <c r="E7672" s="8" t="str">
        <f>IFERROR(__xludf.DUMMYFUNCTION("googletranslate(D7672,""id"",""en"")"),"Yokk ppkm fast finished so it could be able to travel before facing the real world after graduating")</f>
        <v>Yokk ppkm fast finished so it could be able to travel before facing the real world after graduating</v>
      </c>
    </row>
    <row r="7673" ht="15.75" customHeight="1">
      <c r="A7673" s="2">
        <v>7676.0</v>
      </c>
      <c r="B7673" s="5" t="s">
        <v>14045</v>
      </c>
      <c r="C7673" s="6">
        <v>2.0</v>
      </c>
      <c r="D7673" s="9" t="s">
        <v>14045</v>
      </c>
      <c r="E7673" s="8" t="str">
        <f>IFERROR(__xludf.DUMMYFUNCTION("googletranslate(D7673,""id"",""en"")"),"Ppkm is when it's finished. It's been three months not Manicure and Pedicure, Huft.")</f>
        <v>Ppkm is when it's finished. It's been three months not Manicure and Pedicure, Huft.</v>
      </c>
    </row>
    <row r="7674" ht="15.75" customHeight="1">
      <c r="A7674" s="2">
        <v>7677.0</v>
      </c>
      <c r="B7674" s="5" t="s">
        <v>14046</v>
      </c>
      <c r="C7674" s="6">
        <v>1.0</v>
      </c>
      <c r="D7674" s="7" t="s">
        <v>14046</v>
      </c>
      <c r="E7674" s="8" t="str">
        <f>IFERROR(__xludf.DUMMYFUNCTION("googletranslate(D7674,""id"",""en"")"),"gatau and their thoughts can usually again PPKM instead invites gathering")</f>
        <v>gatau and their thoughts can usually again PPKM instead invites gathering</v>
      </c>
    </row>
    <row r="7675" ht="15.75" customHeight="1">
      <c r="A7675" s="2">
        <v>7678.0</v>
      </c>
      <c r="B7675" s="5" t="s">
        <v>14047</v>
      </c>
      <c r="C7675" s="6">
        <v>1.0</v>
      </c>
      <c r="D7675" s="7" t="s">
        <v>14048</v>
      </c>
      <c r="E7675" s="8" t="str">
        <f>IFERROR(__xludf.DUMMYFUNCTION("googletranslate(D7675,""id"",""en"")"),"Gmn min residents are anxious, the PPKM is extended but the night entertainment is free, is there really a backup person?")</f>
        <v>Gmn min residents are anxious, the PPKM is extended but the night entertainment is free, is there really a backup person?</v>
      </c>
    </row>
    <row r="7676" ht="15.75" customHeight="1">
      <c r="A7676" s="2">
        <v>7679.0</v>
      </c>
      <c r="B7676" s="5" t="s">
        <v>14049</v>
      </c>
      <c r="C7676" s="6">
        <v>2.0</v>
      </c>
      <c r="D7676" s="7" t="s">
        <v>14049</v>
      </c>
      <c r="E7676" s="8" t="str">
        <f>IFERROR(__xludf.DUMMYFUNCTION("googletranslate(D7676,""id"",""en"")"),"PPKM continues TRS, our relationship is finished")</f>
        <v>PPKM continues TRS, our relationship is finished</v>
      </c>
    </row>
    <row r="7677" ht="15.75" customHeight="1">
      <c r="A7677" s="2">
        <v>7680.0</v>
      </c>
      <c r="B7677" s="5" t="s">
        <v>14050</v>
      </c>
      <c r="C7677" s="6">
        <v>2.0</v>
      </c>
      <c r="D7677" s="7" t="s">
        <v>14051</v>
      </c>
      <c r="E7677" s="8" t="str">
        <f>IFERROR(__xludf.DUMMYFUNCTION("googletranslate(D7677,""id"",""en"")"),"w want to be afraid ... after the PPKM this level must have a PPKM again")</f>
        <v>w want to be afraid ... after the PPKM this level must have a PPKM again</v>
      </c>
    </row>
    <row r="7678" ht="15.75" customHeight="1">
      <c r="A7678" s="2">
        <v>7681.0</v>
      </c>
      <c r="B7678" s="5" t="s">
        <v>14052</v>
      </c>
      <c r="C7678" s="6">
        <v>1.0</v>
      </c>
      <c r="D7678" s="7" t="s">
        <v>14052</v>
      </c>
      <c r="E7678" s="8" t="str">
        <f>IFERROR(__xludf.DUMMYFUNCTION("googletranslate(D7678,""id"",""en"")"),"this ppkm hurry down dahh so you can work again then can pay debt")</f>
        <v>this ppkm hurry down dahh so you can work again then can pay debt</v>
      </c>
    </row>
    <row r="7679" ht="15.75" customHeight="1">
      <c r="A7679" s="2">
        <v>7682.0</v>
      </c>
      <c r="B7679" s="5" t="s">
        <v>14053</v>
      </c>
      <c r="C7679" s="6">
        <v>2.0</v>
      </c>
      <c r="D7679" s="10" t="s">
        <v>14054</v>
      </c>
      <c r="E7679" s="8" t="str">
        <f>IFERROR(__xludf.DUMMYFUNCTION("googletranslate(D7679,""id"",""en"")"),"PPKM effect")</f>
        <v>PPKM effect</v>
      </c>
    </row>
    <row r="7680" ht="15.75" customHeight="1">
      <c r="A7680" s="2">
        <v>7683.0</v>
      </c>
      <c r="B7680" s="5" t="s">
        <v>14055</v>
      </c>
      <c r="C7680" s="6">
        <v>1.0</v>
      </c>
      <c r="D7680" s="9" t="s">
        <v>14055</v>
      </c>
      <c r="E7680" s="8" t="str">
        <f>IFERROR(__xludf.DUMMYFUNCTION("googletranslate(D7680,""id"",""en"")"),"PPKM When is the end? the second vaccine is difficult, it's hard to make a vaccine outside the city")</f>
        <v>PPKM When is the end? the second vaccine is difficult, it's hard to make a vaccine outside the city</v>
      </c>
    </row>
    <row r="7681" ht="15.75" customHeight="1">
      <c r="A7681" s="2">
        <v>7684.0</v>
      </c>
      <c r="B7681" s="5" t="s">
        <v>14056</v>
      </c>
      <c r="C7681" s="6">
        <v>2.0</v>
      </c>
      <c r="D7681" s="10" t="s">
        <v>14057</v>
      </c>
      <c r="E7681" s="8" t="str">
        <f>IFERROR(__xludf.DUMMYFUNCTION("googletranslate(D7681,""id"",""en"")"),"PPKM flower")</f>
        <v>PPKM flower</v>
      </c>
    </row>
    <row r="7682" ht="15.75" customHeight="1">
      <c r="A7682" s="2">
        <v>7685.0</v>
      </c>
      <c r="B7682" s="5" t="s">
        <v>14058</v>
      </c>
      <c r="C7682" s="6">
        <v>1.0</v>
      </c>
      <c r="D7682" s="9" t="s">
        <v>14059</v>
      </c>
      <c r="E7682" s="8" t="str">
        <f>IFERROR(__xludf.DUMMYFUNCTION("googletranslate(D7682,""id"",""en"")"),"FAUALLY JOMBLO + PPKM MAKE HALU")</f>
        <v>FAUALLY JOMBLO + PPKM MAKE HALU</v>
      </c>
    </row>
    <row r="7683" ht="15.75" customHeight="1">
      <c r="A7683" s="2">
        <v>7686.0</v>
      </c>
      <c r="B7683" s="5" t="s">
        <v>14060</v>
      </c>
      <c r="C7683" s="6">
        <v>1.0</v>
      </c>
      <c r="D7683" s="9" t="s">
        <v>14061</v>
      </c>
      <c r="E7683" s="8" t="str">
        <f>IFERROR(__xludf.DUMMYFUNCTION("googletranslate(D7683,""id"",""en"")"),"Because this suro ppkm can't gather dulur2")</f>
        <v>Because this suro ppkm can't gather dulur2</v>
      </c>
    </row>
    <row r="7684" ht="15.75" customHeight="1">
      <c r="A7684" s="2">
        <v>7687.0</v>
      </c>
      <c r="B7684" s="5" t="s">
        <v>14062</v>
      </c>
      <c r="C7684" s="6">
        <v>2.0</v>
      </c>
      <c r="D7684" s="9" t="s">
        <v>14062</v>
      </c>
      <c r="E7684" s="8" t="str">
        <f>IFERROR(__xludf.DUMMYFUNCTION("googletranslate(D7684,""id"",""en"")"),"PPKM extended until the jot suddenly uploaded the DVD Tadaima Renaichuu")</f>
        <v>PPKM extended until the jot suddenly uploaded the DVD Tadaima Renaichuu</v>
      </c>
    </row>
    <row r="7685" ht="15.75" customHeight="1">
      <c r="A7685" s="2">
        <v>7688.0</v>
      </c>
      <c r="B7685" s="5" t="s">
        <v>14063</v>
      </c>
      <c r="C7685" s="6">
        <v>2.0</v>
      </c>
      <c r="D7685" s="10" t="s">
        <v>14064</v>
      </c>
      <c r="E7685" s="8" t="str">
        <f>IFERROR(__xludf.DUMMYFUNCTION("googletranslate(D7685,""id"",""en"")"),"PPKM Dipa.")</f>
        <v>PPKM Dipa.</v>
      </c>
    </row>
    <row r="7686" ht="15.75" customHeight="1">
      <c r="A7686" s="2">
        <v>7689.0</v>
      </c>
      <c r="B7686" s="5" t="s">
        <v>14065</v>
      </c>
      <c r="C7686" s="6">
        <v>2.0</v>
      </c>
      <c r="D7686" s="7" t="s">
        <v>14066</v>
      </c>
      <c r="E7686" s="8" t="str">
        <f>IFERROR(__xludf.DUMMYFUNCTION("googletranslate(D7686,""id"",""en"")"),"As a result of the PPKM, just at home, I just don't just use it")</f>
        <v>As a result of the PPKM, just at home, I just don't just use it</v>
      </c>
    </row>
    <row r="7687" ht="15.75" customHeight="1">
      <c r="A7687" s="2">
        <v>7690.0</v>
      </c>
      <c r="B7687" s="5" t="s">
        <v>14067</v>
      </c>
      <c r="C7687" s="6">
        <v>2.0</v>
      </c>
      <c r="D7687" s="7" t="s">
        <v>14067</v>
      </c>
      <c r="E7687" s="8" t="str">
        <f>IFERROR(__xludf.DUMMYFUNCTION("googletranslate(D7687,""id"",""en"")"),"But still PPKM, so Me the team ran to the Siliwangi field in smpe tired")</f>
        <v>But still PPKM, so Me the team ran to the Siliwangi field in smpe tired</v>
      </c>
    </row>
    <row r="7688" ht="15.75" customHeight="1">
      <c r="A7688" s="2">
        <v>7691.0</v>
      </c>
      <c r="B7688" s="5" t="s">
        <v>14068</v>
      </c>
      <c r="C7688" s="6">
        <v>2.0</v>
      </c>
      <c r="D7688" s="7" t="s">
        <v>14069</v>
      </c>
      <c r="E7688" s="8" t="str">
        <f>IFERROR(__xludf.DUMMYFUNCTION("googletranslate(D7688,""id"",""en"")"),"because we have our PPKM masi at home")</f>
        <v>because we have our PPKM masi at home</v>
      </c>
    </row>
    <row r="7689" ht="15.75" customHeight="1">
      <c r="A7689" s="2">
        <v>7692.0</v>
      </c>
      <c r="B7689" s="5" t="s">
        <v>14070</v>
      </c>
      <c r="C7689" s="6">
        <v>2.0</v>
      </c>
      <c r="D7689" s="10" t="s">
        <v>14071</v>
      </c>
      <c r="E7689" s="8" t="str">
        <f>IFERROR(__xludf.DUMMYFUNCTION("googletranslate(D7689,""id"",""en"")"),"Finished PPKM.")</f>
        <v>Finished PPKM.</v>
      </c>
    </row>
    <row r="7690" ht="15.75" customHeight="1">
      <c r="A7690" s="2">
        <v>7693.0</v>
      </c>
      <c r="B7690" s="5" t="s">
        <v>14072</v>
      </c>
      <c r="C7690" s="6">
        <v>2.0</v>
      </c>
      <c r="D7690" s="7" t="s">
        <v>14072</v>
      </c>
      <c r="E7690" s="8" t="str">
        <f>IFERROR(__xludf.DUMMYFUNCTION("googletranslate(D7690,""id"",""en"")"),"Msh d extends his PPKM bro")</f>
        <v>Msh d extends his PPKM bro</v>
      </c>
    </row>
    <row r="7691" ht="15.75" customHeight="1">
      <c r="A7691" s="2">
        <v>7694.0</v>
      </c>
      <c r="B7691" s="5" t="s">
        <v>14073</v>
      </c>
      <c r="C7691" s="6">
        <v>1.0</v>
      </c>
      <c r="D7691" s="7" t="s">
        <v>14073</v>
      </c>
      <c r="E7691" s="8" t="str">
        <f>IFERROR(__xludf.DUMMYFUNCTION("googletranslate(D7691,""id"",""en"")"),"My longing is blocked by PPKM")</f>
        <v>My longing is blocked by PPKM</v>
      </c>
    </row>
    <row r="7692" ht="15.75" customHeight="1">
      <c r="A7692" s="2">
        <v>7695.0</v>
      </c>
      <c r="B7692" s="5" t="s">
        <v>14074</v>
      </c>
      <c r="C7692" s="6">
        <v>1.0</v>
      </c>
      <c r="D7692" s="9" t="s">
        <v>14075</v>
      </c>
      <c r="E7692" s="8" t="str">
        <f>IFERROR(__xludf.DUMMYFUNCTION("googletranslate(D7692,""id"",""en"")"),"Which clearly benefits the danger of China and its own group, but it harms the people ... when the PPKM is very free Chinese TKA without bound rules ...")</f>
        <v>Which clearly benefits the danger of China and its own group, but it harms the people ... when the PPKM is very free Chinese TKA without bound rules ...</v>
      </c>
    </row>
    <row r="7693" ht="15.75" customHeight="1">
      <c r="A7693" s="2">
        <v>7696.0</v>
      </c>
      <c r="B7693" s="5" t="s">
        <v>14076</v>
      </c>
      <c r="C7693" s="6">
        <v>1.0</v>
      </c>
      <c r="D7693" s="7" t="s">
        <v>14077</v>
      </c>
      <c r="E7693" s="8" t="str">
        <f>IFERROR(__xludf.DUMMYFUNCTION("googletranslate(D7693,""id"",""en"")"),"The smell of PPKM's smell is extended again")</f>
        <v>The smell of PPKM's smell is extended again</v>
      </c>
    </row>
    <row r="7694" ht="15.75" customHeight="1">
      <c r="A7694" s="2">
        <v>7697.0</v>
      </c>
      <c r="B7694" s="5" t="s">
        <v>14078</v>
      </c>
      <c r="C7694" s="6">
        <v>2.0</v>
      </c>
      <c r="D7694" s="10" t="s">
        <v>14079</v>
      </c>
      <c r="E7694" s="8" t="str">
        <f>IFERROR(__xludf.DUMMYFUNCTION("googletranslate(D7694,""id"",""en"")"),"Taken Pas PPKM.")</f>
        <v>Taken Pas PPKM.</v>
      </c>
    </row>
    <row r="7695" ht="15.75" customHeight="1">
      <c r="A7695" s="2">
        <v>7698.0</v>
      </c>
      <c r="B7695" s="5" t="s">
        <v>14080</v>
      </c>
      <c r="C7695" s="6">
        <v>1.0</v>
      </c>
      <c r="D7695" s="7" t="s">
        <v>14081</v>
      </c>
      <c r="E7695" s="8" t="str">
        <f>IFERROR(__xludf.DUMMYFUNCTION("googletranslate(D7695,""id"",""en"")"),"There is a PPKM BKN, it is good to go to the immune, the admiration of Ajen is looking for it is difficult. Hede")</f>
        <v>There is a PPKM BKN, it is good to go to the immune, the admiration of Ajen is looking for it is difficult. Hede</v>
      </c>
    </row>
    <row r="7696" ht="15.75" customHeight="1">
      <c r="A7696" s="2">
        <v>7699.0</v>
      </c>
      <c r="B7696" s="5" t="s">
        <v>14082</v>
      </c>
      <c r="C7696" s="6">
        <v>2.0</v>
      </c>
      <c r="D7696" s="7" t="s">
        <v>14083</v>
      </c>
      <c r="E7696" s="8" t="str">
        <f>IFERROR(__xludf.DUMMYFUNCTION("googletranslate(D7696,""id"",""en"")"),"The original PPKM year, only paid up per week, ("":")</f>
        <v>The original PPKM year, only paid up per week, (":</v>
      </c>
    </row>
    <row r="7697" ht="15.75" customHeight="1">
      <c r="A7697" s="2">
        <v>7700.0</v>
      </c>
      <c r="B7697" s="5" t="s">
        <v>14084</v>
      </c>
      <c r="C7697" s="6">
        <v>3.0</v>
      </c>
      <c r="D7697" s="7" t="s">
        <v>14084</v>
      </c>
      <c r="E7697" s="8" t="str">
        <f>IFERROR(__xludf.DUMMYFUNCTION("googletranslate(D7697,""id"",""en"")"),"Isolation, ppkm, keep the distance is a very beneficial thing for introverts or not?")</f>
        <v>Isolation, ppkm, keep the distance is a very beneficial thing for introverts or not?</v>
      </c>
    </row>
    <row r="7698" ht="15.75" customHeight="1">
      <c r="A7698" s="2">
        <v>7701.0</v>
      </c>
      <c r="B7698" s="5" t="s">
        <v>14085</v>
      </c>
      <c r="C7698" s="6">
        <v>1.0</v>
      </c>
      <c r="D7698" s="7" t="s">
        <v>14085</v>
      </c>
      <c r="E7698" s="8" t="str">
        <f>IFERROR(__xludf.DUMMYFUNCTION("googletranslate(D7698,""id"",""en"")"),"When he shouted worried PPKM PPKM but he who liked back and forth here and there. Like to smile smile see this type of person")</f>
        <v>When he shouted worried PPKM PPKM but he who liked back and forth here and there. Like to smile smile see this type of person</v>
      </c>
    </row>
    <row r="7699" ht="15.75" customHeight="1">
      <c r="A7699" s="2">
        <v>7702.0</v>
      </c>
      <c r="B7699" s="5" t="s">
        <v>14086</v>
      </c>
      <c r="C7699" s="6">
        <v>1.0</v>
      </c>
      <c r="D7699" s="7" t="s">
        <v>14087</v>
      </c>
      <c r="E7699" s="8" t="str">
        <f>IFERROR(__xludf.DUMMYFUNCTION("googletranslate(D7699,""id"",""en"")"),"This test plan can release ehhh ppkm maybe horrified")</f>
        <v>This test plan can release ehhh ppkm maybe horrified</v>
      </c>
    </row>
    <row r="7700" ht="15.75" customHeight="1">
      <c r="A7700" s="2">
        <v>7703.0</v>
      </c>
      <c r="B7700" s="5" t="s">
        <v>14088</v>
      </c>
      <c r="C7700" s="6">
        <v>2.0</v>
      </c>
      <c r="D7700" s="7" t="s">
        <v>14089</v>
      </c>
      <c r="E7700" s="8" t="str">
        <f>IFERROR(__xludf.DUMMYFUNCTION("googletranslate(D7700,""id"",""en"")"),"Instead of dizziness of PPKM continue. More baking shake immune.")</f>
        <v>Instead of dizziness of PPKM continue. More baking shake immune.</v>
      </c>
    </row>
    <row r="7701" ht="15.75" customHeight="1">
      <c r="A7701" s="2">
        <v>7704.0</v>
      </c>
      <c r="B7701" s="5" t="s">
        <v>14090</v>
      </c>
      <c r="C7701" s="6">
        <v>2.0</v>
      </c>
      <c r="D7701" s="9" t="s">
        <v>14091</v>
      </c>
      <c r="E7701" s="8" t="str">
        <f>IFERROR(__xludf.DUMMYFUNCTION("googletranslate(D7701,""id"",""en"")"),"Nnti if you are married, it's definitely udahann ni ppkm")</f>
        <v>Nnti if you are married, it's definitely udahann ni ppkm</v>
      </c>
    </row>
    <row r="7702" ht="15.75" customHeight="1">
      <c r="A7702" s="2">
        <v>7705.0</v>
      </c>
      <c r="B7702" s="5" t="s">
        <v>14092</v>
      </c>
      <c r="C7702" s="6">
        <v>3.0</v>
      </c>
      <c r="D7702" s="9" t="s">
        <v>14093</v>
      </c>
      <c r="E7702" s="8" t="str">
        <f>IFERROR(__xludf.DUMMYFUNCTION("googletranslate(D7702,""id"",""en"")"),"Alhamdulillah all chicken lay eggs, can be sufficient to life in the middle of PPKM without asking the government.")</f>
        <v>Alhamdulillah all chicken lay eggs, can be sufficient to life in the middle of PPKM without asking the government.</v>
      </c>
    </row>
    <row r="7703" ht="15.75" customHeight="1">
      <c r="A7703" s="2">
        <v>7706.0</v>
      </c>
      <c r="B7703" s="5" t="s">
        <v>14094</v>
      </c>
      <c r="C7703" s="6">
        <v>2.0</v>
      </c>
      <c r="D7703" s="7" t="s">
        <v>14095</v>
      </c>
      <c r="E7703" s="8" t="str">
        <f>IFERROR(__xludf.DUMMYFUNCTION("googletranslate(D7703,""id"",""en"")"),"Ppkm when it ends")</f>
        <v>Ppkm when it ends</v>
      </c>
    </row>
    <row r="7704" ht="15.75" customHeight="1">
      <c r="A7704" s="2">
        <v>7707.0</v>
      </c>
      <c r="B7704" s="5" t="s">
        <v>14096</v>
      </c>
      <c r="C7704" s="6">
        <v>2.0</v>
      </c>
      <c r="D7704" s="7" t="s">
        <v>14097</v>
      </c>
      <c r="E7704" s="8" t="str">
        <f>IFERROR(__xludf.DUMMYFUNCTION("googletranslate(D7704,""id"",""en"")"),"So the PPKM ended Augustbiar on August, it could be independent")</f>
        <v>So the PPKM ended Augustbiar on August, it could be independent</v>
      </c>
    </row>
    <row r="7705" ht="15.75" customHeight="1">
      <c r="A7705" s="2">
        <v>7708.0</v>
      </c>
      <c r="B7705" s="5" t="s">
        <v>14098</v>
      </c>
      <c r="C7705" s="6">
        <v>2.0</v>
      </c>
      <c r="D7705" s="9" t="s">
        <v>14099</v>
      </c>
      <c r="E7705" s="8" t="str">
        <f>IFERROR(__xludf.DUMMYFUNCTION("googletranslate(D7705,""id"",""en"")"),"Nnti klo ppkm finished let's make risol if qm nnti swim sj y yank")</f>
        <v>Nnti klo ppkm finished let's make risol if qm nnti swim sj y yank</v>
      </c>
    </row>
    <row r="7706" ht="15.75" customHeight="1">
      <c r="A7706" s="2">
        <v>7709.0</v>
      </c>
      <c r="B7706" s="5" t="s">
        <v>14100</v>
      </c>
      <c r="C7706" s="6">
        <v>1.0</v>
      </c>
      <c r="D7706" s="9" t="s">
        <v>14101</v>
      </c>
      <c r="E7706" s="8" t="str">
        <f>IFERROR(__xludf.DUMMYFUNCTION("googletranslate(D7706,""id"",""en"")"),"Sir, I was hungry, I hadn't eaten because the PPKM continued. Fate oh fate")</f>
        <v>Sir, I was hungry, I hadn't eaten because the PPKM continued. Fate oh fate</v>
      </c>
    </row>
    <row r="7707" ht="15.75" customHeight="1">
      <c r="A7707" s="2">
        <v>7710.0</v>
      </c>
      <c r="B7707" s="5" t="s">
        <v>14102</v>
      </c>
      <c r="C7707" s="6">
        <v>2.0</v>
      </c>
      <c r="D7707" s="9" t="s">
        <v>14103</v>
      </c>
      <c r="E7707" s="8" t="str">
        <f>IFERROR(__xludf.DUMMYFUNCTION("googletranslate(D7707,""id"",""en"")"),"My place is actually offline but because of the PPKM and my church is strictly the protocol is the church first. If for example there is a neighbor who gets covid, but it's a two-week church")</f>
        <v>My place is actually offline but because of the PPKM and my church is strictly the protocol is the church first. If for example there is a neighbor who gets covid, but it's a two-week church</v>
      </c>
    </row>
    <row r="7708" ht="15.75" customHeight="1">
      <c r="A7708" s="2">
        <v>7711.0</v>
      </c>
      <c r="B7708" s="5" t="s">
        <v>14104</v>
      </c>
      <c r="C7708" s="6">
        <v>2.0</v>
      </c>
      <c r="D7708" s="7" t="s">
        <v>14104</v>
      </c>
      <c r="E7708" s="8" t="str">
        <f>IFERROR(__xludf.DUMMYFUNCTION("googletranslate(D7708,""id"",""en"")"),"Hayoo PPKM is extended LG what does wakakakaka")</f>
        <v>Hayoo PPKM is extended LG what does wakakakaka</v>
      </c>
    </row>
    <row r="7709" ht="15.75" customHeight="1">
      <c r="A7709" s="2">
        <v>7712.0</v>
      </c>
      <c r="B7709" s="5" t="s">
        <v>14105</v>
      </c>
      <c r="C7709" s="6">
        <v>2.0</v>
      </c>
      <c r="D7709" s="10" t="s">
        <v>2560</v>
      </c>
      <c r="E7709" s="8" t="str">
        <f>IFERROR(__xludf.DUMMYFUNCTION("googletranslate(D7709,""id"",""en"")"),"PPKM Ah.")</f>
        <v>PPKM Ah.</v>
      </c>
    </row>
    <row r="7710" ht="15.75" customHeight="1">
      <c r="A7710" s="2">
        <v>7713.0</v>
      </c>
      <c r="B7710" s="5" t="s">
        <v>14106</v>
      </c>
      <c r="C7710" s="6">
        <v>1.0</v>
      </c>
      <c r="D7710" s="7" t="s">
        <v>14107</v>
      </c>
      <c r="E7710" s="8" t="str">
        <f>IFERROR(__xludf.DUMMYFUNCTION("googletranslate(D7710,""id"",""en"")"),"Looking for food is prohibited again ppkm.yang asn mah tasty waited for money that is the merchant etc. the car is clear that it is paint people's money rather than using mending for masks for masks or the benefits are greater. Ngabalin awokawok")</f>
        <v>Looking for food is prohibited again ppkm.yang asn mah tasty waited for money that is the merchant etc. the car is clear that it is paint people's money rather than using mending for masks for masks or the benefits are greater. Ngabalin awokawok</v>
      </c>
    </row>
    <row r="7711" ht="15.75" customHeight="1">
      <c r="A7711" s="2">
        <v>7714.0</v>
      </c>
      <c r="B7711" s="5" t="s">
        <v>14108</v>
      </c>
      <c r="C7711" s="6">
        <v>2.0</v>
      </c>
      <c r="D7711" s="9" t="s">
        <v>14108</v>
      </c>
      <c r="E7711" s="8" t="str">
        <f>IFERROR(__xludf.DUMMYFUNCTION("googletranslate(D7711,""id"",""en"")"),"Cah, has anyone ever sent a package from KDR to MLG, which is not as long as it's not during this PPKM? If there is, what cream does it use?")</f>
        <v>Cah, has anyone ever sent a package from KDR to MLG, which is not as long as it's not during this PPKM? If there is, what cream does it use?</v>
      </c>
    </row>
    <row r="7712" ht="15.75" customHeight="1">
      <c r="A7712" s="2">
        <v>7715.0</v>
      </c>
      <c r="B7712" s="5" t="s">
        <v>14109</v>
      </c>
      <c r="C7712" s="6">
        <v>2.0</v>
      </c>
      <c r="D7712" s="7" t="s">
        <v>14110</v>
      </c>
      <c r="E7712" s="8" t="str">
        <f>IFERROR(__xludf.DUMMYFUNCTION("googletranslate(D7712,""id"",""en"")"),"maybe your mate is delayed at Bestie Airport because of PPKM")</f>
        <v>maybe your mate is delayed at Bestie Airport because of PPKM</v>
      </c>
    </row>
    <row r="7713" ht="15.75" customHeight="1">
      <c r="A7713" s="2">
        <v>7716.0</v>
      </c>
      <c r="B7713" s="5" t="s">
        <v>14111</v>
      </c>
      <c r="C7713" s="6">
        <v>1.0</v>
      </c>
      <c r="D7713" s="7" t="s">
        <v>14112</v>
      </c>
      <c r="E7713" s="8" t="str">
        <f>IFERROR(__xludf.DUMMYFUNCTION("googletranslate(D7713,""id"",""en"")"),"Skyrocket now all definitely agree. Hurried ppkm levet thousand t")</f>
        <v>Skyrocket now all definitely agree. Hurried ppkm levet thousand t</v>
      </c>
    </row>
    <row r="7714" ht="15.75" customHeight="1">
      <c r="A7714" s="2">
        <v>7717.0</v>
      </c>
      <c r="B7714" s="5" t="s">
        <v>14113</v>
      </c>
      <c r="C7714" s="6">
        <v>1.0</v>
      </c>
      <c r="D7714" s="7" t="s">
        <v>14114</v>
      </c>
      <c r="E7714" s="8" t="str">
        <f>IFERROR(__xludf.DUMMYFUNCTION("googletranslate(D7714,""id"",""en"")"),"Weah ... even miss the house of parents who are in ngrep ... the condition of the PPKM looks less possible ....")</f>
        <v>Weah ... even miss the house of parents who are in ngrep ... the condition of the PPKM looks less possible ....</v>
      </c>
    </row>
    <row r="7715" ht="15.75" customHeight="1">
      <c r="A7715" s="2">
        <v>7718.0</v>
      </c>
      <c r="B7715" s="5" t="s">
        <v>14115</v>
      </c>
      <c r="C7715" s="6">
        <v>2.0</v>
      </c>
      <c r="D7715" s="7" t="s">
        <v>14116</v>
      </c>
      <c r="E7715" s="8" t="str">
        <f>IFERROR(__xludf.DUMMYFUNCTION("googletranslate(D7715,""id"",""en"")"),"Tokyo PPKM Tuttup Deh Keknyee")</f>
        <v>Tokyo PPKM Tuttup Deh Keknyee</v>
      </c>
    </row>
    <row r="7716" ht="15.75" customHeight="1">
      <c r="A7716" s="2">
        <v>7719.0</v>
      </c>
      <c r="B7716" s="5" t="s">
        <v>14117</v>
      </c>
      <c r="C7716" s="6">
        <v>1.0</v>
      </c>
      <c r="D7716" s="7" t="s">
        <v>14118</v>
      </c>
      <c r="E7716" s="8" t="str">
        <f>IFERROR(__xludf.DUMMYFUNCTION("googletranslate(D7716,""id"",""en"")"),"Independent ? Corruptor Didiskon Penalties, Mural Protests Removed, TKA Entered When PPKM, Busy Elite Billboards When Pandemic, Diduitin Vaccine (Although Dibatulan), PCR Prices Similar to Basic Salary a Month ... Is It Merdeka?")</f>
        <v>Independent ? Corruptor Didiskon Penalties, Mural Protests Removed, TKA Entered When PPKM, Busy Elite Billboards When Pandemic, Diduitin Vaccine (Although Dibatulan), PCR Prices Similar to Basic Salary a Month ... Is It Merdeka?</v>
      </c>
    </row>
    <row r="7717" ht="15.75" customHeight="1">
      <c r="A7717" s="2">
        <v>7720.0</v>
      </c>
      <c r="B7717" s="5" t="s">
        <v>14119</v>
      </c>
      <c r="C7717" s="6">
        <v>2.0</v>
      </c>
      <c r="D7717" s="7" t="s">
        <v>14120</v>
      </c>
      <c r="E7717" s="8" t="str">
        <f>IFERROR(__xludf.DUMMYFUNCTION("googletranslate(D7717,""id"",""en"")"),"Extend PPKM from the corner of religion")</f>
        <v>Extend PPKM from the corner of religion</v>
      </c>
    </row>
    <row r="7718" ht="15.75" customHeight="1">
      <c r="A7718" s="2">
        <v>7721.0</v>
      </c>
      <c r="B7718" s="5" t="s">
        <v>14121</v>
      </c>
      <c r="C7718" s="6">
        <v>2.0</v>
      </c>
      <c r="D7718" s="7" t="s">
        <v>14122</v>
      </c>
      <c r="E7718" s="8" t="str">
        <f>IFERROR(__xludf.DUMMYFUNCTION("googletranslate(D7718,""id"",""en"")"),"Oops, I don't know, Ma'am, according to info during the PPKM, some climbing is closed because")</f>
        <v>Oops, I don't know, Ma'am, according to info during the PPKM, some climbing is closed because</v>
      </c>
    </row>
    <row r="7719" ht="15.75" customHeight="1">
      <c r="A7719" s="2">
        <v>7722.0</v>
      </c>
      <c r="B7719" s="5" t="s">
        <v>14123</v>
      </c>
      <c r="C7719" s="6">
        <v>1.0</v>
      </c>
      <c r="D7719" s="7" t="s">
        <v>14124</v>
      </c>
      <c r="E7719" s="8" t="str">
        <f>IFERROR(__xludf.DUMMYFUNCTION("googletranslate(D7719,""id"",""en"")"),"The police must capture the crowd in Grogol for basic necessities at the time of PPKM, real evidence of breaking")</f>
        <v>The police must capture the crowd in Grogol for basic necessities at the time of PPKM, real evidence of breaking</v>
      </c>
    </row>
    <row r="7720" ht="15.75" customHeight="1">
      <c r="A7720" s="2">
        <v>7723.0</v>
      </c>
      <c r="B7720" s="5" t="s">
        <v>14125</v>
      </c>
      <c r="C7720" s="6">
        <v>3.0</v>
      </c>
      <c r="D7720" s="7" t="s">
        <v>14125</v>
      </c>
      <c r="E7720" s="8" t="str">
        <f>IFERROR(__xludf.DUMMYFUNCTION("googletranslate(D7720,""id"",""en"")"),"Allhamdulillah is very happy with covid patients have started to decline, at least the PPKM and PPKM pelevellan are right. There is a wisdom")</f>
        <v>Allhamdulillah is very happy with covid patients have started to decline, at least the PPKM and PPKM pelevellan are right. There is a wisdom</v>
      </c>
    </row>
    <row r="7721" ht="15.75" customHeight="1">
      <c r="A7721" s="2">
        <v>7724.0</v>
      </c>
      <c r="B7721" s="5" t="s">
        <v>14126</v>
      </c>
      <c r="C7721" s="6">
        <v>1.0</v>
      </c>
      <c r="D7721" s="9" t="s">
        <v>14127</v>
      </c>
      <c r="E7721" s="8" t="str">
        <f>IFERROR(__xludf.DUMMYFUNCTION("googletranslate(D7721,""id"",""en"")"),"Mon Maap, Mr. Wi Napa must ask about the period of the period of the Jab Klo, it is not a feralus, you are just a new people who succuss due to PPKM and Pandemics. Muke Gile")</f>
        <v>Mon Maap, Mr. Wi Napa must ask about the period of the period of the Jab Klo, it is not a feralus, you are just a new people who succuss due to PPKM and Pandemics. Muke Gile</v>
      </c>
    </row>
    <row r="7722" ht="15.75" customHeight="1">
      <c r="A7722" s="2">
        <v>7725.0</v>
      </c>
      <c r="B7722" s="5" t="s">
        <v>14128</v>
      </c>
      <c r="C7722" s="6">
        <v>2.0</v>
      </c>
      <c r="D7722" s="7" t="s">
        <v>14129</v>
      </c>
      <c r="E7722" s="8" t="str">
        <f>IFERROR(__xludf.DUMMYFUNCTION("googletranslate(D7722,""id"",""en"")"),"Let's get yukk ntar ppkm to our party")</f>
        <v>Let's get yukk ntar ppkm to our party</v>
      </c>
    </row>
    <row r="7723" ht="15.75" customHeight="1">
      <c r="A7723" s="2">
        <v>7726.0</v>
      </c>
      <c r="B7723" s="5" t="s">
        <v>14130</v>
      </c>
      <c r="C7723" s="6">
        <v>2.0</v>
      </c>
      <c r="D7723" s="7" t="s">
        <v>14131</v>
      </c>
      <c r="E7723" s="8" t="str">
        <f>IFERROR(__xludf.DUMMYFUNCTION("googletranslate(D7723,""id"",""en"")"),"Ohh ppkm taunya ppkn.")</f>
        <v>Ohh ppkm taunya ppkn.</v>
      </c>
    </row>
    <row r="7724" ht="15.75" customHeight="1">
      <c r="A7724" s="2">
        <v>7727.0</v>
      </c>
      <c r="B7724" s="5" t="s">
        <v>14132</v>
      </c>
      <c r="C7724" s="6">
        <v>2.0</v>
      </c>
      <c r="D7724" s="7" t="s">
        <v>14133</v>
      </c>
      <c r="E7724" s="8" t="str">
        <f>IFERROR(__xludf.DUMMYFUNCTION("googletranslate(D7724,""id"",""en"")"),"strict parents + ppkm jdi gtau world wkwk")</f>
        <v>strict parents + ppkm jdi gtau world wkwk</v>
      </c>
    </row>
    <row r="7725" ht="15.75" customHeight="1">
      <c r="A7725" s="2">
        <v>7728.0</v>
      </c>
      <c r="B7725" s="5" t="s">
        <v>14134</v>
      </c>
      <c r="C7725" s="6">
        <v>1.0</v>
      </c>
      <c r="D7725" s="9" t="s">
        <v>14135</v>
      </c>
      <c r="E7725" s="8" t="str">
        <f>IFERROR(__xludf.DUMMYFUNCTION("googletranslate(D7725,""id"",""en"")"),"I don't understand me ... as left by the Covid19 Task Force ... so it seems firmly when it was highlighted and had happened, yes it should be anticipated before. First PPKM level, the new activity can be loosened, this is like trapping business people Lat"&amp;"er")</f>
        <v>I don't understand me ... as left by the Covid19 Task Force ... so it seems firmly when it was highlighted and had happened, yes it should be anticipated before. First PPKM level, the new activity can be loosened, this is like trapping business people Later</v>
      </c>
    </row>
    <row r="7726" ht="15.75" customHeight="1">
      <c r="A7726" s="2">
        <v>7729.0</v>
      </c>
      <c r="B7726" s="5" t="s">
        <v>14136</v>
      </c>
      <c r="C7726" s="6">
        <v>1.0</v>
      </c>
      <c r="D7726" s="9" t="s">
        <v>14137</v>
      </c>
      <c r="E7726" s="8" t="str">
        <f>IFERROR(__xludf.DUMMYFUNCTION("googletranslate(D7726,""id"",""en"")"),"Agustusan this time there was no cracker dining competition, even football areca climbing. Only survive !!!")</f>
        <v>Agustusan this time there was no cracker dining competition, even football areca climbing. Only survive !!!</v>
      </c>
    </row>
    <row r="7727" ht="15.75" customHeight="1">
      <c r="A7727" s="2">
        <v>7730.0</v>
      </c>
      <c r="B7727" s="5" t="s">
        <v>14138</v>
      </c>
      <c r="C7727" s="6">
        <v>2.0</v>
      </c>
      <c r="D7727" s="7" t="s">
        <v>14139</v>
      </c>
      <c r="E7727" s="8" t="str">
        <f>IFERROR(__xludf.DUMMYFUNCTION("googletranslate(D7727,""id"",""en"")"),"PGN Jalan Deh, but MSH PPKM")</f>
        <v>PGN Jalan Deh, but MSH PPKM</v>
      </c>
    </row>
    <row r="7728" ht="15.75" customHeight="1">
      <c r="A7728" s="2">
        <v>7731.0</v>
      </c>
      <c r="B7728" s="5" t="s">
        <v>14140</v>
      </c>
      <c r="C7728" s="6">
        <v>2.0</v>
      </c>
      <c r="D7728" s="9" t="s">
        <v>14141</v>
      </c>
      <c r="E7728" s="8" t="str">
        <f>IFERROR(__xludf.DUMMYFUNCTION("googletranslate(D7728,""id"",""en"")"),"Grgr Luyaa PPKM is extended continuously.")</f>
        <v>Grgr Luyaa PPKM is extended continuously.</v>
      </c>
    </row>
    <row r="7729" ht="15.75" customHeight="1">
      <c r="A7729" s="2">
        <v>7732.0</v>
      </c>
      <c r="B7729" s="5" t="s">
        <v>14142</v>
      </c>
      <c r="C7729" s="6">
        <v>1.0</v>
      </c>
      <c r="D7729" s="7" t="s">
        <v>14142</v>
      </c>
      <c r="E7729" s="8" t="str">
        <f>IFERROR(__xludf.DUMMYFUNCTION("googletranslate(D7729,""id"",""en"")"),"Modarrrr Want Krj G BS BS PPKM Rules Strp G BS Ride Public Transportation Modarrrr Modarrrrr")</f>
        <v>Modarrrr Want Krj G BS BS PPKM Rules Strp G BS Ride Public Transportation Modarrrr Modarrrrr</v>
      </c>
    </row>
    <row r="7730" ht="15.75" customHeight="1">
      <c r="A7730" s="2">
        <v>7733.0</v>
      </c>
      <c r="B7730" s="5" t="s">
        <v>14143</v>
      </c>
      <c r="C7730" s="6">
        <v>2.0</v>
      </c>
      <c r="D7730" s="10" t="s">
        <v>14144</v>
      </c>
      <c r="E7730" s="8" t="str">
        <f>IFERROR(__xludf.DUMMYFUNCTION("googletranslate(D7730,""id"",""en"")"),"PPKM Heh.")</f>
        <v>PPKM Heh.</v>
      </c>
    </row>
    <row r="7731" ht="15.75" customHeight="1">
      <c r="A7731" s="2">
        <v>7734.0</v>
      </c>
      <c r="B7731" s="5" t="s">
        <v>14145</v>
      </c>
      <c r="C7731" s="6">
        <v>2.0</v>
      </c>
      <c r="D7731" s="7" t="s">
        <v>14146</v>
      </c>
      <c r="E7731" s="8" t="str">
        <f>IFERROR(__xludf.DUMMYFUNCTION("googletranslate(D7731,""id"",""en"")"),"Lg ppkm tadz d rmh")</f>
        <v>Lg ppkm tadz d rmh</v>
      </c>
    </row>
    <row r="7732" ht="15.75" customHeight="1">
      <c r="A7732" s="2">
        <v>7735.0</v>
      </c>
      <c r="B7732" s="5" t="s">
        <v>14147</v>
      </c>
      <c r="C7732" s="6">
        <v>2.0</v>
      </c>
      <c r="D7732" s="10" t="s">
        <v>14148</v>
      </c>
      <c r="E7732" s="8" t="str">
        <f>IFERROR(__xludf.DUMMYFUNCTION("googletranslate(D7732,""id"",""en"")"),"Remember PPKM.")</f>
        <v>Remember PPKM.</v>
      </c>
    </row>
    <row r="7733" ht="15.75" customHeight="1">
      <c r="A7733" s="2">
        <v>7736.0</v>
      </c>
      <c r="B7733" s="5" t="s">
        <v>14149</v>
      </c>
      <c r="C7733" s="6">
        <v>2.0</v>
      </c>
      <c r="D7733" s="7" t="s">
        <v>14150</v>
      </c>
      <c r="E7733" s="8" t="str">
        <f>IFERROR(__xludf.DUMMYFUNCTION("googletranslate(D7733,""id"",""en"")"),"Look at the Full Stadium ... it feels like ... um, still busy PPKM with the bulkhead here")</f>
        <v>Look at the Full Stadium ... it feels like ... um, still busy PPKM with the bulkhead here</v>
      </c>
    </row>
    <row r="7734" ht="15.75" customHeight="1">
      <c r="A7734" s="2">
        <v>7737.0</v>
      </c>
      <c r="B7734" s="5" t="s">
        <v>14151</v>
      </c>
      <c r="C7734" s="6">
        <v>1.0</v>
      </c>
      <c r="D7734" s="9" t="s">
        <v>14151</v>
      </c>
      <c r="E7734" s="8" t="str">
        <f>IFERROR(__xludf.DUMMYFUNCTION("googletranslate(D7734,""id"",""en"")"),"PPKM finished going to the National Library, I have crazy for a long time at home")</f>
        <v>PPKM finished going to the National Library, I have crazy for a long time at home</v>
      </c>
    </row>
    <row r="7735" ht="15.75" customHeight="1">
      <c r="A7735" s="2">
        <v>7738.0</v>
      </c>
      <c r="B7735" s="5" t="s">
        <v>14152</v>
      </c>
      <c r="C7735" s="6">
        <v>1.0</v>
      </c>
      <c r="D7735" s="7" t="s">
        <v>14152</v>
      </c>
      <c r="E7735" s="8" t="str">
        <f>IFERROR(__xludf.DUMMYFUNCTION("googletranslate(D7735,""id"",""en"")"),"Offline lecture ballad. PPKM. Campus closes. Lamban regist. Lamban hotline. Lecturers are hard to contact. Yes god piyeee's side")</f>
        <v>Offline lecture ballad. PPKM. Campus closes. Lamban regist. Lamban hotline. Lecturers are hard to contact. Yes god piyeee's side</v>
      </c>
    </row>
    <row r="7736" ht="15.75" customHeight="1">
      <c r="A7736" s="2">
        <v>7739.0</v>
      </c>
      <c r="B7736" s="5" t="s">
        <v>14153</v>
      </c>
      <c r="C7736" s="6">
        <v>1.0</v>
      </c>
      <c r="D7736" s="7" t="s">
        <v>14154</v>
      </c>
      <c r="E7736" s="8" t="str">
        <f>IFERROR(__xludf.DUMMYFUNCTION("googletranslate(D7736,""id"",""en"")"),"ppkm jg gajelas da, it's gone of the dmn2 insuffloils that are in Panasonic Jln Raya Bogor just have the pager2")</f>
        <v>ppkm jg gajelas da, it's gone of the dmn2 insuffloils that are in Panasonic Jln Raya Bogor just have the pager2</v>
      </c>
    </row>
    <row r="7737" ht="15.75" customHeight="1">
      <c r="A7737" s="2">
        <v>7740.0</v>
      </c>
      <c r="B7737" s="5" t="s">
        <v>14155</v>
      </c>
      <c r="C7737" s="6">
        <v>1.0</v>
      </c>
      <c r="D7737" s="9" t="s">
        <v>14156</v>
      </c>
      <c r="E7737" s="8" t="str">
        <f>IFERROR(__xludf.DUMMYFUNCTION("googletranslate(D7737,""id"",""en"")"),"You if there is a ppkm of a volume, you will also nyiyir a volume, the PPKM finish ente's brainache is a volume of Volume Dr. Hahahaha")</f>
        <v>You if there is a ppkm of a volume, you will also nyiyir a volume, the PPKM finish ente's brainache is a volume of Volume Dr. Hahahaha</v>
      </c>
    </row>
    <row r="7738" ht="15.75" customHeight="1">
      <c r="A7738" s="2">
        <v>7741.0</v>
      </c>
      <c r="B7738" s="5" t="s">
        <v>14157</v>
      </c>
      <c r="C7738" s="6">
        <v>2.0</v>
      </c>
      <c r="D7738" s="7" t="s">
        <v>14157</v>
      </c>
      <c r="E7738" s="8" t="str">
        <f>IFERROR(__xludf.DUMMYFUNCTION("googletranslate(D7738,""id"",""en"")"),"ppkm tomorrow is still continued not yaaa")</f>
        <v>ppkm tomorrow is still continued not yaaa</v>
      </c>
    </row>
    <row r="7739" ht="15.75" customHeight="1">
      <c r="A7739" s="2">
        <v>7742.0</v>
      </c>
      <c r="B7739" s="5" t="s">
        <v>14158</v>
      </c>
      <c r="C7739" s="6">
        <v>1.0</v>
      </c>
      <c r="D7739" s="7" t="s">
        <v>14159</v>
      </c>
      <c r="E7739" s="8" t="str">
        <f>IFERROR(__xludf.DUMMYFUNCTION("googletranslate(D7739,""id"",""en"")"),"here it's playing. Jakarta is still crowded. PPKM is no effect on tj.duren, kemanggisan msh on his food makers / drinks.")</f>
        <v>here it's playing. Jakarta is still crowded. PPKM is no effect on tj.duren, kemanggisan msh on his food makers / drinks.</v>
      </c>
    </row>
    <row r="7740" ht="15.75" customHeight="1">
      <c r="A7740" s="2">
        <v>7743.0</v>
      </c>
      <c r="B7740" s="5" t="s">
        <v>14160</v>
      </c>
      <c r="C7740" s="6">
        <v>2.0</v>
      </c>
      <c r="D7740" s="7" t="s">
        <v>14160</v>
      </c>
      <c r="E7740" s="8" t="str">
        <f>IFERROR(__xludf.DUMMYFUNCTION("googletranslate(D7740,""id"",""en"")"),"Ppkm extended ngan koe sensitive")</f>
        <v>Ppkm extended ngan koe sensitive</v>
      </c>
    </row>
    <row r="7741" ht="15.75" customHeight="1">
      <c r="A7741" s="2">
        <v>7744.0</v>
      </c>
      <c r="B7741" s="5" t="s">
        <v>14161</v>
      </c>
      <c r="C7741" s="6">
        <v>2.0</v>
      </c>
      <c r="D7741" s="7" t="s">
        <v>14161</v>
      </c>
      <c r="E7741" s="8" t="str">
        <f>IFERROR(__xludf.DUMMYFUNCTION("googletranslate(D7741,""id"",""en"")"),"The umpteenth ppkm time ends tomorrow, guessing extended lg or not")</f>
        <v>The umpteenth ppkm time ends tomorrow, guessing extended lg or not</v>
      </c>
    </row>
    <row r="7742" ht="15.75" customHeight="1">
      <c r="A7742" s="2">
        <v>7745.0</v>
      </c>
      <c r="B7742" s="5" t="s">
        <v>14162</v>
      </c>
      <c r="C7742" s="6">
        <v>2.0</v>
      </c>
      <c r="D7742" s="7" t="s">
        <v>14163</v>
      </c>
      <c r="E7742" s="8" t="str">
        <f>IFERROR(__xludf.DUMMYFUNCTION("googletranslate(D7742,""id"",""en"")"),"waalaikumussalam ... the malming is still busy ... still ppkm ...")</f>
        <v>waalaikumussalam ... the malming is still busy ... still ppkm ...</v>
      </c>
    </row>
    <row r="7743" ht="15.75" customHeight="1">
      <c r="A7743" s="2">
        <v>7746.0</v>
      </c>
      <c r="B7743" s="5" t="s">
        <v>14164</v>
      </c>
      <c r="C7743" s="6">
        <v>2.0</v>
      </c>
      <c r="D7743" s="9" t="s">
        <v>14164</v>
      </c>
      <c r="E7743" s="8" t="str">
        <f>IFERROR(__xludf.DUMMYFUNCTION("googletranslate(D7743,""id"",""en"")"),"PPKM (ever dating and then forgets) hahaha")</f>
        <v>PPKM (ever dating and then forgets) hahaha</v>
      </c>
    </row>
    <row r="7744" ht="15.75" customHeight="1">
      <c r="A7744" s="2">
        <v>7747.0</v>
      </c>
      <c r="B7744" s="5" t="s">
        <v>14165</v>
      </c>
      <c r="C7744" s="6">
        <v>2.0</v>
      </c>
      <c r="D7744" s="7" t="s">
        <v>14165</v>
      </c>
      <c r="E7744" s="8" t="str">
        <f>IFERROR(__xludf.DUMMYFUNCTION("googletranslate(D7744,""id"",""en"")"),"Ganjil Ganjil PPKM Jakarta")</f>
        <v>Ganjil Ganjil PPKM Jakarta</v>
      </c>
    </row>
    <row r="7745" ht="15.75" customHeight="1">
      <c r="A7745" s="2">
        <v>7748.0</v>
      </c>
      <c r="B7745" s="5" t="s">
        <v>14166</v>
      </c>
      <c r="C7745" s="6">
        <v>2.0</v>
      </c>
      <c r="D7745" s="7" t="s">
        <v>14167</v>
      </c>
      <c r="E7745" s="8" t="str">
        <f>IFERROR(__xludf.DUMMYFUNCTION("googletranslate(D7745,""id"",""en"")"),"Again hit PPKM.")</f>
        <v>Again hit PPKM.</v>
      </c>
    </row>
    <row r="7746" ht="15.75" customHeight="1">
      <c r="A7746" s="2">
        <v>7749.0</v>
      </c>
      <c r="B7746" s="5" t="s">
        <v>14168</v>
      </c>
      <c r="C7746" s="6">
        <v>2.0</v>
      </c>
      <c r="D7746" s="10" t="s">
        <v>9502</v>
      </c>
      <c r="E7746" s="8" t="str">
        <f>IFERROR(__xludf.DUMMYFUNCTION("googletranslate(D7746,""id"",""en"")"),"LG PPKM.")</f>
        <v>LG PPKM.</v>
      </c>
    </row>
    <row r="7747" ht="15.75" customHeight="1">
      <c r="A7747" s="2">
        <v>7750.0</v>
      </c>
      <c r="B7747" s="5" t="s">
        <v>14169</v>
      </c>
      <c r="C7747" s="6">
        <v>2.0</v>
      </c>
      <c r="D7747" s="7" t="s">
        <v>14170</v>
      </c>
      <c r="E7747" s="8" t="str">
        <f>IFERROR(__xludf.DUMMYFUNCTION("googletranslate(D7747,""id"",""en"")"),"Yes God I want this PPKM fast finished")</f>
        <v>Yes God I want this PPKM fast finished</v>
      </c>
    </row>
    <row r="7748" ht="15.75" customHeight="1">
      <c r="A7748" s="2">
        <v>7751.0</v>
      </c>
      <c r="B7748" s="5" t="s">
        <v>14171</v>
      </c>
      <c r="C7748" s="6">
        <v>2.0</v>
      </c>
      <c r="D7748" s="7" t="s">
        <v>14172</v>
      </c>
      <c r="E7748" s="8" t="str">
        <f>IFERROR(__xludf.DUMMYFUNCTION("googletranslate(D7748,""id"",""en"")"),"Just at home, right PPKM.")</f>
        <v>Just at home, right PPKM.</v>
      </c>
    </row>
    <row r="7749" ht="15.75" customHeight="1">
      <c r="A7749" s="2">
        <v>7752.0</v>
      </c>
      <c r="B7749" s="5" t="s">
        <v>14173</v>
      </c>
      <c r="C7749" s="6">
        <v>1.0</v>
      </c>
      <c r="D7749" s="12" t="s">
        <v>14174</v>
      </c>
      <c r="E7749" s="8" t="str">
        <f>IFERROR(__xludf.DUMMYFUNCTION("googletranslate(D7749,""id"",""en"")"),"Not dlu. PPKM.")</f>
        <v>Not dlu. PPKM.</v>
      </c>
    </row>
    <row r="7750" ht="15.75" customHeight="1">
      <c r="A7750" s="2">
        <v>7753.0</v>
      </c>
      <c r="B7750" s="5" t="s">
        <v>14175</v>
      </c>
      <c r="C7750" s="6">
        <v>2.0</v>
      </c>
      <c r="D7750" s="7" t="s">
        <v>14176</v>
      </c>
      <c r="E7750" s="8" t="str">
        <f>IFERROR(__xludf.DUMMYFUNCTION("googletranslate(D7750,""id"",""en"")"),"Waduhh turns PPKM MPE Medsos Tah")</f>
        <v>Waduhh turns PPKM MPE Medsos Tah</v>
      </c>
    </row>
    <row r="7751" ht="15.75" customHeight="1">
      <c r="A7751" s="2">
        <v>7754.0</v>
      </c>
      <c r="B7751" s="5" t="s">
        <v>14177</v>
      </c>
      <c r="C7751" s="6">
        <v>1.0</v>
      </c>
      <c r="D7751" s="7" t="s">
        <v>14178</v>
      </c>
      <c r="E7751" s="8" t="str">
        <f>IFERROR(__xludf.DUMMYFUNCTION("googletranslate(D7751,""id"",""en"")"),"Difference in the English league is not prokes. Don't know what else is ppkm")</f>
        <v>Difference in the English league is not prokes. Don't know what else is ppkm</v>
      </c>
    </row>
    <row r="7752" ht="15.75" customHeight="1">
      <c r="A7752" s="2">
        <v>7755.0</v>
      </c>
      <c r="B7752" s="5" t="s">
        <v>14179</v>
      </c>
      <c r="C7752" s="6">
        <v>1.0</v>
      </c>
      <c r="D7752" s="9" t="s">
        <v>14180</v>
      </c>
      <c r="E7752" s="8" t="str">
        <f>IFERROR(__xludf.DUMMYFUNCTION("googletranslate(D7752,""id"",""en"")"),"-The PPKM -Fluencer (Food Blogger): Eating and gathering outside, all Shoping, Alesan Uda Swab etc., the guise helps MSMEs because of government programs. Talking ae golek money for personal with a help to help umkm.kntl")</f>
        <v>-The PPKM -Fluencer (Food Blogger): Eating and gathering outside, all Shoping, Alesan Uda Swab etc., the guise helps MSMEs because of government programs. Talking ae golek money for personal with a help to help umkm.kntl</v>
      </c>
    </row>
    <row r="7753" ht="15.75" customHeight="1">
      <c r="A7753" s="2">
        <v>7756.0</v>
      </c>
      <c r="B7753" s="5" t="s">
        <v>14181</v>
      </c>
      <c r="C7753" s="6">
        <v>3.0</v>
      </c>
      <c r="D7753" s="9" t="s">
        <v>14182</v>
      </c>
      <c r="E7753" s="8" t="str">
        <f>IFERROR(__xludf.DUMMYFUNCTION("googletranslate(D7753,""id"",""en"")"),"Morning, jeff ... smg you &amp; amp; Healthy family is always true, that the church in this PPKM period has not been able to face face to face activities, so we have to be online. We follow the rules")</f>
        <v>Morning, jeff ... smg you &amp; amp; Healthy family is always true, that the church in this PPKM period has not been able to face face to face activities, so we have to be online. We follow the rules</v>
      </c>
    </row>
    <row r="7754" ht="15.75" customHeight="1">
      <c r="A7754" s="2">
        <v>7757.0</v>
      </c>
      <c r="B7754" s="5" t="s">
        <v>14183</v>
      </c>
      <c r="C7754" s="6">
        <v>2.0</v>
      </c>
      <c r="D7754" s="7" t="s">
        <v>14184</v>
      </c>
      <c r="E7754" s="8" t="str">
        <f>IFERROR(__xludf.DUMMYFUNCTION("googletranslate(D7754,""id"",""en"")"),"Everyone has its own way to be happy ... the effect of PPKMLEKAS recovering is beautiful")</f>
        <v>Everyone has its own way to be happy ... the effect of PPKMLEKAS recovering is beautiful</v>
      </c>
    </row>
    <row r="7755" ht="15.75" customHeight="1">
      <c r="A7755" s="2">
        <v>7758.0</v>
      </c>
      <c r="B7755" s="5" t="s">
        <v>14185</v>
      </c>
      <c r="C7755" s="6">
        <v>1.0</v>
      </c>
      <c r="D7755" s="10" t="s">
        <v>14185</v>
      </c>
      <c r="E7755" s="8" t="str">
        <f>IFERROR(__xludf.DUMMYFUNCTION("googletranslate(D7755,""id"",""en"")"),"ppkm ppkm bcit.")</f>
        <v>ppkm ppkm bcit.</v>
      </c>
    </row>
    <row r="7756" ht="15.75" customHeight="1">
      <c r="A7756" s="2">
        <v>7759.0</v>
      </c>
      <c r="B7756" s="5" t="s">
        <v>14186</v>
      </c>
      <c r="C7756" s="6">
        <v>2.0</v>
      </c>
      <c r="D7756" s="7" t="s">
        <v>14187</v>
      </c>
      <c r="E7756" s="8" t="str">
        <f>IFERROR(__xludf.DUMMYFUNCTION("googletranslate(D7756,""id"",""en"")"),"Mo go where is it, right more ppkm ...")</f>
        <v>Mo go where is it, right more ppkm ...</v>
      </c>
    </row>
    <row r="7757" ht="15.75" customHeight="1">
      <c r="A7757" s="2">
        <v>7760.0</v>
      </c>
      <c r="B7757" s="5" t="s">
        <v>14188</v>
      </c>
      <c r="C7757" s="6">
        <v>2.0</v>
      </c>
      <c r="D7757" s="9" t="s">
        <v>14189</v>
      </c>
      <c r="E7757" s="8" t="str">
        <f>IFERROR(__xludf.DUMMYFUNCTION("googletranslate(D7757,""id"",""en"")"),"Good morning Mother Sinta is reportedly? In the PPKM period of my church there is no face to face but it's online. Happy Sunday Mother and family and healthy greetings")</f>
        <v>Good morning Mother Sinta is reportedly? In the PPKM period of my church there is no face to face but it's online. Happy Sunday Mother and family and healthy greetings</v>
      </c>
    </row>
    <row r="7758" ht="15.75" customHeight="1">
      <c r="A7758" s="2">
        <v>7761.0</v>
      </c>
      <c r="B7758" s="5" t="s">
        <v>14190</v>
      </c>
      <c r="C7758" s="6">
        <v>2.0</v>
      </c>
      <c r="D7758" s="7" t="s">
        <v>14191</v>
      </c>
      <c r="E7758" s="8" t="str">
        <f>IFERROR(__xludf.DUMMYFUNCTION("googletranslate(D7758,""id"",""en"")"),"There is a clock. But maybe there's not a lot because of this PPKM.")</f>
        <v>There is a clock. But maybe there's not a lot because of this PPKM.</v>
      </c>
    </row>
    <row r="7759" ht="15.75" customHeight="1">
      <c r="A7759" s="2">
        <v>7762.0</v>
      </c>
      <c r="B7759" s="5" t="s">
        <v>14192</v>
      </c>
      <c r="C7759" s="6">
        <v>1.0</v>
      </c>
      <c r="D7759" s="9" t="s">
        <v>14192</v>
      </c>
      <c r="E7759" s="8" t="str">
        <f>IFERROR(__xludf.DUMMYFUNCTION("googletranslate(D7759,""id"",""en"")"),"Even though if you want to hang out it's hard to update, rich doesn't work people who have the PPKM so that Corona doesn't increase, what does their functions make the IGS complain about the PPKM, but TTP hang out ?? Even though it should be the same haha"&amp;"ha.")</f>
        <v>Even though if you want to hang out it's hard to update, rich doesn't work people who have the PPKM so that Corona doesn't increase, what does their functions make the IGS complain about the PPKM, but TTP hang out ?? Even though it should be the same hahaha.</v>
      </c>
    </row>
    <row r="7760" ht="15.75" customHeight="1">
      <c r="A7760" s="2">
        <v>7763.0</v>
      </c>
      <c r="B7760" s="5" t="s">
        <v>14193</v>
      </c>
      <c r="C7760" s="6">
        <v>2.0</v>
      </c>
      <c r="D7760" s="7" t="s">
        <v>14194</v>
      </c>
      <c r="E7760" s="8" t="str">
        <f>IFERROR(__xludf.DUMMYFUNCTION("googletranslate(D7760,""id"",""en"")"),"MUUPLG PPKM Om")</f>
        <v>MUUPLG PPKM Om</v>
      </c>
    </row>
    <row r="7761" ht="15.75" customHeight="1">
      <c r="A7761" s="2">
        <v>7764.0</v>
      </c>
      <c r="B7761" s="5" t="s">
        <v>14195</v>
      </c>
      <c r="C7761" s="6">
        <v>1.0</v>
      </c>
      <c r="D7761" s="9" t="s">
        <v>14196</v>
      </c>
      <c r="E7761" s="8" t="str">
        <f>IFERROR(__xludf.DUMMYFUNCTION("googletranslate(D7761,""id"",""en"")"),"Sebaleman didn't open IG, when I was very confused about opening IG, this was the PPKM again? Tmn-tmn cave on hanging out all the people whose ppkm misuh extended kmrn, but it's no week Igs the contents are hanging ehe ((:")</f>
        <v>Sebaleman didn't open IG, when I was very confused about opening IG, this was the PPKM again? Tmn-tmn cave on hanging out all the people whose ppkm misuh extended kmrn, but it's no week Igs the contents are hanging ehe ((:</v>
      </c>
    </row>
    <row r="7762" ht="15.75" customHeight="1">
      <c r="A7762" s="2">
        <v>7765.0</v>
      </c>
      <c r="B7762" s="5" t="s">
        <v>14197</v>
      </c>
      <c r="C7762" s="6">
        <v>1.0</v>
      </c>
      <c r="D7762" s="9" t="s">
        <v>14198</v>
      </c>
      <c r="E7762" s="8" t="str">
        <f>IFERROR(__xludf.DUMMYFUNCTION("googletranslate(D7762,""id"",""en"")"),"I swear to hate them whose work is Nongki + uploading, traveling + uploading, playing + upload, which doesn't use a mask, which can't just be used at home, which is a corona, which can't social distance, who complained about the PPKM but it was narrated, "&amp;"traveling, fuck Off!")</f>
        <v>I swear to hate them whose work is Nongki + uploading, traveling + uploading, playing + upload, which doesn't use a mask, which can't just be used at home, which is a corona, which can't social distance, who complained about the PPKM but it was narrated, traveling, fuck Off!</v>
      </c>
    </row>
    <row r="7763" ht="15.75" customHeight="1">
      <c r="A7763" s="2">
        <v>7766.0</v>
      </c>
      <c r="B7763" s="5" t="s">
        <v>14199</v>
      </c>
      <c r="C7763" s="6">
        <v>2.0</v>
      </c>
      <c r="D7763" s="9" t="s">
        <v>14200</v>
      </c>
      <c r="E7763" s="8" t="str">
        <f>IFERROR(__xludf.DUMMYFUNCTION("googletranslate(D7763,""id"",""en"")"),"The old PPKM is so long until I'm not aware of my girlfriend and I broke up")</f>
        <v>The old PPKM is so long until I'm not aware of my girlfriend and I broke up</v>
      </c>
    </row>
    <row r="7764" ht="15.75" customHeight="1">
      <c r="A7764" s="2">
        <v>7767.0</v>
      </c>
      <c r="B7764" s="5" t="s">
        <v>14201</v>
      </c>
      <c r="C7764" s="6">
        <v>2.0</v>
      </c>
      <c r="D7764" s="7" t="s">
        <v>14202</v>
      </c>
      <c r="E7764" s="8" t="str">
        <f>IFERROR(__xludf.DUMMYFUNCTION("googletranslate(D7764,""id"",""en"")"),"How many PPKMs have a mode of people in the online class and Google Meet? gaada ppkm this even falls in love with au")</f>
        <v>How many PPKMs have a mode of people in the online class and Google Meet? gaada ppkm this even falls in love with au</v>
      </c>
    </row>
    <row r="7765" ht="15.75" customHeight="1">
      <c r="A7765" s="2">
        <v>7768.0</v>
      </c>
      <c r="B7765" s="5" t="s">
        <v>14203</v>
      </c>
      <c r="C7765" s="6">
        <v>1.0</v>
      </c>
      <c r="D7765" s="7" t="s">
        <v>14204</v>
      </c>
      <c r="E7765" s="8" t="str">
        <f>IFERROR(__xludf.DUMMYFUNCTION("googletranslate(D7765,""id"",""en"")"),"Really in law there is no term PPKM that has a health quarantine but mo gemana again all the lines have been silenced making barren")</f>
        <v>Really in law there is no term PPKM that has a health quarantine but mo gemana again all the lines have been silenced making barren</v>
      </c>
    </row>
    <row r="7766" ht="15.75" customHeight="1">
      <c r="A7766" s="2">
        <v>7769.0</v>
      </c>
      <c r="B7766" s="5" t="s">
        <v>14205</v>
      </c>
      <c r="C7766" s="6">
        <v>1.0</v>
      </c>
      <c r="D7766" s="7" t="s">
        <v>14206</v>
      </c>
      <c r="E7766" s="8" t="str">
        <f>IFERROR(__xludf.DUMMYFUNCTION("googletranslate(D7766,""id"",""en"")"),"What in Wakanda doesn't understand the art, you have only forced the PPKM PCR vaccine and continues to live like a lively sush, TKA is given a red carpet ... the destruction of wkanda ..")</f>
        <v>What in Wakanda doesn't understand the art, you have only forced the PPKM PCR vaccine and continues to live like a lively sush, TKA is given a red carpet ... the destruction of wkanda ..</v>
      </c>
    </row>
    <row r="7767" ht="15.75" customHeight="1">
      <c r="A7767" s="2">
        <v>7770.0</v>
      </c>
      <c r="B7767" s="5" t="s">
        <v>14207</v>
      </c>
      <c r="C7767" s="6">
        <v>2.0</v>
      </c>
      <c r="D7767" s="7" t="s">
        <v>14207</v>
      </c>
      <c r="E7767" s="8" t="str">
        <f>IFERROR(__xludf.DUMMYFUNCTION("googletranslate(D7767,""id"",""en"")"),"Hopefully PPKM is completed quickly, so you can scene again")</f>
        <v>Hopefully PPKM is completed quickly, so you can scene again</v>
      </c>
    </row>
    <row r="7768" ht="15.75" customHeight="1">
      <c r="A7768" s="2">
        <v>7771.0</v>
      </c>
      <c r="B7768" s="5" t="s">
        <v>14208</v>
      </c>
      <c r="C7768" s="6">
        <v>2.0</v>
      </c>
      <c r="D7768" s="7" t="s">
        <v>14209</v>
      </c>
      <c r="E7768" s="8" t="str">
        <f>IFERROR(__xludf.DUMMYFUNCTION("googletranslate(D7768,""id"",""en"")"),"Ppkm = the audience of joy see.")</f>
        <v>Ppkm = the audience of joy see.</v>
      </c>
    </row>
    <row r="7769" ht="15.75" customHeight="1">
      <c r="A7769" s="2">
        <v>7772.0</v>
      </c>
      <c r="B7769" s="5" t="s">
        <v>14210</v>
      </c>
      <c r="C7769" s="6">
        <v>1.0</v>
      </c>
      <c r="D7769" s="9" t="s">
        <v>14210</v>
      </c>
      <c r="E7769" s="8" t="str">
        <f>IFERROR(__xludf.DUMMYFUNCTION("googletranslate(D7769,""id"",""en"")"),"Payment of the semester exits the PPKM again, you can think of the tea campus")</f>
        <v>Payment of the semester exits the PPKM again, you can think of the tea campus</v>
      </c>
    </row>
    <row r="7770" ht="15.75" customHeight="1">
      <c r="A7770" s="2">
        <v>7773.0</v>
      </c>
      <c r="B7770" s="5" t="s">
        <v>14211</v>
      </c>
      <c r="C7770" s="6">
        <v>2.0</v>
      </c>
      <c r="D7770" s="7" t="s">
        <v>14212</v>
      </c>
      <c r="E7770" s="8" t="str">
        <f>IFERROR(__xludf.DUMMYFUNCTION("googletranslate(D7770,""id"",""en"")"),"When ppkm finished")</f>
        <v>When ppkm finished</v>
      </c>
    </row>
    <row r="7771" ht="15.75" customHeight="1">
      <c r="A7771" s="2">
        <v>7774.0</v>
      </c>
      <c r="B7771" s="5" t="s">
        <v>14213</v>
      </c>
      <c r="C7771" s="6">
        <v>2.0</v>
      </c>
      <c r="D7771" s="9" t="s">
        <v>14214</v>
      </c>
      <c r="E7771" s="8" t="str">
        <f>IFERROR(__xludf.DUMMYFUNCTION("googletranslate(D7771,""id"",""en"")"),"yes, want to go to the salon but the PPKM is not already already")</f>
        <v>yes, want to go to the salon but the PPKM is not already already</v>
      </c>
    </row>
    <row r="7772" ht="15.75" customHeight="1">
      <c r="A7772" s="2">
        <v>7775.0</v>
      </c>
      <c r="B7772" s="5" t="s">
        <v>14215</v>
      </c>
      <c r="C7772" s="6">
        <v>2.0</v>
      </c>
      <c r="D7772" s="7" t="s">
        <v>14216</v>
      </c>
      <c r="E7772" s="8" t="str">
        <f>IFERROR(__xludf.DUMMYFUNCTION("googletranslate(D7772,""id"",""en"")"),"Want PPKM or don't seem to just be the same, where it's just the same. Which is different just open hours.")</f>
        <v>Want PPKM or don't seem to just be the same, where it's just the same. Which is different just open hours.</v>
      </c>
    </row>
    <row r="7773" ht="15.75" customHeight="1">
      <c r="A7773" s="2">
        <v>7776.0</v>
      </c>
      <c r="B7773" s="5" t="s">
        <v>14217</v>
      </c>
      <c r="C7773" s="6">
        <v>1.0</v>
      </c>
      <c r="D7773" s="9" t="s">
        <v>14218</v>
      </c>
      <c r="E7773" s="8" t="str">
        <f>IFERROR(__xludf.DUMMYFUNCTION("googletranslate(D7773,""id"",""en"")"),"Starting to feel more felt the effect of the PPKM, maybe residents around the cave's house began to save with ngepress the budget of eating for survival longer. Finally, we also got the impact of revenue so it was reduced then loss because of the item a l"&amp;"ot of keuang")</f>
        <v>Starting to feel more felt the effect of the PPKM, maybe residents around the cave's house began to save with ngepress the budget of eating for survival longer. Finally, we also got the impact of revenue so it was reduced then loss because of the item a lot of keuang</v>
      </c>
    </row>
    <row r="7774" ht="15.75" customHeight="1">
      <c r="A7774" s="2">
        <v>7777.0</v>
      </c>
      <c r="B7774" s="5" t="s">
        <v>14219</v>
      </c>
      <c r="C7774" s="6">
        <v>1.0</v>
      </c>
      <c r="D7774" s="7" t="s">
        <v>14219</v>
      </c>
      <c r="E7774" s="8" t="str">
        <f>IFERROR(__xludf.DUMMYFUNCTION("googletranslate(D7774,""id"",""en"")"),"I dream of getting a raid on PPKM, then PCR in the place, eh positive. Wkwkwwk Random Amat")</f>
        <v>I dream of getting a raid on PPKM, then PCR in the place, eh positive. Wkwkwwk Random Amat</v>
      </c>
    </row>
    <row r="7775" ht="15.75" customHeight="1">
      <c r="A7775" s="2">
        <v>7778.0</v>
      </c>
      <c r="B7775" s="5" t="s">
        <v>14220</v>
      </c>
      <c r="C7775" s="6">
        <v>1.0</v>
      </c>
      <c r="D7775" s="7" t="s">
        <v>14221</v>
      </c>
      <c r="E7775" s="8" t="str">
        <f>IFERROR(__xludf.DUMMYFUNCTION("googletranslate(D7775,""id"",""en"")"),"Criticism in Medsos: hit the iTechritic law in the wall / mural: hit by the KuhpProtes PPKM article was explored using a bikini: punishment of the year in prison")</f>
        <v>Criticism in Medsos: hit the iTechritic law in the wall / mural: hit by the KuhpProtes PPKM article was explored using a bikini: punishment of the year in prison</v>
      </c>
    </row>
    <row r="7776" ht="15.75" customHeight="1">
      <c r="A7776" s="2">
        <v>7779.0</v>
      </c>
      <c r="B7776" s="5" t="s">
        <v>14222</v>
      </c>
      <c r="C7776" s="6">
        <v>2.0</v>
      </c>
      <c r="D7776" s="7" t="s">
        <v>14223</v>
      </c>
      <c r="E7776" s="8" t="str">
        <f>IFERROR(__xludf.DUMMYFUNCTION("googletranslate(D7776,""id"",""en"")"),"Udh LDR, Corona + PPKM too. Almost the moon doesn't meet: ')")</f>
        <v>Udh LDR, Corona + PPKM too. Almost the moon doesn't meet: ')</v>
      </c>
    </row>
    <row r="7777" ht="15.75" customHeight="1">
      <c r="A7777" s="2">
        <v>7780.0</v>
      </c>
      <c r="B7777" s="5" t="s">
        <v>14224</v>
      </c>
      <c r="C7777" s="6">
        <v>1.0</v>
      </c>
      <c r="D7777" s="9" t="s">
        <v>14225</v>
      </c>
      <c r="E7777" s="8" t="str">
        <f>IFERROR(__xludf.DUMMYFUNCTION("googletranslate(D7777,""id"",""en"")"),"LIAT STORY TMEN NGOPI PGN BGT BGT FOLLOW, TPJAKJAK PPKM APALGI UDH KLS STOP Ngopi DLUU. yes God, huhh cry")</f>
        <v>LIAT STORY TMEN NGOPI PGN BGT BGT FOLLOW, TPJAKJAK PPKM APALGI UDH KLS STOP Ngopi DLUU. yes God, huhh cry</v>
      </c>
    </row>
    <row r="7778" ht="15.75" customHeight="1">
      <c r="A7778" s="2">
        <v>7781.0</v>
      </c>
      <c r="B7778" s="5" t="s">
        <v>14226</v>
      </c>
      <c r="C7778" s="6">
        <v>2.0</v>
      </c>
      <c r="D7778" s="7" t="s">
        <v>14227</v>
      </c>
      <c r="E7778" s="8" t="str">
        <f>IFERROR(__xludf.DUMMYFUNCTION("googletranslate(D7778,""id"",""en"")"),"Wkwkwkwkwk it seems like it's not continued by PPKM. We'll See")</f>
        <v>Wkwkwkwkwk it seems like it's not continued by PPKM. We'll See</v>
      </c>
    </row>
    <row r="7779" ht="15.75" customHeight="1">
      <c r="A7779" s="2">
        <v>7782.0</v>
      </c>
      <c r="B7779" s="5" t="s">
        <v>14228</v>
      </c>
      <c r="C7779" s="6">
        <v>2.0</v>
      </c>
      <c r="D7779" s="7" t="s">
        <v>14228</v>
      </c>
      <c r="E7779" s="8" t="str">
        <f>IFERROR(__xludf.DUMMYFUNCTION("googletranslate(D7779,""id"",""en"")"),"/ wal garden in Tahura Tu the entry of paying? open the ppkm season, the park?")</f>
        <v>/ wal garden in Tahura Tu the entry of paying? open the ppkm season, the park?</v>
      </c>
    </row>
    <row r="7780" ht="15.75" customHeight="1">
      <c r="A7780" s="2">
        <v>7783.0</v>
      </c>
      <c r="B7780" s="5" t="s">
        <v>14229</v>
      </c>
      <c r="C7780" s="6">
        <v>3.0</v>
      </c>
      <c r="D7780" s="9" t="s">
        <v>14230</v>
      </c>
      <c r="E7780" s="8" t="str">
        <f>IFERROR(__xludf.DUMMYFUNCTION("googletranslate(D7780,""id"",""en"")"),"Who wants to be miserable? The government also wants a healthy people prosperous forward together. Don't blame the government if the PPKM is added again, the people must also want to understand by the discipline of prokes and vaccination so that the pande"&amp;"mic passes.")</f>
        <v>Who wants to be miserable? The government also wants a healthy people prosperous forward together. Don't blame the government if the PPKM is added again, the people must also want to understand by the discipline of prokes and vaccination so that the pandemic passes.</v>
      </c>
    </row>
    <row r="7781" ht="15.75" customHeight="1">
      <c r="A7781" s="2">
        <v>7784.0</v>
      </c>
      <c r="B7781" s="5" t="s">
        <v>14231</v>
      </c>
      <c r="C7781" s="6">
        <v>2.0</v>
      </c>
      <c r="D7781" s="9" t="s">
        <v>14232</v>
      </c>
      <c r="E7781" s="8" t="str">
        <f>IFERROR(__xludf.DUMMYFUNCTION("googletranslate(D7781,""id"",""en"")"),"Holidays going home but PPKM, roads are the solution ...")</f>
        <v>Holidays going home but PPKM, roads are the solution ...</v>
      </c>
    </row>
    <row r="7782" ht="15.75" customHeight="1">
      <c r="A7782" s="2">
        <v>7785.0</v>
      </c>
      <c r="B7782" s="5" t="s">
        <v>14233</v>
      </c>
      <c r="C7782" s="6">
        <v>1.0</v>
      </c>
      <c r="D7782" s="9" t="s">
        <v>14234</v>
      </c>
      <c r="E7782" s="8" t="str">
        <f>IFERROR(__xludf.DUMMYFUNCTION("googletranslate(D7782,""id"",""en"")"),"Kyk stop ngeluh ttg ppkm not finished if you just need to pull it up ?!")</f>
        <v>Kyk stop ngeluh ttg ppkm not finished if you just need to pull it up ?!</v>
      </c>
    </row>
    <row r="7783" ht="15.75" customHeight="1">
      <c r="A7783" s="2">
        <v>7786.0</v>
      </c>
      <c r="B7783" s="5" t="s">
        <v>14235</v>
      </c>
      <c r="C7783" s="6">
        <v>1.0</v>
      </c>
      <c r="D7783" s="7" t="s">
        <v>14236</v>
      </c>
      <c r="E7783" s="8" t="str">
        <f>IFERROR(__xludf.DUMMYFUNCTION("googletranslate(D7783,""id"",""en"")"),"Waah can they feel threatened, then PPKM will continue to increase the level of spiciness from $ number $ to $ number $ and it's extended every month, minimal until")</f>
        <v>Waah can they feel threatened, then PPKM will continue to increase the level of spiciness from $ number $ to $ number $ and it's extended every month, minimal until</v>
      </c>
    </row>
    <row r="7784" ht="15.75" customHeight="1">
      <c r="A7784" s="2">
        <v>7787.0</v>
      </c>
      <c r="B7784" s="5" t="s">
        <v>14237</v>
      </c>
      <c r="C7784" s="6">
        <v>2.0</v>
      </c>
      <c r="D7784" s="7" t="s">
        <v>14237</v>
      </c>
      <c r="E7784" s="8" t="str">
        <f>IFERROR(__xludf.DUMMYFUNCTION("googletranslate(D7784,""id"",""en"")"),"A trip in the middle of PPKM Gini Emg was charged more patient and more careful. Teledor a little, time and material can float only")</f>
        <v>A trip in the middle of PPKM Gini Emg was charged more patient and more careful. Teledor a little, time and material can float only</v>
      </c>
    </row>
    <row r="7785" ht="15.75" customHeight="1">
      <c r="A7785" s="2">
        <v>7788.0</v>
      </c>
      <c r="B7785" s="5" t="s">
        <v>14238</v>
      </c>
      <c r="C7785" s="6">
        <v>2.0</v>
      </c>
      <c r="D7785" s="7" t="s">
        <v>14239</v>
      </c>
      <c r="E7785" s="8" t="str">
        <f>IFERROR(__xludf.DUMMYFUNCTION("googletranslate(D7785,""id"",""en"")"),"Kirain asked PPKM to be completed")</f>
        <v>Kirain asked PPKM to be completed</v>
      </c>
    </row>
    <row r="7786" ht="15.75" customHeight="1">
      <c r="A7786" s="2">
        <v>7789.0</v>
      </c>
      <c r="B7786" s="5" t="s">
        <v>14240</v>
      </c>
      <c r="C7786" s="6">
        <v>1.0</v>
      </c>
      <c r="D7786" s="7" t="s">
        <v>14241</v>
      </c>
      <c r="E7786" s="8" t="str">
        <f>IFERROR(__xludf.DUMMYFUNCTION("googletranslate(D7786,""id"",""en"")"),"He who announced the PPKM of volumes, he also made a crowd of volumes. That is inconsistent leader.")</f>
        <v>He who announced the PPKM of volumes, he also made a crowd of volumes. That is inconsistent leader.</v>
      </c>
    </row>
    <row r="7787" ht="15.75" customHeight="1">
      <c r="A7787" s="2">
        <v>7790.0</v>
      </c>
      <c r="B7787" s="5" t="s">
        <v>14242</v>
      </c>
      <c r="C7787" s="6">
        <v>1.0</v>
      </c>
      <c r="D7787" s="7" t="s">
        <v>14243</v>
      </c>
      <c r="E7787" s="8" t="str">
        <f>IFERROR(__xludf.DUMMYFUNCTION("googletranslate(D7787,""id"",""en"")"),"Massing using PPKM TP Disylbies The results only remove the death data because of Covid. Qt is not living in an authoritarian country bro so that the leader is not bechered, then say the people to convey criticism because it's their right")</f>
        <v>Massing using PPKM TP Disylbies The results only remove the death data because of Covid. Qt is not living in an authoritarian country bro so that the leader is not bechered, then say the people to convey criticism because it's their right</v>
      </c>
    </row>
    <row r="7788" ht="15.75" customHeight="1">
      <c r="A7788" s="2">
        <v>7791.0</v>
      </c>
      <c r="B7788" s="5" t="s">
        <v>14244</v>
      </c>
      <c r="C7788" s="6">
        <v>1.0</v>
      </c>
      <c r="D7788" s="9" t="s">
        <v>14245</v>
      </c>
      <c r="E7788" s="8" t="str">
        <f>IFERROR(__xludf.DUMMYFUNCTION("googletranslate(D7788,""id"",""en"")"),"Kl from the beginning using the quarantine law + his obligation, I dare to be Wasweswos support the vaccine ... this is just stop the date, and sure you will continue to start ... I don't believe it, I don't believe ... haha ​​... ppkm psbb What's that, j"&amp;"ust LGsg Lokdon aka Quarantine, Send Bansos ...")</f>
        <v>Kl from the beginning using the quarantine law + his obligation, I dare to be Wasweswos support the vaccine ... this is just stop the date, and sure you will continue to start ... I don't believe it, I don't believe ... haha ​​... ppkm psbb What's that, just LGsg Lokdon aka Quarantine, Send Bansos ...</v>
      </c>
    </row>
    <row r="7789" ht="15.75" customHeight="1">
      <c r="A7789" s="2">
        <v>7792.0</v>
      </c>
      <c r="B7789" s="5" t="s">
        <v>14246</v>
      </c>
      <c r="C7789" s="6">
        <v>2.0</v>
      </c>
      <c r="D7789" s="9" t="s">
        <v>14247</v>
      </c>
      <c r="E7789" s="8" t="str">
        <f>IFERROR(__xludf.DUMMYFUNCTION("googletranslate(D7789,""id"",""en"")"),"again thinking about psychologists ppkm ppkm may or wait for finished first ... answer pls help .bingung")</f>
        <v>again thinking about psychologists ppkm ppkm may or wait for finished first ... answer pls help .bingung</v>
      </c>
    </row>
    <row r="7790" ht="15.75" customHeight="1">
      <c r="A7790" s="2">
        <v>7793.0</v>
      </c>
      <c r="B7790" s="5" t="s">
        <v>14248</v>
      </c>
      <c r="C7790" s="6">
        <v>2.0</v>
      </c>
      <c r="D7790" s="7" t="s">
        <v>14249</v>
      </c>
      <c r="E7790" s="8" t="str">
        <f>IFERROR(__xludf.DUMMYFUNCTION("googletranslate(D7790,""id"",""en"")"),"Ok, Slsaii PPKM is bought., Sklian MMPI to BPK's house")</f>
        <v>Ok, Slsaii PPKM is bought., Sklian MMPI to BPK's house</v>
      </c>
    </row>
    <row r="7791" ht="15.75" customHeight="1">
      <c r="A7791" s="2">
        <v>7794.0</v>
      </c>
      <c r="B7791" s="5" t="s">
        <v>14250</v>
      </c>
      <c r="C7791" s="6">
        <v>2.0</v>
      </c>
      <c r="D7791" s="7" t="s">
        <v>14250</v>
      </c>
      <c r="E7791" s="8" t="str">
        <f>IFERROR(__xludf.DUMMYFUNCTION("googletranslate(D7791,""id"",""en"")"),"Hopefully later tomorrow there is no extended PPKM announcement ...")</f>
        <v>Hopefully later tomorrow there is no extended PPKM announcement ...</v>
      </c>
    </row>
    <row r="7792" ht="15.75" customHeight="1">
      <c r="A7792" s="2">
        <v>7795.0</v>
      </c>
      <c r="B7792" s="5" t="s">
        <v>14251</v>
      </c>
      <c r="C7792" s="6">
        <v>2.0</v>
      </c>
      <c r="D7792" s="7" t="s">
        <v>14252</v>
      </c>
      <c r="E7792" s="8" t="str">
        <f>IFERROR(__xludf.DUMMYFUNCTION("googletranslate(D7792,""id"",""en"")"),"Alhamdulillah, keep the NA-BI, don't be extended again, ppkm")</f>
        <v>Alhamdulillah, keep the NA-BI, don't be extended again, ppkm</v>
      </c>
    </row>
    <row r="7793" ht="15.75" customHeight="1">
      <c r="A7793" s="2">
        <v>7796.0</v>
      </c>
      <c r="B7793" s="5" t="s">
        <v>14253</v>
      </c>
      <c r="C7793" s="6">
        <v>1.0</v>
      </c>
      <c r="D7793" s="7" t="s">
        <v>14254</v>
      </c>
      <c r="E7793" s="8" t="str">
        <f>IFERROR(__xludf.DUMMYFUNCTION("googletranslate(D7793,""id"",""en"")"),"Wkwk hilarious, it's a person, it's the turn of the staff. Lo PPKM, PSBB years also still receive whole salaries, THR, salary, performance benefits. How dare you resign or not? Let Rasaain it feels like looking for welfare in this time.")</f>
        <v>Wkwk hilarious, it's a person, it's the turn of the staff. Lo PPKM, PSBB years also still receive whole salaries, THR, salary, performance benefits. How dare you resign or not? Let Rasaain it feels like looking for welfare in this time.</v>
      </c>
    </row>
    <row r="7794" ht="15.75" customHeight="1">
      <c r="A7794" s="2">
        <v>7797.0</v>
      </c>
      <c r="B7794" s="5" t="s">
        <v>14255</v>
      </c>
      <c r="C7794" s="6">
        <v>1.0</v>
      </c>
      <c r="D7794" s="9" t="s">
        <v>14255</v>
      </c>
      <c r="E7794" s="8" t="str">
        <f>IFERROR(__xludf.DUMMYFUNCTION("googletranslate(D7794,""id"",""en"")"),"Starting accustomed, since the PPKM hours of sleep I was damaged.")</f>
        <v>Starting accustomed, since the PPKM hours of sleep I was damaged.</v>
      </c>
    </row>
    <row r="7795" ht="15.75" customHeight="1">
      <c r="A7795" s="2">
        <v>7798.0</v>
      </c>
      <c r="B7795" s="5" t="s">
        <v>14256</v>
      </c>
      <c r="C7795" s="6">
        <v>1.0</v>
      </c>
      <c r="D7795" s="7" t="s">
        <v>14257</v>
      </c>
      <c r="E7795" s="8" t="str">
        <f>IFERROR(__xludf.DUMMYFUNCTION("googletranslate(D7795,""id"",""en"")"),"If the people are powered after the PPKM is volume without living allowance ...")</f>
        <v>If the people are powered after the PPKM is volume without living allowance ...</v>
      </c>
    </row>
    <row r="7796" ht="15.75" customHeight="1">
      <c r="A7796" s="2">
        <v>7799.0</v>
      </c>
      <c r="B7796" s="5" t="s">
        <v>14258</v>
      </c>
      <c r="C7796" s="6">
        <v>1.0</v>
      </c>
      <c r="D7796" s="7" t="s">
        <v>14259</v>
      </c>
      <c r="E7796" s="8" t="str">
        <f>IFERROR(__xludf.DUMMYFUNCTION("googletranslate(D7796,""id"",""en"")"),"(PPKM) Traders again cry")</f>
        <v>(PPKM) Traders again cry</v>
      </c>
    </row>
    <row r="7797" ht="15.75" customHeight="1">
      <c r="A7797" s="2">
        <v>7800.0</v>
      </c>
      <c r="B7797" s="5" t="s">
        <v>14260</v>
      </c>
      <c r="C7797" s="6">
        <v>1.0</v>
      </c>
      <c r="D7797" s="7" t="s">
        <v>14261</v>
      </c>
      <c r="E7797" s="8" t="str">
        <f>IFERROR(__xludf.DUMMYFUNCTION("googletranslate(D7797,""id"",""en"")"),"Is this gathering gathering, PPKM")</f>
        <v>Is this gathering gathering, PPKM</v>
      </c>
    </row>
    <row r="7798" ht="15.75" customHeight="1">
      <c r="A7798" s="2">
        <v>7801.0</v>
      </c>
      <c r="B7798" s="5" t="s">
        <v>14262</v>
      </c>
      <c r="C7798" s="6">
        <v>1.0</v>
      </c>
      <c r="D7798" s="7" t="s">
        <v>14262</v>
      </c>
      <c r="E7798" s="8" t="str">
        <f>IFERROR(__xludf.DUMMYFUNCTION("googletranslate(D7798,""id"",""en"")"),"Kangen bgt holiday ahh ppkm pork")</f>
        <v>Kangen bgt holiday ahh ppkm pork</v>
      </c>
    </row>
    <row r="7799" ht="15.75" customHeight="1">
      <c r="A7799" s="2">
        <v>7802.0</v>
      </c>
      <c r="B7799" s="5" t="s">
        <v>14263</v>
      </c>
      <c r="C7799" s="6">
        <v>1.0</v>
      </c>
      <c r="D7799" s="7" t="s">
        <v>14264</v>
      </c>
      <c r="E7799" s="8" t="str">
        <f>IFERROR(__xludf.DUMMYFUNCTION("googletranslate(D7799,""id"",""en"")"),"Hopefully the 'People' will have a 'power' after the PPKM is volume without being given a basic allowance or assistance.")</f>
        <v>Hopefully the 'People' will have a 'power' after the PPKM is volume without being given a basic allowance or assistance.</v>
      </c>
    </row>
    <row r="7800" ht="15.75" customHeight="1">
      <c r="A7800" s="2">
        <v>7803.0</v>
      </c>
      <c r="B7800" s="5" t="s">
        <v>14265</v>
      </c>
      <c r="C7800" s="6">
        <v>2.0</v>
      </c>
      <c r="D7800" s="7" t="s">
        <v>14266</v>
      </c>
      <c r="E7800" s="8" t="str">
        <f>IFERROR(__xludf.DUMMYFUNCTION("googletranslate(D7800,""id"",""en"")"),"ppkm let's hurry up, I miss the McD Clock that fills up Malem Malem Ku")</f>
        <v>ppkm let's hurry up, I miss the McD Clock that fills up Malem Malem Ku</v>
      </c>
    </row>
    <row r="7801" ht="15.75" customHeight="1">
      <c r="A7801" s="2">
        <v>7804.0</v>
      </c>
      <c r="B7801" s="5" t="s">
        <v>14267</v>
      </c>
      <c r="C7801" s="6">
        <v>2.0</v>
      </c>
      <c r="D7801" s="9" t="s">
        <v>14268</v>
      </c>
      <c r="E7801" s="8" t="str">
        <f>IFERROR(__xludf.DUMMYFUNCTION("googletranslate(D7801,""id"",""en"")"),"Fuschia: Cheerful Always Happy There Is No Problem This is the color that is funny because it can use clothes that are cute unfortunately PPKMBiru: What are you like a cool Cool City Girl on Soho alone like anime using all items")</f>
        <v>Fuschia: Cheerful Always Happy There Is No Problem This is the color that is funny because it can use clothes that are cute unfortunately PPKMBiru: What are you like a cool Cool City Girl on Soho alone like anime using all items</v>
      </c>
    </row>
    <row r="7802" ht="15.75" customHeight="1">
      <c r="A7802" s="2">
        <v>7805.0</v>
      </c>
      <c r="B7802" s="5" t="s">
        <v>14269</v>
      </c>
      <c r="C7802" s="6">
        <v>2.0</v>
      </c>
      <c r="D7802" s="9" t="s">
        <v>14269</v>
      </c>
      <c r="E7802" s="8" t="str">
        <f>IFERROR(__xludf.DUMMYFUNCTION("googletranslate(D7802,""id"",""en"")"),"If there are people who do the behavior that are outside the norms that are not normal, for the reason he does it because of stress against something dissoluble like ""PPKM"", my question like this is better to bring to a psychological companion or subjec"&amp;"t to criminal sanctions?")</f>
        <v>If there are people who do the behavior that are outside the norms that are not normal, for the reason he does it because of stress against something dissoluble like "PPKM", my question like this is better to bring to a psychological companion or subject to criminal sanctions?</v>
      </c>
    </row>
    <row r="7803" ht="15.75" customHeight="1">
      <c r="A7803" s="2">
        <v>7806.0</v>
      </c>
      <c r="B7803" s="5" t="s">
        <v>14270</v>
      </c>
      <c r="C7803" s="6">
        <v>1.0</v>
      </c>
      <c r="D7803" s="7" t="s">
        <v>14271</v>
      </c>
      <c r="E7803" s="8" t="str">
        <f>IFERROR(__xludf.DUMMYFUNCTION("googletranslate(D7803,""id"",""en"")"),"His name is the Power of Speaker of the Republic of Indonesia. No mask ... No Keep the distance. Aka ... clustered without a mask. Proven no ppkm kan for high-ranking state officials ...?")</f>
        <v>His name is the Power of Speaker of the Republic of Indonesia. No mask ... No Keep the distance. Aka ... clustered without a mask. Proven no ppkm kan for high-ranking state officials ...?</v>
      </c>
    </row>
    <row r="7804" ht="15.75" customHeight="1">
      <c r="A7804" s="2">
        <v>7807.0</v>
      </c>
      <c r="B7804" s="5" t="s">
        <v>14272</v>
      </c>
      <c r="C7804" s="6">
        <v>2.0</v>
      </c>
      <c r="D7804" s="9" t="s">
        <v>14273</v>
      </c>
      <c r="E7804" s="8" t="str">
        <f>IFERROR(__xludf.DUMMYFUNCTION("googletranslate(D7804,""id"",""en"")"),"This krucil2 if it is closed why it becomes rich in PPKM limiting")</f>
        <v>This krucil2 if it is closed why it becomes rich in PPKM limiting</v>
      </c>
    </row>
    <row r="7805" ht="15.75" customHeight="1">
      <c r="A7805" s="2">
        <v>7808.0</v>
      </c>
      <c r="B7805" s="5" t="s">
        <v>14274</v>
      </c>
      <c r="C7805" s="6">
        <v>1.0</v>
      </c>
      <c r="D7805" s="7" t="s">
        <v>14275</v>
      </c>
      <c r="E7805" s="8" t="str">
        <f>IFERROR(__xludf.DUMMYFUNCTION("googletranslate(D7805,""id"",""en"")"),"Hadeh Can Be Used Again PPKM Gini, Many Organs That Lossin, Tetep Only There Is No Taste")</f>
        <v>Hadeh Can Be Used Again PPKM Gini, Many Organs That Lossin, Tetep Only There Is No Taste</v>
      </c>
    </row>
    <row r="7806" ht="15.75" customHeight="1">
      <c r="A7806" s="2">
        <v>7809.0</v>
      </c>
      <c r="B7806" s="5" t="s">
        <v>14276</v>
      </c>
      <c r="C7806" s="6">
        <v>2.0</v>
      </c>
      <c r="D7806" s="10" t="s">
        <v>14277</v>
      </c>
      <c r="E7806" s="8" t="str">
        <f>IFERROR(__xludf.DUMMYFUNCTION("googletranslate(D7806,""id"",""en"")"),"My Boss's PPKM")</f>
        <v>My Boss's PPKM</v>
      </c>
    </row>
    <row r="7807" ht="15.75" customHeight="1">
      <c r="A7807" s="2">
        <v>7810.0</v>
      </c>
      <c r="B7807" s="5" t="s">
        <v>14278</v>
      </c>
      <c r="C7807" s="6">
        <v>1.0</v>
      </c>
      <c r="D7807" s="7" t="s">
        <v>14278</v>
      </c>
      <c r="E7807" s="8" t="str">
        <f>IFERROR(__xludf.DUMMYFUNCTION("googletranslate(D7807,""id"",""en"")"),"PPKM (beggars suffer again)")</f>
        <v>PPKM (beggars suffer again)</v>
      </c>
    </row>
    <row r="7808" ht="15.75" customHeight="1">
      <c r="A7808" s="2">
        <v>7811.0</v>
      </c>
      <c r="B7808" s="5" t="s">
        <v>14279</v>
      </c>
      <c r="C7808" s="6">
        <v>1.0</v>
      </c>
      <c r="D7808" s="7" t="s">
        <v>14279</v>
      </c>
      <c r="E7808" s="8" t="str">
        <f>IFERROR(__xludf.DUMMYFUNCTION("googletranslate(D7808,""id"",""en"")"),"Indeed it happened because when farmers harvest, imports also entered, there were also in other places the LG harvest. So the price is destroyed. Moreover, the PPKM is the power of the consumption of the community also declined.")</f>
        <v>Indeed it happened because when farmers harvest, imports also entered, there were also in other places the LG harvest. So the price is destroyed. Moreover, the PPKM is the power of the consumption of the community also declined.</v>
      </c>
    </row>
    <row r="7809" ht="15.75" customHeight="1">
      <c r="A7809" s="2">
        <v>7812.0</v>
      </c>
      <c r="B7809" s="5" t="s">
        <v>14280</v>
      </c>
      <c r="C7809" s="6">
        <v>2.0</v>
      </c>
      <c r="D7809" s="7" t="s">
        <v>14281</v>
      </c>
      <c r="E7809" s="8" t="str">
        <f>IFERROR(__xludf.DUMMYFUNCTION("googletranslate(D7809,""id"",""en"")"),"Survival competition in PPKM")</f>
        <v>Survival competition in PPKM</v>
      </c>
    </row>
    <row r="7810" ht="15.75" customHeight="1">
      <c r="A7810" s="2">
        <v>7813.0</v>
      </c>
      <c r="B7810" s="5" t="s">
        <v>14282</v>
      </c>
      <c r="C7810" s="6">
        <v>3.0</v>
      </c>
      <c r="D7810" s="7" t="s">
        <v>14283</v>
      </c>
      <c r="E7810" s="8" t="str">
        <f>IFERROR(__xludf.DUMMYFUNCTION("googletranslate(D7810,""id"",""en"")"),"Masts of God the results of the PPKM brway, there is no HSIL ... my President Mang Is the Best")</f>
        <v>Masts of God the results of the PPKM brway, there is no HSIL ... my President Mang Is the Best</v>
      </c>
    </row>
    <row r="7811" ht="15.75" customHeight="1">
      <c r="A7811" s="2">
        <v>7814.0</v>
      </c>
      <c r="B7811" s="5" t="s">
        <v>14284</v>
      </c>
      <c r="C7811" s="6">
        <v>2.0</v>
      </c>
      <c r="D7811" s="7" t="s">
        <v>14285</v>
      </c>
      <c r="E7811" s="8" t="str">
        <f>IFERROR(__xludf.DUMMYFUNCTION("googletranslate(D7811,""id"",""en"")"),"Yu PPKM, Corona. miss you want to play")</f>
        <v>Yu PPKM, Corona. miss you want to play</v>
      </c>
    </row>
    <row r="7812" ht="15.75" customHeight="1">
      <c r="A7812" s="2">
        <v>7815.0</v>
      </c>
      <c r="B7812" s="5" t="s">
        <v>14286</v>
      </c>
      <c r="C7812" s="6">
        <v>2.0</v>
      </c>
      <c r="D7812" s="7" t="s">
        <v>14287</v>
      </c>
      <c r="E7812" s="8" t="str">
        <f>IFERROR(__xludf.DUMMYFUNCTION("googletranslate(D7812,""id"",""en"")"),".The Ko si copit just doang.Isinya there, the M, the PPKM and the vaccine.")</f>
        <v>.The Ko si copit just doang.Isinya there, the M, the PPKM and the vaccine.</v>
      </c>
    </row>
    <row r="7813" ht="15.75" customHeight="1">
      <c r="A7813" s="2">
        <v>7816.0</v>
      </c>
      <c r="B7813" s="5" t="s">
        <v>14288</v>
      </c>
      <c r="C7813" s="6">
        <v>2.0</v>
      </c>
      <c r="D7813" s="7" t="s">
        <v>14289</v>
      </c>
      <c r="E7813" s="8" t="str">
        <f>IFERROR(__xludf.DUMMYFUNCTION("googletranslate(D7813,""id"",""en"")"),"What time is this PPKM, what do you do? Work")</f>
        <v>What time is this PPKM, what do you do? Work</v>
      </c>
    </row>
    <row r="7814" ht="15.75" customHeight="1">
      <c r="A7814" s="2">
        <v>7817.0</v>
      </c>
      <c r="B7814" s="5" t="s">
        <v>14290</v>
      </c>
      <c r="C7814" s="6">
        <v>2.0</v>
      </c>
      <c r="D7814" s="7" t="s">
        <v>14291</v>
      </c>
      <c r="E7814" s="8" t="str">
        <f>IFERROR(__xludf.DUMMYFUNCTION("googletranslate(D7814,""id"",""en"")"),"Wait right ppkm ...")</f>
        <v>Wait right ppkm ...</v>
      </c>
    </row>
    <row r="7815" ht="15.75" customHeight="1">
      <c r="A7815" s="2">
        <v>7818.0</v>
      </c>
      <c r="B7815" s="5" t="s">
        <v>14292</v>
      </c>
      <c r="C7815" s="6">
        <v>2.0</v>
      </c>
      <c r="D7815" s="7" t="s">
        <v>14293</v>
      </c>
      <c r="E7815" s="8" t="str">
        <f>IFERROR(__xludf.DUMMYFUNCTION("googletranslate(D7815,""id"",""en"")"),"Panjangggggggg.kaya ppkm.")</f>
        <v>Panjangggggggg.kaya ppkm.</v>
      </c>
    </row>
    <row r="7816" ht="15.75" customHeight="1">
      <c r="A7816" s="2">
        <v>7819.0</v>
      </c>
      <c r="B7816" s="5" t="s">
        <v>14294</v>
      </c>
      <c r="C7816" s="6">
        <v>1.0</v>
      </c>
      <c r="D7816" s="9" t="s">
        <v>14295</v>
      </c>
      <c r="E7816" s="8" t="str">
        <f>IFERROR(__xludf.DUMMYFUNCTION("googletranslate(D7816,""id"",""en"")"),"Why don't you go to the league? Ouch, what I forgot the league was again PPKM to be postponed.")</f>
        <v>Why don't you go to the league? Ouch, what I forgot the league was again PPKM to be postponed.</v>
      </c>
    </row>
    <row r="7817" ht="15.75" customHeight="1">
      <c r="A7817" s="2">
        <v>7820.0</v>
      </c>
      <c r="B7817" s="5" t="s">
        <v>14296</v>
      </c>
      <c r="C7817" s="6">
        <v>2.0</v>
      </c>
      <c r="D7817" s="9" t="s">
        <v>14297</v>
      </c>
      <c r="E7817" s="8" t="str">
        <f>IFERROR(__xludf.DUMMYFUNCTION("googletranslate(D7817,""id"",""en"")"),"PPKM + Singles + Thesis")</f>
        <v>PPKM + Singles + Thesis</v>
      </c>
    </row>
    <row r="7818" ht="15.75" customHeight="1">
      <c r="A7818" s="2">
        <v>7821.0</v>
      </c>
      <c r="B7818" s="5" t="s">
        <v>14298</v>
      </c>
      <c r="C7818" s="6">
        <v>2.0</v>
      </c>
      <c r="D7818" s="7" t="s">
        <v>14298</v>
      </c>
      <c r="E7818" s="8" t="str">
        <f>IFERROR(__xludf.DUMMYFUNCTION("googletranslate(D7818,""id"",""en"")"),"There are several restaurants on JKT that can be dine in. Yes, I hope the ppkm is not extended again.")</f>
        <v>There are several restaurants on JKT that can be dine in. Yes, I hope the ppkm is not extended again.</v>
      </c>
    </row>
    <row r="7819" ht="15.75" customHeight="1">
      <c r="A7819" s="2">
        <v>7822.0</v>
      </c>
      <c r="B7819" s="5" t="s">
        <v>14299</v>
      </c>
      <c r="C7819" s="6">
        <v>2.0</v>
      </c>
      <c r="D7819" s="9" t="s">
        <v>14300</v>
      </c>
      <c r="E7819" s="8" t="str">
        <f>IFERROR(__xludf.DUMMYFUNCTION("googletranslate(D7819,""id"",""en"")"),"Please dong ppkm long bgt completion wkwwk")</f>
        <v>Please dong ppkm long bgt completion wkwwk</v>
      </c>
    </row>
    <row r="7820" ht="15.75" customHeight="1">
      <c r="A7820" s="2">
        <v>7823.0</v>
      </c>
      <c r="B7820" s="5" t="s">
        <v>14301</v>
      </c>
      <c r="C7820" s="6">
        <v>3.0</v>
      </c>
      <c r="D7820" s="7" t="s">
        <v>14302</v>
      </c>
      <c r="E7820" s="8" t="str">
        <f>IFERROR(__xludf.DUMMYFUNCTION("googletranslate(D7820,""id"",""en"")"),"PPKM? It's easy to controlled")</f>
        <v>PPKM? It's easy to controlled</v>
      </c>
    </row>
    <row r="7821" ht="15.75" customHeight="1">
      <c r="A7821" s="2">
        <v>7824.0</v>
      </c>
      <c r="B7821" s="5" t="s">
        <v>14303</v>
      </c>
      <c r="C7821" s="6">
        <v>2.0</v>
      </c>
      <c r="D7821" s="7" t="s">
        <v>14304</v>
      </c>
      <c r="E7821" s="8" t="str">
        <f>IFERROR(__xludf.DUMMYFUNCTION("googletranslate(D7821,""id"",""en"")"),"The PPKM effect is extended")</f>
        <v>The PPKM effect is extended</v>
      </c>
    </row>
    <row r="7822" ht="15.75" customHeight="1">
      <c r="A7822" s="2">
        <v>7825.0</v>
      </c>
      <c r="B7822" s="5" t="s">
        <v>14305</v>
      </c>
      <c r="C7822" s="6">
        <v>3.0</v>
      </c>
      <c r="D7822" s="10" t="s">
        <v>14306</v>
      </c>
      <c r="E7822" s="8" t="str">
        <f>IFERROR(__xludf.DUMMYFUNCTION("googletranslate(D7822,""id"",""en"")"),"Take care of the distance of the PPKM.")</f>
        <v>Take care of the distance of the PPKM.</v>
      </c>
    </row>
    <row r="7823" ht="15.75" customHeight="1">
      <c r="A7823" s="2">
        <v>7826.0</v>
      </c>
      <c r="B7823" s="5" t="s">
        <v>14307</v>
      </c>
      <c r="C7823" s="6">
        <v>3.0</v>
      </c>
      <c r="D7823" s="9" t="s">
        <v>14308</v>
      </c>
      <c r="E7823" s="8" t="str">
        <f>IFERROR(__xludf.DUMMYFUNCTION("googletranslate(D7823,""id"",""en"")"),"So that the PPKM is not mostly compounding here and there, it's better for possible activities")</f>
        <v>So that the PPKM is not mostly compounding here and there, it's better for possible activities</v>
      </c>
    </row>
    <row r="7824" ht="15.75" customHeight="1">
      <c r="A7824" s="2">
        <v>7827.0</v>
      </c>
      <c r="B7824" s="5" t="s">
        <v>14309</v>
      </c>
      <c r="C7824" s="6">
        <v>2.0</v>
      </c>
      <c r="D7824" s="9" t="s">
        <v>14310</v>
      </c>
      <c r="E7824" s="8" t="str">
        <f>IFERROR(__xludf.DUMMYFUNCTION("googletranslate(D7824,""id"",""en"")"),"Recently, when the PPKM blum")</f>
        <v>Recently, when the PPKM blum</v>
      </c>
    </row>
    <row r="7825" ht="15.75" customHeight="1">
      <c r="A7825" s="2">
        <v>7828.0</v>
      </c>
      <c r="B7825" s="5" t="s">
        <v>14311</v>
      </c>
      <c r="C7825" s="6">
        <v>2.0</v>
      </c>
      <c r="D7825" s="9" t="s">
        <v>14312</v>
      </c>
      <c r="E7825" s="8" t="str">
        <f>IFERROR(__xludf.DUMMYFUNCTION("googletranslate(D7825,""id"",""en"")"),"I want to play badminton. Recently playing with a remote ppkm too")</f>
        <v>I want to play badminton. Recently playing with a remote ppkm too</v>
      </c>
    </row>
    <row r="7826" ht="15.75" customHeight="1">
      <c r="A7826" s="2">
        <v>7829.0</v>
      </c>
      <c r="B7826" s="5" t="s">
        <v>14313</v>
      </c>
      <c r="C7826" s="6">
        <v>2.0</v>
      </c>
      <c r="D7826" s="10" t="s">
        <v>14314</v>
      </c>
      <c r="E7826" s="8" t="str">
        <f>IFERROR(__xludf.DUMMYFUNCTION("googletranslate(D7826,""id"",""en"")"),"GA PPKM GA?")</f>
        <v>GA PPKM GA?</v>
      </c>
    </row>
    <row r="7827" ht="15.75" customHeight="1">
      <c r="A7827" s="2">
        <v>7830.0</v>
      </c>
      <c r="B7827" s="5" t="s">
        <v>14315</v>
      </c>
      <c r="C7827" s="6">
        <v>1.0</v>
      </c>
      <c r="D7827" s="7" t="s">
        <v>14316</v>
      </c>
      <c r="E7827" s="8" t="str">
        <f>IFERROR(__xludf.DUMMYFUNCTION("googletranslate(D7827,""id"",""en"")"),"Susaah if the laper is right when it's shift and still PPKM, on the close")</f>
        <v>Susaah if the laper is right when it's shift and still PPKM, on the close</v>
      </c>
    </row>
    <row r="7828" ht="15.75" customHeight="1">
      <c r="A7828" s="2">
        <v>7831.0</v>
      </c>
      <c r="B7828" s="5" t="s">
        <v>14317</v>
      </c>
      <c r="C7828" s="6">
        <v>2.0</v>
      </c>
      <c r="D7828" s="9" t="s">
        <v>14318</v>
      </c>
      <c r="E7828" s="8" t="str">
        <f>IFERROR(__xludf.DUMMYFUNCTION("googletranslate(D7828,""id"",""en"")"),"But the clock at the time of me was MCD, but it was also the problem, the PPKM was still right?")</f>
        <v>But the clock at the time of me was MCD, but it was also the problem, the PPKM was still right?</v>
      </c>
    </row>
    <row r="7829" ht="15.75" customHeight="1">
      <c r="A7829" s="2">
        <v>7832.0</v>
      </c>
      <c r="B7829" s="5" t="s">
        <v>14319</v>
      </c>
      <c r="C7829" s="6">
        <v>2.0</v>
      </c>
      <c r="D7829" s="7" t="s">
        <v>14319</v>
      </c>
      <c r="E7829" s="8" t="str">
        <f>IFERROR(__xludf.DUMMYFUNCTION("googletranslate(D7829,""id"",""en"")"),"finally the smartness of Na Bi, the PPKM is better soon")</f>
        <v>finally the smartness of Na Bi, the PPKM is better soon</v>
      </c>
    </row>
    <row r="7830" ht="15.75" customHeight="1">
      <c r="A7830" s="2">
        <v>7833.0</v>
      </c>
      <c r="B7830" s="5" t="s">
        <v>14320</v>
      </c>
      <c r="C7830" s="6">
        <v>2.0</v>
      </c>
      <c r="D7830" s="10" t="s">
        <v>14321</v>
      </c>
      <c r="E7830" s="8" t="str">
        <f>IFERROR(__xludf.DUMMYFUNCTION("googletranslate(D7830,""id"",""en"")"),"DKI Jakarta PPKM")</f>
        <v>DKI Jakarta PPKM</v>
      </c>
    </row>
    <row r="7831" ht="15.75" customHeight="1">
      <c r="A7831" s="2">
        <v>7834.0</v>
      </c>
      <c r="B7831" s="5" t="s">
        <v>14322</v>
      </c>
      <c r="C7831" s="6">
        <v>1.0</v>
      </c>
      <c r="D7831" s="9" t="s">
        <v>14323</v>
      </c>
      <c r="E7831" s="8" t="str">
        <f>IFERROR(__xludf.DUMMYFUNCTION("googletranslate(D7831,""id"",""en"")"),"Want to be gnimna again. PPKM inclusion is no expenditure. yes free free kak")</f>
        <v>Want to be gnimna again. PPKM inclusion is no expenditure. yes free free kak</v>
      </c>
    </row>
    <row r="7832" ht="15.75" customHeight="1">
      <c r="A7832" s="2">
        <v>7835.0</v>
      </c>
      <c r="B7832" s="5" t="s">
        <v>14324</v>
      </c>
      <c r="C7832" s="6">
        <v>2.0</v>
      </c>
      <c r="D7832" s="7" t="s">
        <v>14325</v>
      </c>
      <c r="E7832" s="8" t="str">
        <f>IFERROR(__xludf.DUMMYFUNCTION("googletranslate(D7832,""id"",""en"")"),"emmm, from psbb to the sieee ppkm huh")</f>
        <v>emmm, from psbb to the sieee ppkm huh</v>
      </c>
    </row>
    <row r="7833" ht="15.75" customHeight="1">
      <c r="A7833" s="2">
        <v>7836.0</v>
      </c>
      <c r="B7833" s="5" t="s">
        <v>14326</v>
      </c>
      <c r="C7833" s="6">
        <v>2.0</v>
      </c>
      <c r="D7833" s="7" t="s">
        <v>14327</v>
      </c>
      <c r="E7833" s="8" t="str">
        <f>IFERROR(__xludf.DUMMYFUNCTION("googletranslate(D7833,""id"",""en"")"),"PPKM extended lagikazutora: It's all because of your fault mikey")</f>
        <v>PPKM extended lagikazutora: It's all because of your fault mikey</v>
      </c>
    </row>
    <row r="7834" ht="15.75" customHeight="1">
      <c r="A7834" s="2">
        <v>7837.0</v>
      </c>
      <c r="B7834" s="5" t="s">
        <v>14328</v>
      </c>
      <c r="C7834" s="6">
        <v>2.0</v>
      </c>
      <c r="D7834" s="9" t="s">
        <v>14329</v>
      </c>
      <c r="E7834" s="8" t="str">
        <f>IFERROR(__xludf.DUMMYFUNCTION("googletranslate(D7834,""id"",""en"")"),"Very funny entertainment when PPKM")</f>
        <v>Very funny entertainment when PPKM</v>
      </c>
    </row>
    <row r="7835" ht="15.75" customHeight="1">
      <c r="A7835" s="2">
        <v>7838.0</v>
      </c>
      <c r="B7835" s="5" t="s">
        <v>14330</v>
      </c>
      <c r="C7835" s="6">
        <v>2.0</v>
      </c>
      <c r="D7835" s="7" t="s">
        <v>14331</v>
      </c>
      <c r="E7835" s="8" t="str">
        <f>IFERROR(__xludf.DUMMYFUNCTION("googletranslate(D7835,""id"",""en"")"),"How do you want to wander uncle. Still still PPKM")</f>
        <v>How do you want to wander uncle. Still still PPKM</v>
      </c>
    </row>
    <row r="7836" ht="15.75" customHeight="1">
      <c r="A7836" s="2">
        <v>7839.0</v>
      </c>
      <c r="B7836" s="5" t="s">
        <v>14332</v>
      </c>
      <c r="C7836" s="6">
        <v>1.0</v>
      </c>
      <c r="D7836" s="9" t="s">
        <v>14333</v>
      </c>
      <c r="E7836" s="8" t="str">
        <f>IFERROR(__xludf.DUMMYFUNCTION("googletranslate(D7836,""id"",""en"")"),"Cinema when to open the ppkm ppkm dah")</f>
        <v>Cinema when to open the ppkm ppkm dah</v>
      </c>
    </row>
    <row r="7837" ht="15.75" customHeight="1">
      <c r="A7837" s="2">
        <v>7840.0</v>
      </c>
      <c r="B7837" s="5" t="s">
        <v>14334</v>
      </c>
      <c r="C7837" s="6">
        <v>1.0</v>
      </c>
      <c r="D7837" s="7" t="s">
        <v>14335</v>
      </c>
      <c r="E7837" s="8" t="str">
        <f>IFERROR(__xludf.DUMMYFUNCTION("googletranslate(D7837,""id"",""en"")"),"Yes, the month of the PPKM grgr grl rises krl there are conditions. Pdfff ~")</f>
        <v>Yes, the month of the PPKM grgr grl rises krl there are conditions. Pdfff ~</v>
      </c>
    </row>
    <row r="7838" ht="15.75" customHeight="1">
      <c r="A7838" s="2">
        <v>7841.0</v>
      </c>
      <c r="B7838" s="5" t="s">
        <v>14336</v>
      </c>
      <c r="C7838" s="6">
        <v>2.0</v>
      </c>
      <c r="D7838" s="9" t="s">
        <v>14336</v>
      </c>
      <c r="E7838" s="8" t="str">
        <f>IFERROR(__xludf.DUMMYFUNCTION("googletranslate(D7838,""id"",""en"")"),"PPKM concept of a friend is billed in debt, next week next week mulu.")</f>
        <v>PPKM concept of a friend is billed in debt, next week next week mulu.</v>
      </c>
    </row>
    <row r="7839" ht="15.75" customHeight="1">
      <c r="A7839" s="2">
        <v>7842.0</v>
      </c>
      <c r="B7839" s="5" t="s">
        <v>14337</v>
      </c>
      <c r="C7839" s="6">
        <v>2.0</v>
      </c>
      <c r="D7839" s="7" t="s">
        <v>14338</v>
      </c>
      <c r="E7839" s="8" t="str">
        <f>IFERROR(__xludf.DUMMYFUNCTION("googletranslate(D7839,""id"",""en"")"),"Just lonely because of the ppkm kak")</f>
        <v>Just lonely because of the ppkm kak</v>
      </c>
    </row>
    <row r="7840" ht="15.75" customHeight="1">
      <c r="A7840" s="2">
        <v>7843.0</v>
      </c>
      <c r="B7840" s="5" t="s">
        <v>14339</v>
      </c>
      <c r="C7840" s="6">
        <v>1.0</v>
      </c>
      <c r="D7840" s="7" t="s">
        <v>14340</v>
      </c>
      <c r="E7840" s="8" t="str">
        <f>IFERROR(__xludf.DUMMYFUNCTION("googletranslate(D7840,""id"",""en"")"),"Sis, look, I'm top, you want to boking me ... again leaning in the time ""PPKM ... call boking bots.")</f>
        <v>Sis, look, I'm top, you want to boking me ... again leaning in the time "PPKM ... call boking bots.</v>
      </c>
    </row>
    <row r="7841" ht="15.75" customHeight="1">
      <c r="A7841" s="2">
        <v>7844.0</v>
      </c>
      <c r="B7841" s="5" t="s">
        <v>14341</v>
      </c>
      <c r="C7841" s="6">
        <v>2.0</v>
      </c>
      <c r="D7841" s="7" t="s">
        <v>14341</v>
      </c>
      <c r="E7841" s="8" t="str">
        <f>IFERROR(__xludf.DUMMYFUNCTION("googletranslate(D7841,""id"",""en"")"),"((Ppkm May Car Free Day Gasih?))")</f>
        <v>((Ppkm May Car Free Day Gasih?))</v>
      </c>
    </row>
    <row r="7842" ht="15.75" customHeight="1">
      <c r="A7842" s="2">
        <v>7845.0</v>
      </c>
      <c r="B7842" s="5" t="s">
        <v>14342</v>
      </c>
      <c r="C7842" s="6">
        <v>2.0</v>
      </c>
      <c r="D7842" s="9" t="s">
        <v>14342</v>
      </c>
      <c r="E7842" s="8" t="str">
        <f>IFERROR(__xludf.DUMMYFUNCTION("googletranslate(D7842,""id"",""en"")"),"Singles in PPKM")</f>
        <v>Singles in PPKM</v>
      </c>
    </row>
    <row r="7843" ht="15.75" customHeight="1">
      <c r="A7843" s="2">
        <v>7846.0</v>
      </c>
      <c r="B7843" s="5" t="s">
        <v>14343</v>
      </c>
      <c r="C7843" s="6">
        <v>2.0</v>
      </c>
      <c r="D7843" s="7" t="s">
        <v>14344</v>
      </c>
      <c r="E7843" s="8" t="str">
        <f>IFERROR(__xludf.DUMMYFUNCTION("googletranslate(D7843,""id"",""en"")"),"The PPKM Keknya is not extended because the na-bi already has aura aware is the time for Bobo soundly")</f>
        <v>The PPKM Keknya is not extended because the na-bi already has aura aware is the time for Bobo soundly</v>
      </c>
    </row>
    <row r="7844" ht="15.75" customHeight="1">
      <c r="A7844" s="2">
        <v>7847.0</v>
      </c>
      <c r="B7844" s="5" t="s">
        <v>14345</v>
      </c>
      <c r="C7844" s="6">
        <v>1.0</v>
      </c>
      <c r="D7844" s="9" t="s">
        <v>14346</v>
      </c>
      <c r="E7844" s="8" t="str">
        <f>IFERROR(__xludf.DUMMYFUNCTION("googletranslate(D7844,""id"",""en"")"),"Open in Sidoarjo City of Mas, Taman Pinang area Loh TP Klo Klo PPKM Gini Danger Situ Area Situ")</f>
        <v>Open in Sidoarjo City of Mas, Taman Pinang area Loh TP Klo Klo PPKM Gini Danger Situ Area Situ</v>
      </c>
    </row>
    <row r="7845" ht="15.75" customHeight="1">
      <c r="A7845" s="2">
        <v>7848.0</v>
      </c>
      <c r="B7845" s="5" t="s">
        <v>14347</v>
      </c>
      <c r="C7845" s="6">
        <v>1.0</v>
      </c>
      <c r="D7845" s="7" t="s">
        <v>14348</v>
      </c>
      <c r="E7845" s="8" t="str">
        <f>IFERROR(__xludf.DUMMYFUNCTION("googletranslate(D7845,""id"",""en"")"),"KPAN Y to Heha Again, KGN BNGT ASW PPKM Come on Come on")</f>
        <v>KPAN Y to Heha Again, KGN BNGT ASW PPKM Come on Come on</v>
      </c>
    </row>
    <row r="7846" ht="15.75" customHeight="1">
      <c r="A7846" s="2">
        <v>7849.0</v>
      </c>
      <c r="B7846" s="5" t="s">
        <v>14349</v>
      </c>
      <c r="C7846" s="6">
        <v>2.0</v>
      </c>
      <c r="D7846" s="7" t="s">
        <v>14350</v>
      </c>
      <c r="E7846" s="8" t="str">
        <f>IFERROR(__xludf.DUMMYFUNCTION("googletranslate(D7846,""id"",""en"")"),"ppkm can't be frequency of physical contact, so contact wa kmu bleh?")</f>
        <v>ppkm can't be frequency of physical contact, so contact wa kmu bleh?</v>
      </c>
    </row>
    <row r="7847" ht="15.75" customHeight="1">
      <c r="A7847" s="2">
        <v>7850.0</v>
      </c>
      <c r="B7847" s="5" t="s">
        <v>14351</v>
      </c>
      <c r="C7847" s="6">
        <v>2.0</v>
      </c>
      <c r="D7847" s="10" t="s">
        <v>14352</v>
      </c>
      <c r="E7847" s="8" t="str">
        <f>IFERROR(__xludf.DUMMYFUNCTION("googletranslate(D7847,""id"",""en"")"),"PPKM Cil.")</f>
        <v>PPKM Cil.</v>
      </c>
    </row>
    <row r="7848" ht="15.75" customHeight="1">
      <c r="A7848" s="2">
        <v>7851.0</v>
      </c>
      <c r="B7848" s="5" t="s">
        <v>14353</v>
      </c>
      <c r="C7848" s="6">
        <v>2.0</v>
      </c>
      <c r="D7848" s="7" t="s">
        <v>14354</v>
      </c>
      <c r="E7848" s="8" t="str">
        <f>IFERROR(__xludf.DUMMYFUNCTION("googletranslate(D7848,""id"",""en"")"),"the albatros ppkm can't fly so it can't be nyabisa")</f>
        <v>the albatros ppkm can't fly so it can't be nyabisa</v>
      </c>
    </row>
    <row r="7849" ht="15.75" customHeight="1">
      <c r="A7849" s="2">
        <v>7852.0</v>
      </c>
      <c r="B7849" s="5" t="s">
        <v>14355</v>
      </c>
      <c r="C7849" s="6">
        <v>2.0</v>
      </c>
      <c r="D7849" s="10" t="s">
        <v>14356</v>
      </c>
      <c r="E7849" s="8" t="str">
        <f>IFERROR(__xludf.DUMMYFUNCTION("googletranslate(D7849,""id"",""en"")"),"PPKM Mas.")</f>
        <v>PPKM Mas.</v>
      </c>
    </row>
    <row r="7850" ht="15.75" customHeight="1">
      <c r="A7850" s="2">
        <v>7853.0</v>
      </c>
      <c r="B7850" s="5" t="s">
        <v>14357</v>
      </c>
      <c r="C7850" s="6">
        <v>2.0</v>
      </c>
      <c r="D7850" s="7" t="s">
        <v>14358</v>
      </c>
      <c r="E7850" s="8" t="str">
        <f>IFERROR(__xludf.DUMMYFUNCTION("googletranslate(D7850,""id"",""en"")"),"Bismillah, I hope the Prophet is aware of it so that the PPKM is not extended")</f>
        <v>Bismillah, I hope the Prophet is aware of it so that the PPKM is not extended</v>
      </c>
    </row>
    <row r="7851" ht="15.75" customHeight="1">
      <c r="A7851" s="2">
        <v>7854.0</v>
      </c>
      <c r="B7851" s="5" t="s">
        <v>14359</v>
      </c>
      <c r="C7851" s="6">
        <v>2.0</v>
      </c>
      <c r="D7851" s="7" t="s">
        <v>14360</v>
      </c>
      <c r="E7851" s="8" t="str">
        <f>IFERROR(__xludf.DUMMYFUNCTION("googletranslate(D7851,""id"",""en"")"),"Jakarta Still Gaes PPKM")</f>
        <v>Jakarta Still Gaes PPKM</v>
      </c>
    </row>
    <row r="7852" ht="15.75" customHeight="1">
      <c r="A7852" s="2">
        <v>7855.0</v>
      </c>
      <c r="B7852" s="5" t="s">
        <v>14361</v>
      </c>
      <c r="C7852" s="6">
        <v>2.0</v>
      </c>
      <c r="D7852" s="7" t="s">
        <v>14361</v>
      </c>
      <c r="E7852" s="8" t="str">
        <f>IFERROR(__xludf.DUMMYFUNCTION("googletranslate(D7852,""id"",""en"")"),"Ppkm how are you? It ends?")</f>
        <v>Ppkm how are you? It ends?</v>
      </c>
    </row>
    <row r="7853" ht="15.75" customHeight="1">
      <c r="A7853" s="2">
        <v>7856.0</v>
      </c>
      <c r="B7853" s="5" t="s">
        <v>14362</v>
      </c>
      <c r="C7853" s="6">
        <v>2.0</v>
      </c>
      <c r="D7853" s="7" t="s">
        <v>14363</v>
      </c>
      <c r="E7853" s="8" t="str">
        <f>IFERROR(__xludf.DUMMYFUNCTION("googletranslate(D7853,""id"",""en"")"),"Forward PPKM.")</f>
        <v>Forward PPKM.</v>
      </c>
    </row>
    <row r="7854" ht="15.75" customHeight="1">
      <c r="A7854" s="2">
        <v>7857.0</v>
      </c>
      <c r="B7854" s="5" t="s">
        <v>14364</v>
      </c>
      <c r="C7854" s="6">
        <v>2.0</v>
      </c>
      <c r="D7854" s="7" t="s">
        <v>14365</v>
      </c>
      <c r="E7854" s="8" t="str">
        <f>IFERROR(__xludf.DUMMYFUNCTION("googletranslate(D7854,""id"",""en"")"),"Hopefully the PPKM ends it can be stable again")</f>
        <v>Hopefully the PPKM ends it can be stable again</v>
      </c>
    </row>
    <row r="7855" ht="15.75" customHeight="1">
      <c r="A7855" s="2">
        <v>7858.0</v>
      </c>
      <c r="B7855" s="5" t="s">
        <v>14366</v>
      </c>
      <c r="C7855" s="6">
        <v>2.0</v>
      </c>
      <c r="D7855" s="7" t="s">
        <v>14367</v>
      </c>
      <c r="E7855" s="8" t="str">
        <f>IFERROR(__xludf.DUMMYFUNCTION("googletranslate(D7855,""id"",""en"")"),"Bring food again PPKM again !!!")</f>
        <v>Bring food again PPKM again !!!</v>
      </c>
    </row>
    <row r="7856" ht="15.75" customHeight="1">
      <c r="A7856" s="2">
        <v>7859.0</v>
      </c>
      <c r="B7856" s="5" t="s">
        <v>14368</v>
      </c>
      <c r="C7856" s="6">
        <v>2.0</v>
      </c>
      <c r="D7856" s="7" t="s">
        <v>14369</v>
      </c>
      <c r="E7856" s="8" t="str">
        <f>IFERROR(__xludf.DUMMYFUNCTION("googletranslate(D7856,""id"",""en"")"),"What level of Central Java PPKM, I want to PTM")</f>
        <v>What level of Central Java PPKM, I want to PTM</v>
      </c>
    </row>
    <row r="7857" ht="15.75" customHeight="1">
      <c r="A7857" s="2">
        <v>7860.0</v>
      </c>
      <c r="B7857" s="5" t="s">
        <v>14370</v>
      </c>
      <c r="C7857" s="6">
        <v>2.0</v>
      </c>
      <c r="D7857" s="9" t="s">
        <v>14371</v>
      </c>
      <c r="E7857" s="8" t="str">
        <f>IFERROR(__xludf.DUMMYFUNCTION("googletranslate(D7857,""id"",""en"")"),"Ndk depends on the back, it seems that if the zone is still PPKM level or red, it's not offline ...")</f>
        <v>Ndk depends on the back, it seems that if the zone is still PPKM level or red, it's not offline ...</v>
      </c>
    </row>
    <row r="7858" ht="15.75" customHeight="1">
      <c r="A7858" s="2">
        <v>7861.0</v>
      </c>
      <c r="B7858" s="5" t="s">
        <v>14372</v>
      </c>
      <c r="C7858" s="6">
        <v>2.0</v>
      </c>
      <c r="D7858" s="7" t="s">
        <v>14373</v>
      </c>
      <c r="E7858" s="8" t="str">
        <f>IFERROR(__xludf.DUMMYFUNCTION("googletranslate(D7858,""id"",""en"")"),"Dr. PPKM Stay At Home All Day TV Of Tends to Play HP")</f>
        <v>Dr. PPKM Stay At Home All Day TV Of Tends to Play HP</v>
      </c>
    </row>
    <row r="7859" ht="15.75" customHeight="1">
      <c r="A7859" s="2">
        <v>7862.0</v>
      </c>
      <c r="B7859" s="5" t="s">
        <v>14374</v>
      </c>
      <c r="C7859" s="6">
        <v>2.0</v>
      </c>
      <c r="D7859" s="7" t="s">
        <v>14374</v>
      </c>
      <c r="E7859" s="8" t="str">
        <f>IFERROR(__xludf.DUMMYFUNCTION("googletranslate(D7859,""id"",""en"")"),"The road lights are not dimatiin, but it's not turned on during the PPKM. Maybe make electricity, the budget is transferred to another.")</f>
        <v>The road lights are not dimatiin, but it's not turned on during the PPKM. Maybe make electricity, the budget is transferred to another.</v>
      </c>
    </row>
    <row r="7860" ht="15.75" customHeight="1">
      <c r="A7860" s="2">
        <v>7863.0</v>
      </c>
      <c r="B7860" s="5" t="s">
        <v>14375</v>
      </c>
      <c r="C7860" s="6">
        <v>2.0</v>
      </c>
      <c r="D7860" s="7" t="s">
        <v>14376</v>
      </c>
      <c r="E7860" s="8" t="str">
        <f>IFERROR(__xludf.DUMMYFUNCTION("googletranslate(D7860,""id"",""en"")"),"Sipp at home. Still PPKM")</f>
        <v>Sipp at home. Still PPKM</v>
      </c>
    </row>
    <row r="7861" ht="15.75" customHeight="1">
      <c r="A7861" s="2">
        <v>7864.0</v>
      </c>
      <c r="B7861" s="5" t="s">
        <v>14377</v>
      </c>
      <c r="C7861" s="6">
        <v>2.0</v>
      </c>
      <c r="D7861" s="9" t="s">
        <v>14378</v>
      </c>
      <c r="E7861" s="8" t="str">
        <f>IFERROR(__xludf.DUMMYFUNCTION("googletranslate(D7861,""id"",""en"")"),"You can: PPKM wants to hug Kalobole Mangku")</f>
        <v>You can: PPKM wants to hug Kalobole Mangku</v>
      </c>
    </row>
    <row r="7862" ht="15.75" customHeight="1">
      <c r="A7862" s="2">
        <v>7865.0</v>
      </c>
      <c r="B7862" s="5" t="s">
        <v>14379</v>
      </c>
      <c r="C7862" s="6">
        <v>3.0</v>
      </c>
      <c r="D7862" s="7" t="s">
        <v>14380</v>
      </c>
      <c r="E7862" s="8" t="str">
        <f>IFERROR(__xludf.DUMMYFUNCTION("googletranslate(D7862,""id"",""en"")"),"Yes !! PPKM Lower Drill in Java and National..Pessiden Jokowi Still Order for Vaccination and Testing ..")</f>
        <v>Yes !! PPKM Lower Drill in Java and National..Pessiden Jokowi Still Order for Vaccination and Testing ..</v>
      </c>
    </row>
    <row r="7863" ht="15.75" customHeight="1">
      <c r="A7863" s="2">
        <v>7866.0</v>
      </c>
      <c r="B7863" s="5" t="s">
        <v>14381</v>
      </c>
      <c r="C7863" s="6">
        <v>2.0</v>
      </c>
      <c r="D7863" s="7" t="s">
        <v>14382</v>
      </c>
      <c r="E7863" s="8" t="str">
        <f>IFERROR(__xludf.DUMMYFUNCTION("googletranslate(D7863,""id"",""en"")"),"Monday, it means the time to wait for the PPKM announcement")</f>
        <v>Monday, it means the time to wait for the PPKM announcement</v>
      </c>
    </row>
    <row r="7864" ht="15.75" customHeight="1">
      <c r="A7864" s="2">
        <v>7867.0</v>
      </c>
      <c r="B7864" s="5" t="s">
        <v>14383</v>
      </c>
      <c r="C7864" s="6">
        <v>1.0</v>
      </c>
      <c r="D7864" s="7" t="s">
        <v>14384</v>
      </c>
      <c r="E7864" s="8" t="str">
        <f>IFERROR(__xludf.DUMMYFUNCTION("googletranslate(D7864,""id"",""en"")"),"PPKM finished until he finished !!! period just want to check the same people !!!! Great brain with his heart sir")</f>
        <v>PPKM finished until he finished !!! period just want to check the same people !!!! Great brain with his heart sir</v>
      </c>
    </row>
    <row r="7865" ht="15.75" customHeight="1">
      <c r="A7865" s="2">
        <v>7868.0</v>
      </c>
      <c r="B7865" s="5" t="s">
        <v>14385</v>
      </c>
      <c r="C7865" s="6">
        <v>2.0</v>
      </c>
      <c r="D7865" s="7" t="s">
        <v>14386</v>
      </c>
      <c r="E7865" s="8" t="str">
        <f>IFERROR(__xludf.DUMMYFUNCTION("googletranslate(D7865,""id"",""en"")"),"Ppkm can still be gofood")</f>
        <v>Ppkm can still be gofood</v>
      </c>
    </row>
    <row r="7866" ht="15.75" customHeight="1">
      <c r="A7866" s="2">
        <v>7869.0</v>
      </c>
      <c r="B7866" s="5" t="s">
        <v>14387</v>
      </c>
      <c r="C7866" s="6">
        <v>2.0</v>
      </c>
      <c r="D7866" s="7" t="s">
        <v>14388</v>
      </c>
      <c r="E7866" s="8" t="str">
        <f>IFERROR(__xludf.DUMMYFUNCTION("googletranslate(D7866,""id"",""en"")"),"PPKM Pliss quickly finished Dongg, Kangen Bandung")</f>
        <v>PPKM Pliss quickly finished Dongg, Kangen Bandung</v>
      </c>
    </row>
    <row r="7867" ht="15.75" customHeight="1">
      <c r="A7867" s="2">
        <v>7870.0</v>
      </c>
      <c r="B7867" s="5" t="s">
        <v>14389</v>
      </c>
      <c r="C7867" s="6">
        <v>2.0</v>
      </c>
      <c r="D7867" s="7" t="s">
        <v>14390</v>
      </c>
      <c r="E7867" s="8" t="str">
        <f>IFERROR(__xludf.DUMMYFUNCTION("googletranslate(D7867,""id"",""en"")"),"Tomorrow there will be a lot of discounts or not, again Ginikonics PPKM Make Win icon")</f>
        <v>Tomorrow there will be a lot of discounts or not, again Ginikonics PPKM Make Win icon</v>
      </c>
    </row>
    <row r="7868" ht="15.75" customHeight="1">
      <c r="A7868" s="2">
        <v>7871.0</v>
      </c>
      <c r="B7868" s="5" t="s">
        <v>14391</v>
      </c>
      <c r="C7868" s="6">
        <v>2.0</v>
      </c>
      <c r="D7868" s="7" t="s">
        <v>14392</v>
      </c>
      <c r="E7868" s="8" t="str">
        <f>IFERROR(__xludf.DUMMYFUNCTION("googletranslate(D7868,""id"",""en"")"),"Today must be an extension of the PPKM smpe on August")</f>
        <v>Today must be an extension of the PPKM smpe on August</v>
      </c>
    </row>
    <row r="7869" ht="15.75" customHeight="1">
      <c r="A7869" s="2">
        <v>7872.0</v>
      </c>
      <c r="B7869" s="5" t="s">
        <v>14393</v>
      </c>
      <c r="C7869" s="6">
        <v>1.0</v>
      </c>
      <c r="D7869" s="7" t="s">
        <v>14394</v>
      </c>
      <c r="E7869" s="8" t="str">
        <f>IFERROR(__xludf.DUMMYFUNCTION("googletranslate(D7869,""id"",""en"")"),"PPKM started the day, continued the day, further again, old kada called, the prepare of Behaul")</f>
        <v>PPKM started the day, continued the day, further again, old kada called, the prepare of Behaul</v>
      </c>
    </row>
    <row r="7870" ht="15.75" customHeight="1">
      <c r="A7870" s="2">
        <v>7873.0</v>
      </c>
      <c r="B7870" s="5" t="s">
        <v>14395</v>
      </c>
      <c r="C7870" s="6">
        <v>2.0</v>
      </c>
      <c r="D7870" s="9" t="s">
        <v>14395</v>
      </c>
      <c r="E7870" s="8" t="str">
        <f>IFERROR(__xludf.DUMMYFUNCTION("googletranslate(D7870,""id"",""en"")"),"BTW, Ngahan PPKM? What is postponed first?")</f>
        <v>BTW, Ngahan PPKM? What is postponed first?</v>
      </c>
    </row>
    <row r="7871" ht="15.75" customHeight="1">
      <c r="A7871" s="2">
        <v>7874.0</v>
      </c>
      <c r="B7871" s="5" t="s">
        <v>14396</v>
      </c>
      <c r="C7871" s="6">
        <v>2.0</v>
      </c>
      <c r="D7871" s="7" t="s">
        <v>14397</v>
      </c>
      <c r="E7871" s="8" t="str">
        <f>IFERROR(__xludf.DUMMYFUNCTION("googletranslate(D7871,""id"",""en"")"),"Hopefully the ppkm is not extending aamiin")</f>
        <v>Hopefully the ppkm is not extending aamiin</v>
      </c>
    </row>
    <row r="7872" ht="15.75" customHeight="1">
      <c r="A7872" s="2">
        <v>7875.0</v>
      </c>
      <c r="B7872" s="5" t="s">
        <v>14398</v>
      </c>
      <c r="C7872" s="6">
        <v>2.0</v>
      </c>
      <c r="D7872" s="7" t="s">
        <v>14399</v>
      </c>
      <c r="E7872" s="8" t="str">
        <f>IFERROR(__xludf.DUMMYFUNCTION("googletranslate(D7872,""id"",""en"")"),"Extended PPKM continues to be Om hehe")</f>
        <v>Extended PPKM continues to be Om hehe</v>
      </c>
    </row>
    <row r="7873" ht="15.75" customHeight="1">
      <c r="A7873" s="2">
        <v>7876.0</v>
      </c>
      <c r="B7873" s="5" t="s">
        <v>14400</v>
      </c>
      <c r="C7873" s="6">
        <v>1.0</v>
      </c>
      <c r="D7873" s="7" t="s">
        <v>14401</v>
      </c>
      <c r="E7873" s="8" t="str">
        <f>IFERROR(__xludf.DUMMYFUNCTION("googletranslate(D7873,""id"",""en"")"),"Even though every day of nangisin the thesis that is not finished because it can't take data on the campus because it is still PPKM (and caused to add semesters)")</f>
        <v>Even though every day of nangisin the thesis that is not finished because it can't take data on the campus because it is still PPKM (and caused to add semesters)</v>
      </c>
    </row>
    <row r="7874" ht="15.75" customHeight="1">
      <c r="A7874" s="2">
        <v>7877.0</v>
      </c>
      <c r="B7874" s="5" t="s">
        <v>14402</v>
      </c>
      <c r="C7874" s="6">
        <v>2.0</v>
      </c>
      <c r="D7874" s="7" t="s">
        <v>14403</v>
      </c>
      <c r="E7874" s="8" t="str">
        <f>IFERROR(__xludf.DUMMYFUNCTION("googletranslate(D7874,""id"",""en"")"),"This is like a version of the PPKM, there is a level clarification of the same extension of suspension")</f>
        <v>This is like a version of the PPKM, there is a level clarification of the same extension of suspension</v>
      </c>
    </row>
    <row r="7875" ht="15.75" customHeight="1">
      <c r="A7875" s="2">
        <v>7878.0</v>
      </c>
      <c r="B7875" s="5" t="s">
        <v>14404</v>
      </c>
      <c r="C7875" s="6">
        <v>2.0</v>
      </c>
      <c r="D7875" s="7" t="s">
        <v>14404</v>
      </c>
      <c r="E7875" s="8" t="str">
        <f>IFERROR(__xludf.DUMMYFUNCTION("googletranslate(D7875,""id"",""en"")"),"PPKM: Morning Morning Missungjin")</f>
        <v>PPKM: Morning Morning Missungjin</v>
      </c>
    </row>
    <row r="7876" ht="15.75" customHeight="1">
      <c r="A7876" s="2">
        <v>7879.0</v>
      </c>
      <c r="B7876" s="5" t="s">
        <v>14405</v>
      </c>
      <c r="C7876" s="6">
        <v>2.0</v>
      </c>
      <c r="D7876" s="7" t="s">
        <v>14405</v>
      </c>
      <c r="E7876" s="8" t="str">
        <f>IFERROR(__xludf.DUMMYFUNCTION("googletranslate(D7876,""id"",""en"")"),"Ppkm not extended?")</f>
        <v>Ppkm not extended?</v>
      </c>
    </row>
    <row r="7877" ht="15.75" customHeight="1">
      <c r="A7877" s="2">
        <v>7880.0</v>
      </c>
      <c r="B7877" s="5" t="s">
        <v>14406</v>
      </c>
      <c r="C7877" s="6">
        <v>2.0</v>
      </c>
      <c r="D7877" s="7" t="s">
        <v>14406</v>
      </c>
      <c r="E7877" s="8" t="str">
        <f>IFERROR(__xludf.DUMMYFUNCTION("googletranslate(D7877,""id"",""en"")"),"Extend the lgi ga ya ppkm ??")</f>
        <v>Extend the lgi ga ya ppkm ??</v>
      </c>
    </row>
    <row r="7878" ht="15.75" customHeight="1">
      <c r="A7878" s="2">
        <v>7881.0</v>
      </c>
      <c r="B7878" s="5" t="s">
        <v>14407</v>
      </c>
      <c r="C7878" s="6">
        <v>2.0</v>
      </c>
      <c r="D7878" s="7" t="s">
        <v>14408</v>
      </c>
      <c r="E7878" s="8" t="str">
        <f>IFERROR(__xludf.DUMMYFUNCTION("googletranslate(D7878,""id"",""en"")"),"Monday, it means it's time to announce the PPKM extension")</f>
        <v>Monday, it means it's time to announce the PPKM extension</v>
      </c>
    </row>
    <row r="7879" ht="15.75" customHeight="1">
      <c r="A7879" s="2">
        <v>7882.0</v>
      </c>
      <c r="B7879" s="5" t="s">
        <v>14409</v>
      </c>
      <c r="C7879" s="6">
        <v>2.0</v>
      </c>
      <c r="D7879" s="9" t="s">
        <v>14410</v>
      </c>
      <c r="E7879" s="8" t="str">
        <f>IFERROR(__xludf.DUMMYFUNCTION("googletranslate(D7879,""id"",""en"")"),"Don't arrive at the PPKM extended again and I forgot the sensation when someone next to me !!! yes, I introverted it. But or why it feels to be ""nothing important"" just if it's alone mulu. For the world that has been neglected and not kuhahataaf and ple"&amp;"ase be fine")</f>
        <v>Don't arrive at the PPKM extended again and I forgot the sensation when someone next to me !!! yes, I introverted it. But or why it feels to be "nothing important" just if it's alone mulu. For the world that has been neglected and not kuhahataaf and please be fine</v>
      </c>
    </row>
    <row r="7880" ht="15.75" customHeight="1">
      <c r="A7880" s="2">
        <v>7883.0</v>
      </c>
      <c r="B7880" s="5" t="s">
        <v>14411</v>
      </c>
      <c r="C7880" s="6">
        <v>1.0</v>
      </c>
      <c r="D7880" s="7" t="s">
        <v>14412</v>
      </c>
      <c r="E7880" s="8" t="str">
        <f>IFERROR(__xludf.DUMMYFUNCTION("googletranslate(D7880,""id"",""en"")"),"The story is bosen ppkm not finished")</f>
        <v>The story is bosen ppkm not finished</v>
      </c>
    </row>
    <row r="7881" ht="15.75" customHeight="1">
      <c r="A7881" s="2">
        <v>7884.0</v>
      </c>
      <c r="B7881" s="5" t="s">
        <v>14413</v>
      </c>
      <c r="C7881" s="6">
        <v>2.0</v>
      </c>
      <c r="D7881" s="10" t="s">
        <v>14413</v>
      </c>
      <c r="E7881" s="8" t="str">
        <f>IFERROR(__xludf.DUMMYFUNCTION("googletranslate(D7881,""id"",""en"")"),"PPKM is finished")</f>
        <v>PPKM is finished</v>
      </c>
    </row>
    <row r="7882" ht="15.75" customHeight="1">
      <c r="A7882" s="2">
        <v>7885.0</v>
      </c>
      <c r="B7882" s="5" t="s">
        <v>14414</v>
      </c>
      <c r="C7882" s="6">
        <v>2.0</v>
      </c>
      <c r="D7882" s="7" t="s">
        <v>14414</v>
      </c>
      <c r="E7882" s="8" t="str">
        <f>IFERROR(__xludf.DUMMYFUNCTION("googletranslate(D7882,""id"",""en"")"),"It should be a rather long vacation, Bandung option is active in PPKM.")</f>
        <v>It should be a rather long vacation, Bandung option is active in PPKM.</v>
      </c>
    </row>
    <row r="7883" ht="15.75" customHeight="1">
      <c r="A7883" s="2">
        <v>7886.0</v>
      </c>
      <c r="B7883" s="5" t="s">
        <v>14415</v>
      </c>
      <c r="C7883" s="6">
        <v>2.0</v>
      </c>
      <c r="D7883" s="7" t="s">
        <v>14416</v>
      </c>
      <c r="E7883" s="8" t="str">
        <f>IFERROR(__xludf.DUMMYFUNCTION("googletranslate(D7883,""id"",""en"")"),"Good, min. Thank you for the appeal. Hopefully even if the PPKM is still extended, the KRL goes up, it can show a vaccine card, like TJ")</f>
        <v>Good, min. Thank you for the appeal. Hopefully even if the PPKM is still extended, the KRL goes up, it can show a vaccine card, like TJ</v>
      </c>
    </row>
    <row r="7884" ht="15.75" customHeight="1">
      <c r="A7884" s="2">
        <v>7887.0</v>
      </c>
      <c r="B7884" s="5" t="s">
        <v>14417</v>
      </c>
      <c r="C7884" s="6">
        <v>1.0</v>
      </c>
      <c r="D7884" s="9" t="s">
        <v>14418</v>
      </c>
      <c r="E7884" s="8" t="str">
        <f>IFERROR(__xludf.DUMMYFUNCTION("googletranslate(D7884,""id"",""en"")"),"Gapaa, you have to know tea, it's good to just be bored if you have a holiday, especially the month, then it's done by PPKM Gini")</f>
        <v>Gapaa, you have to know tea, it's good to just be bored if you have a holiday, especially the month, then it's done by PPKM Gini</v>
      </c>
    </row>
    <row r="7885" ht="15.75" customHeight="1">
      <c r="A7885" s="2">
        <v>7888.0</v>
      </c>
      <c r="B7885" s="5" t="s">
        <v>14419</v>
      </c>
      <c r="C7885" s="6">
        <v>2.0</v>
      </c>
      <c r="D7885" s="7" t="s">
        <v>14420</v>
      </c>
      <c r="E7885" s="8" t="str">
        <f>IFERROR(__xludf.DUMMYFUNCTION("googletranslate(D7885,""id"",""en"")"),"Hopefully Tudey Ga extended LGI PPKM")</f>
        <v>Hopefully Tudey Ga extended LGI PPKM</v>
      </c>
    </row>
    <row r="7886" ht="15.75" customHeight="1">
      <c r="A7886" s="2">
        <v>7889.0</v>
      </c>
      <c r="B7886" s="5" t="s">
        <v>14421</v>
      </c>
      <c r="C7886" s="6">
        <v>2.0</v>
      </c>
      <c r="D7886" s="9" t="s">
        <v>14422</v>
      </c>
      <c r="E7886" s="8" t="str">
        <f>IFERROR(__xludf.DUMMYFUNCTION("googletranslate(D7886,""id"",""en"")"),"Euy Mandaneh was too busy with Lord Adi, Kane High School Greasalh, until I forgot to now the last day of the PPKM")</f>
        <v>Euy Mandaneh was too busy with Lord Adi, Kane High School Greasalh, until I forgot to now the last day of the PPKM</v>
      </c>
    </row>
    <row r="7887" ht="15.75" customHeight="1">
      <c r="A7887" s="2">
        <v>7890.0</v>
      </c>
      <c r="B7887" s="5" t="s">
        <v>14423</v>
      </c>
      <c r="C7887" s="6">
        <v>2.0</v>
      </c>
      <c r="D7887" s="7" t="s">
        <v>14424</v>
      </c>
      <c r="E7887" s="8" t="str">
        <f>IFERROR(__xludf.DUMMYFUNCTION("googletranslate(D7887,""id"",""en"")"),"Interesting news today = Is the PPKM continue to continue?")</f>
        <v>Interesting news today = Is the PPKM continue to continue?</v>
      </c>
    </row>
    <row r="7888" ht="15.75" customHeight="1">
      <c r="A7888" s="2">
        <v>7891.0</v>
      </c>
      <c r="B7888" s="5" t="s">
        <v>14425</v>
      </c>
      <c r="C7888" s="6">
        <v>2.0</v>
      </c>
      <c r="D7888" s="7" t="s">
        <v>14425</v>
      </c>
      <c r="E7888" s="8" t="str">
        <f>IFERROR(__xludf.DUMMYFUNCTION("googletranslate(D7888,""id"",""en"")"),"Again waiting for the PPKM news in the continuation of what it doesn't.")</f>
        <v>Again waiting for the PPKM news in the continuation of what it doesn't.</v>
      </c>
    </row>
    <row r="7889" ht="15.75" customHeight="1">
      <c r="A7889" s="2">
        <v>7892.0</v>
      </c>
      <c r="B7889" s="5" t="s">
        <v>14426</v>
      </c>
      <c r="C7889" s="6">
        <v>3.0</v>
      </c>
      <c r="D7889" s="9" t="s">
        <v>14427</v>
      </c>
      <c r="E7889" s="8" t="str">
        <f>IFERROR(__xludf.DUMMYFUNCTION("googletranslate(D7889,""id"",""en"")"),"PPKM even though it has not been successful%, but Haail has shown a significant achievement. The leisure to carry out the right and controlled policies")</f>
        <v>PPKM even though it has not been successful%, but Haail has shown a significant achievement. The leisure to carry out the right and controlled policies</v>
      </c>
    </row>
    <row r="7890" ht="15.75" customHeight="1">
      <c r="A7890" s="2">
        <v>7893.0</v>
      </c>
      <c r="B7890" s="5" t="s">
        <v>14428</v>
      </c>
      <c r="C7890" s="6">
        <v>1.0</v>
      </c>
      <c r="D7890" s="9" t="s">
        <v>14429</v>
      </c>
      <c r="E7890" s="8" t="str">
        <f>IFERROR(__xludf.DUMMYFUNCTION("googletranslate(D7890,""id"",""en"")"),"The impact of the PPKM starts to be felt, there is no side job, there is no additional entry. The broth is stalled, waiting for PPKM finished. The country does not forget, that we cannot die because of the virus. Perhaps the state forgets, we can die beca"&amp;"use of hunger ...")</f>
        <v>The impact of the PPKM starts to be felt, there is no side job, there is no additional entry. The broth is stalled, waiting for PPKM finished. The country does not forget, that we cannot die because of the virus. Perhaps the state forgets, we can die because of hunger ...</v>
      </c>
    </row>
    <row r="7891" ht="15.75" customHeight="1">
      <c r="A7891" s="2">
        <v>7894.0</v>
      </c>
      <c r="B7891" s="5" t="s">
        <v>14430</v>
      </c>
      <c r="C7891" s="6">
        <v>2.0</v>
      </c>
      <c r="D7891" s="9" t="s">
        <v>14431</v>
      </c>
      <c r="E7891" s="8" t="str">
        <f>IFERROR(__xludf.DUMMYFUNCTION("googletranslate(D7891,""id"",""en"")"),"Belom, actually this year but PPKM Maybe Gajdi wkwkrequest painted beautiful Dr. Rizky Febian Ft Ziva Magnolya Dongg Thanks")</f>
        <v>Belom, actually this year but PPKM Maybe Gajdi wkwkrequest painted beautiful Dr. Rizky Febian Ft Ziva Magnolya Dongg Thanks</v>
      </c>
    </row>
    <row r="7892" ht="15.75" customHeight="1">
      <c r="A7892" s="2">
        <v>7895.0</v>
      </c>
      <c r="B7892" s="5" t="s">
        <v>14432</v>
      </c>
      <c r="C7892" s="6">
        <v>1.0</v>
      </c>
      <c r="D7892" s="9" t="s">
        <v>14433</v>
      </c>
      <c r="E7892" s="8" t="str">
        <f>IFERROR(__xludf.DUMMYFUNCTION("googletranslate(D7892,""id"",""en"")"),"Sir, 450 rb, my crywan income is a month that I arranged, I can't, I can't produce any production, then if it's for PCR, what do you eat? Smntr, another RKYT, bsok eat what is confused, how come I think PCR")</f>
        <v>Sir, 450 rb, my crywan income is a month that I arranged, I can't, I can't produce any production, then if it's for PCR, what do you eat? Smntr, another RKYT, bsok eat what is confused, how come I think PCR</v>
      </c>
    </row>
    <row r="7893" ht="15.75" customHeight="1">
      <c r="A7893" s="2">
        <v>7896.0</v>
      </c>
      <c r="B7893" s="5" t="s">
        <v>14434</v>
      </c>
      <c r="C7893" s="6">
        <v>1.0</v>
      </c>
      <c r="D7893" s="7" t="s">
        <v>14435</v>
      </c>
      <c r="E7893" s="8" t="str">
        <f>IFERROR(__xludf.DUMMYFUNCTION("googletranslate(D7893,""id"",""en"")"),"Renjun is the type of person who has been stressed when it can be hit by the PPKM level")</f>
        <v>Renjun is the type of person who has been stressed when it can be hit by the PPKM level</v>
      </c>
    </row>
    <row r="7894" ht="15.75" customHeight="1">
      <c r="A7894" s="2">
        <v>7897.0</v>
      </c>
      <c r="B7894" s="5" t="s">
        <v>14436</v>
      </c>
      <c r="C7894" s="6">
        <v>2.0</v>
      </c>
      <c r="D7894" s="7" t="s">
        <v>14437</v>
      </c>
      <c r="E7894" s="8" t="str">
        <f>IFERROR(__xludf.DUMMYFUNCTION("googletranslate(D7894,""id"",""en"")"),"Kangen with Eyang President Soeharto ... ??? Eyang laughed amused PPKM extended ... See Anne's video!")</f>
        <v>Kangen with Eyang President Soeharto ... ??? Eyang laughed amused PPKM extended ... See Anne's video!</v>
      </c>
    </row>
    <row r="7895" ht="15.75" customHeight="1">
      <c r="A7895" s="2">
        <v>7898.0</v>
      </c>
      <c r="B7895" s="5" t="s">
        <v>14438</v>
      </c>
      <c r="C7895" s="6">
        <v>3.0</v>
      </c>
      <c r="D7895" s="7" t="s">
        <v>14438</v>
      </c>
      <c r="E7895" s="8" t="str">
        <f>IFERROR(__xludf.DUMMYFUNCTION("googletranslate(D7895,""id"",""en"")"),"PPKM proved effective to reduce the number of distribution of Covid-19 in East Java. This can be seen from the health of the Ministry of Health which is assessed from the rate of growth in the case and the capacity of the Covid-19 handling response in Eas"&amp;"t Java")</f>
        <v>PPKM proved effective to reduce the number of distribution of Covid-19 in East Java. This can be seen from the health of the Ministry of Health which is assessed from the rate of growth in the case and the capacity of the Covid-19 handling response in East Java</v>
      </c>
    </row>
    <row r="7896" ht="15.75" customHeight="1">
      <c r="A7896" s="2">
        <v>7899.0</v>
      </c>
      <c r="B7896" s="5" t="s">
        <v>14439</v>
      </c>
      <c r="C7896" s="6">
        <v>1.0</v>
      </c>
      <c r="D7896" s="9" t="s">
        <v>14440</v>
      </c>
      <c r="E7896" s="8" t="str">
        <f>IFERROR(__xludf.DUMMYFUNCTION("googletranslate(D7896,""id"",""en"")"),"Come on, the cave is still there, there is still a show that is already applyy, but the patience is because of the ppkm")</f>
        <v>Come on, the cave is still there, there is still a show that is already applyy, but the patience is because of the ppkm</v>
      </c>
    </row>
    <row r="7897" ht="15.75" customHeight="1">
      <c r="A7897" s="2">
        <v>7900.0</v>
      </c>
      <c r="B7897" s="5" t="s">
        <v>14441</v>
      </c>
      <c r="C7897" s="6">
        <v>2.0</v>
      </c>
      <c r="D7897" s="9" t="s">
        <v>14442</v>
      </c>
      <c r="E7897" s="8" t="str">
        <f>IFERROR(__xludf.DUMMYFUNCTION("googletranslate(D7897,""id"",""en"")"),"So if dating don't be rich in kpkm in extending mulukalip ma other people are just aware")</f>
        <v>So if dating don't be rich in kpkm in extending mulukalip ma other people are just aware</v>
      </c>
    </row>
    <row r="7898" ht="15.75" customHeight="1">
      <c r="A7898" s="2">
        <v>7901.0</v>
      </c>
      <c r="B7898" s="5" t="s">
        <v>14443</v>
      </c>
      <c r="C7898" s="6">
        <v>1.0</v>
      </c>
      <c r="D7898" s="7" t="s">
        <v>14443</v>
      </c>
      <c r="E7898" s="8" t="str">
        <f>IFERROR(__xludf.DUMMYFUNCTION("googletranslate(D7898,""id"",""en"")"),"instead the end ""PPKM gini often looks at the ambulance through")</f>
        <v>instead the end "PPKM gini often looks at the ambulance through</v>
      </c>
    </row>
    <row r="7899" ht="15.75" customHeight="1">
      <c r="A7899" s="2">
        <v>7902.0</v>
      </c>
      <c r="B7899" s="5" t="s">
        <v>14444</v>
      </c>
      <c r="C7899" s="6">
        <v>3.0</v>
      </c>
      <c r="D7899" s="7" t="s">
        <v>14445</v>
      </c>
      <c r="E7899" s="8" t="str">
        <f>IFERROR(__xludf.DUMMYFUNCTION("googletranslate(D7899,""id"",""en"")"),"Alhamdulillah ... the day helps a neighbor who is in trouble due to PPKM")</f>
        <v>Alhamdulillah ... the day helps a neighbor who is in trouble due to PPKM</v>
      </c>
    </row>
    <row r="7900" ht="15.75" customHeight="1">
      <c r="A7900" s="2">
        <v>7903.0</v>
      </c>
      <c r="B7900" s="5" t="s">
        <v>14446</v>
      </c>
      <c r="C7900" s="6">
        <v>2.0</v>
      </c>
      <c r="D7900" s="9" t="s">
        <v>14447</v>
      </c>
      <c r="E7900" s="8" t="str">
        <f>IFERROR(__xludf.DUMMYFUNCTION("googletranslate(D7900,""id"",""en"")"),"Sis want to ask seriously, plan I want to go to Jogja at the end of the month (hopefully the PPKM is not extended), for tourist attractions in the city of Jogja, for example, Malioboro, Alun, ""Udh is open normally or not, Msih is quiet?")</f>
        <v>Sis want to ask seriously, plan I want to go to Jogja at the end of the month (hopefully the PPKM is not extended), for tourist attractions in the city of Jogja, for example, Malioboro, Alun, "Udh is open normally or not, Msih is quiet?</v>
      </c>
    </row>
    <row r="7901" ht="15.75" customHeight="1">
      <c r="A7901" s="2">
        <v>7904.0</v>
      </c>
      <c r="B7901" s="5" t="s">
        <v>14448</v>
      </c>
      <c r="C7901" s="6">
        <v>2.0</v>
      </c>
      <c r="D7901" s="7" t="s">
        <v>14448</v>
      </c>
      <c r="E7901" s="8" t="str">
        <f>IFERROR(__xludf.DUMMYFUNCTION("googletranslate(D7901,""id"",""en"")"),"Good morning PPKM, is tomorrow we will be independent? Just wait hehe")</f>
        <v>Good morning PPKM, is tomorrow we will be independent? Just wait hehe</v>
      </c>
    </row>
    <row r="7902" ht="15.75" customHeight="1">
      <c r="A7902" s="2">
        <v>7905.0</v>
      </c>
      <c r="B7902" s="5" t="s">
        <v>14449</v>
      </c>
      <c r="C7902" s="6">
        <v>2.0</v>
      </c>
      <c r="D7902" s="7" t="s">
        <v>14450</v>
      </c>
      <c r="E7902" s="8" t="str">
        <f>IFERROR(__xludf.DUMMYFUNCTION("googletranslate(D7902,""id"",""en"")"),"PPKM is extended, it will be related to the same as August.")</f>
        <v>PPKM is extended, it will be related to the same as August.</v>
      </c>
    </row>
    <row r="7903" ht="15.75" customHeight="1">
      <c r="A7903" s="2">
        <v>7906.0</v>
      </c>
      <c r="B7903" s="5" t="s">
        <v>14451</v>
      </c>
      <c r="C7903" s="6">
        <v>1.0</v>
      </c>
      <c r="D7903" s="7" t="s">
        <v>14452</v>
      </c>
      <c r="E7903" s="8" t="str">
        <f>IFERROR(__xludf.DUMMYFUNCTION("googletranslate(D7903,""id"",""en"")"),"All have been planned early. By Design. By covid. PPKM. Ujung2 period. I don't know the PPSI later. People Power saved Indonesia. Don't think all people will be diem. Don't let it fire in a burning husk. Fair, O regime ...")</f>
        <v>All have been planned early. By Design. By covid. PPKM. Ujung2 period. I don't know the PPSI later. People Power saved Indonesia. Don't think all people will be diem. Don't let it fire in a burning husk. Fair, O regime ...</v>
      </c>
    </row>
    <row r="7904" ht="15.75" customHeight="1">
      <c r="A7904" s="2">
        <v>7907.0</v>
      </c>
      <c r="B7904" s="5" t="s">
        <v>14453</v>
      </c>
      <c r="C7904" s="6">
        <v>1.0</v>
      </c>
      <c r="D7904" s="7" t="s">
        <v>14454</v>
      </c>
      <c r="E7904" s="8" t="str">
        <f>IFERROR(__xludf.DUMMYFUNCTION("googletranslate(D7904,""id"",""en"")"),"It's useless, the PPKM Jakarta Doang, it's the turn of the weekend to Bogor, the streets are full of plate B all, where to eat on the top. Tastes at the peak of Corona no")</f>
        <v>It's useless, the PPKM Jakarta Doang, it's the turn of the weekend to Bogor, the streets are full of plate B all, where to eat on the top. Tastes at the peak of Corona no</v>
      </c>
    </row>
    <row r="7905" ht="15.75" customHeight="1">
      <c r="A7905" s="2">
        <v>7908.0</v>
      </c>
      <c r="B7905" s="5" t="s">
        <v>14455</v>
      </c>
      <c r="C7905" s="6">
        <v>2.0</v>
      </c>
      <c r="D7905" s="7" t="s">
        <v>14455</v>
      </c>
      <c r="E7905" s="8" t="str">
        <f>IFERROR(__xludf.DUMMYFUNCTION("googletranslate(D7905,""id"",""en"")"),"ppkm will be extended or not?")</f>
        <v>ppkm will be extended or not?</v>
      </c>
    </row>
    <row r="7906" ht="15.75" customHeight="1">
      <c r="A7906" s="2">
        <v>7909.0</v>
      </c>
      <c r="B7906" s="5" t="s">
        <v>14456</v>
      </c>
      <c r="C7906" s="6">
        <v>2.0</v>
      </c>
      <c r="D7906" s="7" t="s">
        <v>14457</v>
      </c>
      <c r="E7906" s="8" t="str">
        <f>IFERROR(__xludf.DUMMYFUNCTION("googletranslate(D7906,""id"",""en"")"),"Finally, can play again after the ppkm who can't be finished ... we still obey the prokes guise, but when the photo is removed after using it again eheheh.wulenpari, Gunung Kidul")</f>
        <v>Finally, can play again after the ppkm who can't be finished ... we still obey the prokes guise, but when the photo is removed after using it again eheheh.wulenpari, Gunung Kidul</v>
      </c>
    </row>
    <row r="7907" ht="15.75" customHeight="1">
      <c r="A7907" s="2">
        <v>7910.0</v>
      </c>
      <c r="B7907" s="5" t="s">
        <v>14458</v>
      </c>
      <c r="C7907" s="6">
        <v>2.0</v>
      </c>
      <c r="D7907" s="9" t="s">
        <v>14459</v>
      </c>
      <c r="E7907" s="8" t="str">
        <f>IFERROR(__xludf.DUMMYFUNCTION("googletranslate(D7907,""id"",""en"")"),"george mah ngingetin mulu, udh know here LG PPKM .dah")</f>
        <v>george mah ngingetin mulu, udh know here LG PPKM .dah</v>
      </c>
    </row>
    <row r="7908" ht="15.75" customHeight="1">
      <c r="A7908" s="2">
        <v>7911.0</v>
      </c>
      <c r="B7908" s="5" t="s">
        <v>14460</v>
      </c>
      <c r="C7908" s="6">
        <v>2.0</v>
      </c>
      <c r="D7908" s="7" t="s">
        <v>14460</v>
      </c>
      <c r="E7908" s="8" t="str">
        <f>IFERROR(__xludf.DUMMYFUNCTION("googletranslate(D7908,""id"",""en"")"),"PPKM is extended once a week Kyk update anime")</f>
        <v>PPKM is extended once a week Kyk update anime</v>
      </c>
    </row>
    <row r="7909" ht="15.75" customHeight="1">
      <c r="A7909" s="2">
        <v>7912.0</v>
      </c>
      <c r="B7909" s="5" t="s">
        <v>14461</v>
      </c>
      <c r="C7909" s="6">
        <v>1.0</v>
      </c>
      <c r="D7909" s="9" t="s">
        <v>14462</v>
      </c>
      <c r="E7909" s="8" t="str">
        <f>IFERROR(__xludf.DUMMYFUNCTION("googletranslate(D7909,""id"",""en"")"),"Europe: Soccer Supporters / JNS Other Sports Watch Ditribun TNP Mask, TNP Take Care of Distance, Is Because Vaccine or Even Ya ?? Then how? Msh focus vaccines, ppkm or business ?? Kasian people sir in prank")</f>
        <v>Europe: Soccer Supporters / JNS Other Sports Watch Ditribun TNP Mask, TNP Take Care of Distance, Is Because Vaccine or Even Ya ?? Then how? Msh focus vaccines, ppkm or business ?? Kasian people sir in prank</v>
      </c>
    </row>
    <row r="7910" ht="15.75" customHeight="1">
      <c r="A7910" s="2">
        <v>7913.0</v>
      </c>
      <c r="B7910" s="5" t="s">
        <v>14463</v>
      </c>
      <c r="C7910" s="6">
        <v>2.0</v>
      </c>
      <c r="D7910" s="9" t="s">
        <v>14464</v>
      </c>
      <c r="E7910" s="8" t="str">
        <f>IFERROR(__xludf.DUMMYFUNCTION("googletranslate(D7910,""id"",""en"")"),"PPKM extended or not? If you give the announcement of JGN MLM!")</f>
        <v>PPKM extended or not? If you give the announcement of JGN MLM!</v>
      </c>
    </row>
    <row r="7911" ht="15.75" customHeight="1">
      <c r="A7911" s="2">
        <v>7914.0</v>
      </c>
      <c r="B7911" s="5" t="s">
        <v>14465</v>
      </c>
      <c r="C7911" s="6">
        <v>2.0</v>
      </c>
      <c r="D7911" s="7" t="s">
        <v>14466</v>
      </c>
      <c r="E7911" s="8" t="str">
        <f>IFERROR(__xludf.DUMMYFUNCTION("googletranslate(D7911,""id"",""en"")"),"How come it looks like PPKM Mas Dodo")</f>
        <v>How come it looks like PPKM Mas Dodo</v>
      </c>
    </row>
    <row r="7912" ht="15.75" customHeight="1">
      <c r="A7912" s="2">
        <v>7915.0</v>
      </c>
      <c r="B7912" s="5" t="s">
        <v>14467</v>
      </c>
      <c r="C7912" s="6">
        <v>1.0</v>
      </c>
      <c r="D7912" s="9" t="s">
        <v>14467</v>
      </c>
      <c r="E7912" s="8" t="str">
        <f>IFERROR(__xludf.DUMMYFUNCTION("googletranslate(D7912,""id"",""en"")"),"Dizzy if ude gini, ppkm ppkm tai lah.")</f>
        <v>Dizzy if ude gini, ppkm ppkm tai lah.</v>
      </c>
    </row>
    <row r="7913" ht="15.75" customHeight="1">
      <c r="A7913" s="2">
        <v>7916.0</v>
      </c>
      <c r="B7913" s="5" t="s">
        <v>14468</v>
      </c>
      <c r="C7913" s="6">
        <v>1.0</v>
      </c>
      <c r="D7913" s="9" t="s">
        <v>14469</v>
      </c>
      <c r="E7913" s="8" t="str">
        <f>IFERROR(__xludf.DUMMYFUNCTION("googletranslate(D7913,""id"",""en"")"),"Your double standards, anyways really think you do; The crowd violated the PPKM rules and endangers the public in a pandemic. It's in front of your eyes, and you just diem")</f>
        <v>Your double standards, anyways really think you do; The crowd violated the PPKM rules and endangers the public in a pandemic. It's in front of your eyes, and you just diem</v>
      </c>
    </row>
    <row r="7914" ht="15.75" customHeight="1">
      <c r="A7914" s="2">
        <v>7917.0</v>
      </c>
      <c r="B7914" s="5" t="s">
        <v>14470</v>
      </c>
      <c r="C7914" s="6">
        <v>1.0</v>
      </c>
      <c r="D7914" s="9" t="s">
        <v>14471</v>
      </c>
      <c r="E7914" s="8" t="str">
        <f>IFERROR(__xludf.DUMMYFUNCTION("googletranslate(D7914,""id"",""en"")"),"Local workers, which are laid off, because the PPKM TKA China arrived at what was called a fair leader")</f>
        <v>Local workers, which are laid off, because the PPKM TKA China arrived at what was called a fair leader</v>
      </c>
    </row>
    <row r="7915" ht="15.75" customHeight="1">
      <c r="A7915" s="2">
        <v>7918.0</v>
      </c>
      <c r="B7915" s="5" t="s">
        <v>14472</v>
      </c>
      <c r="C7915" s="6">
        <v>1.0</v>
      </c>
      <c r="D7915" s="7" t="s">
        <v>14472</v>
      </c>
      <c r="E7915" s="8" t="str">
        <f>IFERROR(__xludf.DUMMYFUNCTION("googletranslate(D7915,""id"",""en"")"),"hdehh gblk gblkkkkk is aware of the little dle ppkm")</f>
        <v>hdehh gblk gblkkkkk is aware of the little dle ppkm</v>
      </c>
    </row>
    <row r="7916" ht="15.75" customHeight="1">
      <c r="A7916" s="2">
        <v>7919.0</v>
      </c>
      <c r="B7916" s="5" t="s">
        <v>14473</v>
      </c>
      <c r="C7916" s="6">
        <v>2.0</v>
      </c>
      <c r="D7916" s="7" t="s">
        <v>14474</v>
      </c>
      <c r="E7916" s="8" t="str">
        <f>IFERROR(__xludf.DUMMYFUNCTION("googletranslate(D7916,""id"",""en"")"),"Maybe because of the effect of PPKM, Gabut is no work ...")</f>
        <v>Maybe because of the effect of PPKM, Gabut is no work ...</v>
      </c>
    </row>
    <row r="7917" ht="15.75" customHeight="1">
      <c r="A7917" s="2">
        <v>7920.0</v>
      </c>
      <c r="B7917" s="5" t="s">
        <v>14475</v>
      </c>
      <c r="C7917" s="6">
        <v>1.0</v>
      </c>
      <c r="D7917" s="9" t="s">
        <v>14476</v>
      </c>
      <c r="E7917" s="8" t="str">
        <f>IFERROR(__xludf.DUMMYFUNCTION("googletranslate(D7917,""id"",""en"")"),"And if it's not ppkm I want to go to Pak Lam, my sleep is very wrong than aemaren")</f>
        <v>And if it's not ppkm I want to go to Pak Lam, my sleep is very wrong than aemaren</v>
      </c>
    </row>
    <row r="7918" ht="15.75" customHeight="1">
      <c r="A7918" s="2">
        <v>7921.0</v>
      </c>
      <c r="B7918" s="5" t="s">
        <v>14477</v>
      </c>
      <c r="C7918" s="6">
        <v>2.0</v>
      </c>
      <c r="D7918" s="7" t="s">
        <v>14478</v>
      </c>
      <c r="E7918" s="8" t="str">
        <f>IFERROR(__xludf.DUMMYFUNCTION("googletranslate(D7918,""id"",""en"")"),"What if the PPKM extended sir ???")</f>
        <v>What if the PPKM extended sir ???</v>
      </c>
    </row>
    <row r="7919" ht="15.75" customHeight="1">
      <c r="A7919" s="2">
        <v>7922.0</v>
      </c>
      <c r="B7919" s="5" t="s">
        <v>14479</v>
      </c>
      <c r="C7919" s="6">
        <v>2.0</v>
      </c>
      <c r="D7919" s="7" t="s">
        <v>14480</v>
      </c>
      <c r="E7919" s="8" t="str">
        <f>IFERROR(__xludf.DUMMYFUNCTION("googletranslate(D7919,""id"",""en"")"),"Mending waiting for the Hilal PPKM extend what Kaga hahahaha")</f>
        <v>Mending waiting for the Hilal PPKM extend what Kaga hahahaha</v>
      </c>
    </row>
    <row r="7920" ht="15.75" customHeight="1">
      <c r="A7920" s="2">
        <v>7923.0</v>
      </c>
      <c r="B7920" s="5" t="s">
        <v>14481</v>
      </c>
      <c r="C7920" s="6">
        <v>2.0</v>
      </c>
      <c r="D7920" s="7" t="s">
        <v>14482</v>
      </c>
      <c r="E7920" s="8" t="str">
        <f>IFERROR(__xludf.DUMMYFUNCTION("googletranslate(D7920,""id"",""en"")"),"Slowly Ye sir. So that mobility is allowed but PPKM continues")</f>
        <v>Slowly Ye sir. So that mobility is allowed but PPKM continues</v>
      </c>
    </row>
    <row r="7921" ht="15.75" customHeight="1">
      <c r="A7921" s="2">
        <v>7924.0</v>
      </c>
      <c r="B7921" s="5" t="s">
        <v>14483</v>
      </c>
      <c r="C7921" s="6">
        <v>1.0</v>
      </c>
      <c r="D7921" s="9" t="s">
        <v>14484</v>
      </c>
      <c r="E7921" s="8" t="str">
        <f>IFERROR(__xludf.DUMMYFUNCTION("googletranslate(D7921,""id"",""en"")"),"Bosen Li, PPKM Mulu")</f>
        <v>Bosen Li, PPKM Mulu</v>
      </c>
    </row>
    <row r="7922" ht="15.75" customHeight="1">
      <c r="A7922" s="2">
        <v>7925.0</v>
      </c>
      <c r="B7922" s="5" t="s">
        <v>14485</v>
      </c>
      <c r="C7922" s="6">
        <v>2.0</v>
      </c>
      <c r="D7922" s="9" t="s">
        <v>14486</v>
      </c>
      <c r="E7922" s="8" t="str">
        <f>IFERROR(__xludf.DUMMYFUNCTION("googletranslate(D7922,""id"",""en"")"),"Monday WFH, Tuesday red date. This if it's not my ppkm already runaway holidays * jokes run away")</f>
        <v>Monday WFH, Tuesday red date. This if it's not my ppkm already runaway holidays * jokes run away</v>
      </c>
    </row>
    <row r="7923" ht="15.75" customHeight="1">
      <c r="A7923" s="2">
        <v>7926.0</v>
      </c>
      <c r="B7923" s="5" t="s">
        <v>14487</v>
      </c>
      <c r="C7923" s="6">
        <v>1.0</v>
      </c>
      <c r="D7923" s="7" t="s">
        <v>14488</v>
      </c>
      <c r="E7923" s="8" t="str">
        <f>IFERROR(__xludf.DUMMYFUNCTION("googletranslate(D7923,""id"",""en"")"),"I lgi lgi ppkm this rafathar made a hilarious birthday party")</f>
        <v>I lgi lgi ppkm this rafathar made a hilarious birthday party</v>
      </c>
    </row>
    <row r="7924" ht="15.75" customHeight="1">
      <c r="A7924" s="2">
        <v>7927.0</v>
      </c>
      <c r="B7924" s="5" t="s">
        <v>14489</v>
      </c>
      <c r="C7924" s="6">
        <v>2.0</v>
      </c>
      <c r="D7924" s="7" t="s">
        <v>14490</v>
      </c>
      <c r="E7924" s="8" t="str">
        <f>IFERROR(__xludf.DUMMYFUNCTION("googletranslate(D7924,""id"",""en"")"),"PPKM in Lower Continues to Prennn")</f>
        <v>PPKM in Lower Continues to Prennn</v>
      </c>
    </row>
    <row r="7925" ht="15.75" customHeight="1">
      <c r="A7925" s="2">
        <v>7928.0</v>
      </c>
      <c r="B7925" s="5" t="s">
        <v>14491</v>
      </c>
      <c r="C7925" s="6">
        <v>3.0</v>
      </c>
      <c r="D7925" s="9" t="s">
        <v>14492</v>
      </c>
      <c r="E7925" s="8" t="str">
        <f>IFERROR(__xludf.DUMMYFUNCTION("googletranslate(D7925,""id"",""en"")"),"Longing also the smell of the meat grill where I work already all in the vaccine, obey the prokes for crew or customer, I'm really the thing about the proximity ... well, hopefully the PPKM will immediately pass so that fortune will continue")</f>
        <v>Longing also the smell of the meat grill where I work already all in the vaccine, obey the prokes for crew or customer, I'm really the thing about the proximity ... well, hopefully the PPKM will immediately pass so that fortune will continue</v>
      </c>
    </row>
    <row r="7926" ht="15.75" customHeight="1">
      <c r="A7926" s="2">
        <v>7929.0</v>
      </c>
      <c r="B7926" s="5" t="s">
        <v>14493</v>
      </c>
      <c r="C7926" s="6">
        <v>1.0</v>
      </c>
      <c r="D7926" s="7" t="s">
        <v>14493</v>
      </c>
      <c r="E7926" s="8" t="str">
        <f>IFERROR(__xludf.DUMMYFUNCTION("googletranslate(D7926,""id"",""en"")"),"But the pros and cons of this case, actually it's actually opening the PPKM as long as it is in accordance with the existing regulations, it's only a few times, the customer is eating in a place and crowding (really), which means you don't obey the proces"&amp;" so it's immediately paid for forced Satp0l PP")</f>
        <v>But the pros and cons of this case, actually it's actually opening the PPKM as long as it is in accordance with the existing regulations, it's only a few times, the customer is eating in a place and crowding (really), which means you don't obey the proces so it's immediately paid for forced Satp0l PP</v>
      </c>
    </row>
    <row r="7927" ht="15.75" customHeight="1">
      <c r="A7927" s="2">
        <v>7930.0</v>
      </c>
      <c r="B7927" s="5" t="s">
        <v>14494</v>
      </c>
      <c r="C7927" s="6">
        <v>3.0</v>
      </c>
      <c r="D7927" s="7" t="s">
        <v>14495</v>
      </c>
      <c r="E7927" s="8" t="str">
        <f>IFERROR(__xludf.DUMMYFUNCTION("googletranslate(D7927,""id"",""en"")"),"PPKVaksinasi Bantanegara Forms")</f>
        <v>PPKVaksinasi Bantanegara Forms</v>
      </c>
    </row>
    <row r="7928" ht="15.75" customHeight="1">
      <c r="A7928" s="2">
        <v>7931.0</v>
      </c>
      <c r="B7928" s="5" t="s">
        <v>14496</v>
      </c>
      <c r="C7928" s="6">
        <v>2.0</v>
      </c>
      <c r="D7928" s="7" t="s">
        <v>14496</v>
      </c>
      <c r="E7928" s="8" t="str">
        <f>IFERROR(__xludf.DUMMYFUNCTION("googletranslate(D7928,""id"",""en"")"),"We guess extended not ppkm,? Surely the Indonesian people know that the recent ruler policy policy has been installed a week2, there is a week")</f>
        <v>We guess extended not ppkm,? Surely the Indonesian people know that the recent ruler policy policy has been installed a week2, there is a week</v>
      </c>
    </row>
    <row r="7929" ht="15.75" customHeight="1">
      <c r="A7929" s="2">
        <v>7932.0</v>
      </c>
      <c r="B7929" s="5" t="s">
        <v>14497</v>
      </c>
      <c r="C7929" s="6">
        <v>1.0</v>
      </c>
      <c r="D7929" s="9" t="s">
        <v>14498</v>
      </c>
      <c r="E7929" s="8" t="str">
        <f>IFERROR(__xludf.DUMMYFUNCTION("googletranslate(D7929,""id"",""en"")"),"Holidays during PPKM, already lazy, God, if you have to take part in the apple first for training, it's not because I wake up early, no. Just grgr policy from the agency, you can make it already geudegmood first ~ astagfirullah")</f>
        <v>Holidays during PPKM, already lazy, God, if you have to take part in the apple first for training, it's not because I wake up early, no. Just grgr policy from the agency, you can make it already geudegmood first ~ astagfirullah</v>
      </c>
    </row>
    <row r="7930" ht="15.75" customHeight="1">
      <c r="A7930" s="2">
        <v>7933.0</v>
      </c>
      <c r="B7930" s="5" t="s">
        <v>14499</v>
      </c>
      <c r="C7930" s="6">
        <v>3.0</v>
      </c>
      <c r="D7930" s="7" t="s">
        <v>14500</v>
      </c>
      <c r="E7930" s="8" t="str">
        <f>IFERROR(__xludf.DUMMYFUNCTION("googletranslate(D7930,""id"",""en"")"),"Not in vain economy lectures, the marketing science is well implemented to overcome economic problems when PPKM")</f>
        <v>Not in vain economy lectures, the marketing science is well implemented to overcome economic problems when PPKM</v>
      </c>
    </row>
    <row r="7931" ht="15.75" customHeight="1">
      <c r="A7931" s="2">
        <v>7934.0</v>
      </c>
      <c r="B7931" s="5" t="s">
        <v>14501</v>
      </c>
      <c r="C7931" s="6">
        <v>3.0</v>
      </c>
      <c r="D7931" s="7" t="s">
        <v>14502</v>
      </c>
      <c r="E7931" s="8" t="str">
        <f>IFERROR(__xludf.DUMMYFUNCTION("googletranslate(D7931,""id"",""en"")"),"Assalamualaikum Wr Wbmet Morning Residents TL Met Activities Fixed Discipline Prokes, Cat of PPKM, Immediately Vaccine Stay Enthusiasm DG Red and White")</f>
        <v>Assalamualaikum Wr Wbmet Morning Residents TL Met Activities Fixed Discipline Prokes, Cat of PPKM, Immediately Vaccine Stay Enthusiasm DG Red and White</v>
      </c>
    </row>
    <row r="7932" ht="15.75" customHeight="1">
      <c r="A7932" s="2">
        <v>7935.0</v>
      </c>
      <c r="B7932" s="5" t="s">
        <v>14503</v>
      </c>
      <c r="C7932" s="6">
        <v>1.0</v>
      </c>
      <c r="D7932" s="7" t="s">
        <v>14504</v>
      </c>
      <c r="E7932" s="8" t="str">
        <f>IFERROR(__xludf.DUMMYFUNCTION("googletranslate(D7932,""id"",""en"")"),"Prize seven dozens ... hopefully it will be immediately revoked by PPKM, it's not strong.")</f>
        <v>Prize seven dozens ... hopefully it will be immediately revoked by PPKM, it's not strong.</v>
      </c>
    </row>
    <row r="7933" ht="15.75" customHeight="1">
      <c r="A7933" s="2">
        <v>7936.0</v>
      </c>
      <c r="B7933" s="5" t="s">
        <v>14505</v>
      </c>
      <c r="C7933" s="6">
        <v>2.0</v>
      </c>
      <c r="D7933" s="10" t="s">
        <v>14506</v>
      </c>
      <c r="E7933" s="8" t="str">
        <f>IFERROR(__xludf.DUMMYFUNCTION("googletranslate(D7933,""id"",""en"")"),"Just rich PPKM")</f>
        <v>Just rich PPKM</v>
      </c>
    </row>
    <row r="7934" ht="15.75" customHeight="1">
      <c r="A7934" s="2">
        <v>7937.0</v>
      </c>
      <c r="B7934" s="5" t="s">
        <v>14507</v>
      </c>
      <c r="C7934" s="6">
        <v>3.0</v>
      </c>
      <c r="D7934" s="9" t="s">
        <v>14508</v>
      </c>
      <c r="E7934" s="8" t="str">
        <f>IFERROR(__xludf.DUMMYFUNCTION("googletranslate(D7934,""id"",""en"")"),"Good morning, don't miss PPKM if they are all yet% in vaccines. Because all this time, they continued to violate the government's government policy")</f>
        <v>Good morning, don't miss PPKM if they are all yet% in vaccines. Because all this time, they continued to violate the government's government policy</v>
      </c>
    </row>
    <row r="7935" ht="15.75" customHeight="1">
      <c r="A7935" s="2">
        <v>7938.0</v>
      </c>
      <c r="B7935" s="5" t="s">
        <v>14509</v>
      </c>
      <c r="C7935" s="6">
        <v>2.0</v>
      </c>
      <c r="D7935" s="7" t="s">
        <v>14510</v>
      </c>
      <c r="E7935" s="8" t="str">
        <f>IFERROR(__xludf.DUMMYFUNCTION("googletranslate(D7935,""id"",""en"")"),"The last day of the ppkm .. Hope is finished today. Normal back")</f>
        <v>The last day of the ppkm .. Hope is finished today. Normal back</v>
      </c>
    </row>
    <row r="7936" ht="15.75" customHeight="1">
      <c r="A7936" s="2">
        <v>7939.0</v>
      </c>
      <c r="B7936" s="5" t="s">
        <v>14511</v>
      </c>
      <c r="C7936" s="6">
        <v>2.0</v>
      </c>
      <c r="D7936" s="7" t="s">
        <v>14512</v>
      </c>
      <c r="E7936" s="8" t="str">
        <f>IFERROR(__xludf.DUMMYFUNCTION("googletranslate(D7936,""id"",""en"")"),"PSBB Ama PPKM is much longer than your relationship.")</f>
        <v>PSBB Ama PPKM is much longer than your relationship.</v>
      </c>
    </row>
    <row r="7937" ht="15.75" customHeight="1">
      <c r="A7937" s="2">
        <v>7940.0</v>
      </c>
      <c r="B7937" s="5" t="s">
        <v>14513</v>
      </c>
      <c r="C7937" s="6">
        <v>2.0</v>
      </c>
      <c r="D7937" s="7" t="s">
        <v>14514</v>
      </c>
      <c r="E7937" s="8" t="str">
        <f>IFERROR(__xludf.DUMMYFUNCTION("googletranslate(D7937,""id"",""en"")"),"This date is the last day of PPKM or not?")</f>
        <v>This date is the last day of PPKM or not?</v>
      </c>
    </row>
    <row r="7938" ht="15.75" customHeight="1">
      <c r="A7938" s="2">
        <v>7941.0</v>
      </c>
      <c r="B7938" s="5" t="s">
        <v>14515</v>
      </c>
      <c r="C7938" s="6">
        <v>3.0</v>
      </c>
      <c r="D7938" s="9" t="s">
        <v>14516</v>
      </c>
      <c r="E7938" s="8" t="str">
        <f>IFERROR(__xludf.DUMMYFUNCTION("googletranslate(D7938,""id"",""en"")"),"Good morning Jacky .. This Monday remains healthy all the family ... PPKM has been successful, hopefully it will end a pandemic in Indonesia.")</f>
        <v>Good morning Jacky .. This Monday remains healthy all the family ... PPKM has been successful, hopefully it will end a pandemic in Indonesia.</v>
      </c>
    </row>
    <row r="7939" ht="15.75" customHeight="1">
      <c r="A7939" s="2">
        <v>7942.0</v>
      </c>
      <c r="B7939" s="5" t="s">
        <v>14517</v>
      </c>
      <c r="C7939" s="6">
        <v>1.0</v>
      </c>
      <c r="D7939" s="9" t="s">
        <v>14518</v>
      </c>
      <c r="E7939" s="8" t="str">
        <f>IFERROR(__xludf.DUMMYFUNCTION("googletranslate(D7939,""id"",""en"")"),"Those who were corrupted by the scholars arrested, those who killed the corpse were suspects, the resident of the vaccine was still hit by a pandemic, told to the PPKM he instead made a crowd, foddered by guoblok, bro")</f>
        <v>Those who were corrupted by the scholars arrested, those who killed the corpse were suspects, the resident of the vaccine was still hit by a pandemic, told to the PPKM he instead made a crowd, foddered by guoblok, bro</v>
      </c>
    </row>
    <row r="7940" ht="15.75" customHeight="1">
      <c r="A7940" s="2">
        <v>7943.0</v>
      </c>
      <c r="B7940" s="5" t="s">
        <v>14519</v>
      </c>
      <c r="C7940" s="6">
        <v>1.0</v>
      </c>
      <c r="D7940" s="7" t="s">
        <v>14520</v>
      </c>
      <c r="E7940" s="8" t="str">
        <f>IFERROR(__xludf.DUMMYFUNCTION("googletranslate(D7940,""id"",""en"")"),"BE LIKE news, ""PPKM finished today."" Halah eek, ntar also extended again. The government is more wishful than you. I am not a wish, but it's not consistent too, what yes ...")</f>
        <v>BE LIKE news, "PPKM finished today." Halah eek, ntar also extended again. The government is more wishful than you. I am not a wish, but it's not consistent too, what yes ...</v>
      </c>
    </row>
    <row r="7941" ht="15.75" customHeight="1">
      <c r="A7941" s="2">
        <v>7944.0</v>
      </c>
      <c r="B7941" s="5" t="s">
        <v>14521</v>
      </c>
      <c r="C7941" s="6">
        <v>1.0</v>
      </c>
      <c r="D7941" s="7" t="s">
        <v>14522</v>
      </c>
      <c r="E7941" s="8" t="str">
        <f>IFERROR(__xludf.DUMMYFUNCTION("googletranslate(D7941,""id"",""en"")"),"Dog holiday from the beginning of PPKM")</f>
        <v>Dog holiday from the beginning of PPKM</v>
      </c>
    </row>
    <row r="7942" ht="15.75" customHeight="1">
      <c r="A7942" s="2">
        <v>7945.0</v>
      </c>
      <c r="B7942" s="5" t="s">
        <v>14523</v>
      </c>
      <c r="C7942" s="6">
        <v>2.0</v>
      </c>
      <c r="D7942" s="7" t="s">
        <v>14524</v>
      </c>
      <c r="E7942" s="8" t="str">
        <f>IFERROR(__xludf.DUMMYFUNCTION("googletranslate(D7942,""id"",""en"")"),"Kangen PPKM. I hope the holiday isn't extended anymore.")</f>
        <v>Kangen PPKM. I hope the holiday isn't extended anymore.</v>
      </c>
    </row>
    <row r="7943" ht="15.75" customHeight="1">
      <c r="A7943" s="2">
        <v>7946.0</v>
      </c>
      <c r="B7943" s="5" t="s">
        <v>14525</v>
      </c>
      <c r="C7943" s="6">
        <v>2.0</v>
      </c>
      <c r="D7943" s="7" t="s">
        <v>14526</v>
      </c>
      <c r="E7943" s="8" t="str">
        <f>IFERROR(__xludf.DUMMYFUNCTION("googletranslate(D7943,""id"",""en"")"),"Plis plis bgt rv cb ppkm not extended again")</f>
        <v>Plis plis bgt rv cb ppkm not extended again</v>
      </c>
    </row>
    <row r="7944" ht="15.75" customHeight="1">
      <c r="A7944" s="2">
        <v>7947.0</v>
      </c>
      <c r="B7944" s="5" t="s">
        <v>14527</v>
      </c>
      <c r="C7944" s="6">
        <v>1.0</v>
      </c>
      <c r="D7944" s="7" t="s">
        <v>14528</v>
      </c>
      <c r="E7944" s="8" t="str">
        <f>IFERROR(__xludf.DUMMYFUNCTION("googletranslate(D7944,""id"",""en"")"),"The process of public exposure to the PPKM is only for Indonesian citizens while on the other side to find the attention of the Indonesian people in which foreigners from China continue to arrive")</f>
        <v>The process of public exposure to the PPKM is only for Indonesian citizens while on the other side to find the attention of the Indonesian people in which foreigners from China continue to arrive</v>
      </c>
    </row>
    <row r="7945" ht="15.75" customHeight="1">
      <c r="A7945" s="2">
        <v>7948.0</v>
      </c>
      <c r="B7945" s="5" t="s">
        <v>14529</v>
      </c>
      <c r="C7945" s="6">
        <v>2.0</v>
      </c>
      <c r="D7945" s="7" t="s">
        <v>14530</v>
      </c>
      <c r="E7945" s="8" t="str">
        <f>IFERROR(__xludf.DUMMYFUNCTION("googletranslate(D7945,""id"",""en"")"),"The last day of PPKM Gasi ??")</f>
        <v>The last day of PPKM Gasi ??</v>
      </c>
    </row>
    <row r="7946" ht="15.75" customHeight="1">
      <c r="A7946" s="2">
        <v>7949.0</v>
      </c>
      <c r="B7946" s="5" t="s">
        <v>14531</v>
      </c>
      <c r="C7946" s="6">
        <v>2.0</v>
      </c>
      <c r="D7946" s="7" t="s">
        <v>14532</v>
      </c>
      <c r="E7946" s="8" t="str">
        <f>IFERROR(__xludf.DUMMYFUNCTION("googletranslate(D7946,""id"",""en"")"),"OverThinking Level: PPKM is extended again or not?")</f>
        <v>OverThinking Level: PPKM is extended again or not?</v>
      </c>
    </row>
    <row r="7947" ht="15.75" customHeight="1">
      <c r="A7947" s="2">
        <v>7950.0</v>
      </c>
      <c r="B7947" s="5" t="s">
        <v>14533</v>
      </c>
      <c r="C7947" s="6">
        <v>3.0</v>
      </c>
      <c r="D7947" s="7" t="s">
        <v>14534</v>
      </c>
      <c r="E7947" s="8" t="str">
        <f>IFERROR(__xludf.DUMMYFUNCTION("googletranslate(D7947,""id"",""en"")"),"Waiting for the ppkm that is endless, you can buy ajaa online ~ Allhamdulillah")</f>
        <v>Waiting for the ppkm that is endless, you can buy ajaa online ~ Allhamdulillah</v>
      </c>
    </row>
    <row r="7948" ht="15.75" customHeight="1">
      <c r="A7948" s="2">
        <v>7951.0</v>
      </c>
      <c r="B7948" s="5" t="s">
        <v>14535</v>
      </c>
      <c r="C7948" s="6">
        <v>2.0</v>
      </c>
      <c r="D7948" s="10" t="s">
        <v>14536</v>
      </c>
      <c r="E7948" s="8" t="str">
        <f>IFERROR(__xludf.DUMMYFUNCTION("googletranslate(D7948,""id"",""en"")"),"PPKM Braderr.")</f>
        <v>PPKM Braderr.</v>
      </c>
    </row>
    <row r="7949" ht="15.75" customHeight="1">
      <c r="A7949" s="2">
        <v>7952.0</v>
      </c>
      <c r="B7949" s="5" t="s">
        <v>14537</v>
      </c>
      <c r="C7949" s="6">
        <v>2.0</v>
      </c>
      <c r="D7949" s="7" t="s">
        <v>14538</v>
      </c>
      <c r="E7949" s="8" t="str">
        <f>IFERROR(__xludf.DUMMYFUNCTION("googletranslate(D7949,""id"",""en"")"),"Morning jg ... healthy slm y ... so finished the ppkm")</f>
        <v>Morning jg ... healthy slm y ... so finished the ppkm</v>
      </c>
    </row>
    <row r="7950" ht="15.75" customHeight="1">
      <c r="A7950" s="2">
        <v>7953.0</v>
      </c>
      <c r="B7950" s="5" t="s">
        <v>14539</v>
      </c>
      <c r="C7950" s="6">
        <v>2.0</v>
      </c>
      <c r="D7950" s="9" t="s">
        <v>14540</v>
      </c>
      <c r="E7950" s="8" t="str">
        <f>IFERROR(__xludf.DUMMYFUNCTION("googletranslate(D7950,""id"",""en"")"),"I open, if it's not a PPKM Wakwak")</f>
        <v>I open, if it's not a PPKM Wakwak</v>
      </c>
    </row>
    <row r="7951" ht="15.75" customHeight="1">
      <c r="A7951" s="2">
        <v>7954.0</v>
      </c>
      <c r="B7951" s="5" t="s">
        <v>14541</v>
      </c>
      <c r="C7951" s="6">
        <v>1.0</v>
      </c>
      <c r="D7951" s="9" t="s">
        <v>14542</v>
      </c>
      <c r="E7951" s="8" t="str">
        <f>IFERROR(__xludf.DUMMYFUNCTION("googletranslate(D7951,""id"",""en"")"),"Suppose the president of the Choice of the Wowo Wow, will you be taken care of? I feel uncertain. Stress gr2 ppkm may be stupid not")</f>
        <v>Suppose the president of the Choice of the Wowo Wow, will you be taken care of? I feel uncertain. Stress gr2 ppkm may be stupid not</v>
      </c>
    </row>
    <row r="7952" ht="15.75" customHeight="1">
      <c r="A7952" s="2">
        <v>7955.0</v>
      </c>
      <c r="B7952" s="5" t="s">
        <v>14543</v>
      </c>
      <c r="C7952" s="6">
        <v>3.0</v>
      </c>
      <c r="D7952" s="7" t="s">
        <v>14544</v>
      </c>
      <c r="E7952" s="8" t="str">
        <f>IFERROR(__xludf.DUMMYFUNCTION("googletranslate(D7952,""id"",""en"")"),"PPKM that has been applied is able to overcome the Daily Pandemi case. Hopefully this will be hope that the economy is normal back.")</f>
        <v>PPKM that has been applied is able to overcome the Daily Pandemi case. Hopefully this will be hope that the economy is normal back.</v>
      </c>
    </row>
    <row r="7953" ht="15.75" customHeight="1">
      <c r="A7953" s="2">
        <v>7956.0</v>
      </c>
      <c r="B7953" s="5" t="s">
        <v>14545</v>
      </c>
      <c r="C7953" s="6">
        <v>1.0</v>
      </c>
      <c r="D7953" s="7" t="s">
        <v>14546</v>
      </c>
      <c r="E7953" s="8" t="str">
        <f>IFERROR(__xludf.DUMMYFUNCTION("googletranslate(D7953,""id"",""en"")"),"Since the PPKM is all hampered, just want to go to the bank it's hard")</f>
        <v>Since the PPKM is all hampered, just want to go to the bank it's hard</v>
      </c>
    </row>
    <row r="7954" ht="15.75" customHeight="1">
      <c r="A7954" s="2">
        <v>7957.0</v>
      </c>
      <c r="B7954" s="5" t="s">
        <v>14547</v>
      </c>
      <c r="C7954" s="6">
        <v>2.0</v>
      </c>
      <c r="D7954" s="7" t="s">
        <v>14548</v>
      </c>
      <c r="E7954" s="8" t="str">
        <f>IFERROR(__xludf.DUMMYFUNCTION("googletranslate(D7954,""id"",""en"")"),"There PPKM level?")</f>
        <v>There PPKM level?</v>
      </c>
    </row>
    <row r="7955" ht="15.75" customHeight="1">
      <c r="A7955" s="2">
        <v>7958.0</v>
      </c>
      <c r="B7955" s="5" t="s">
        <v>14549</v>
      </c>
      <c r="C7955" s="6">
        <v>1.0</v>
      </c>
      <c r="D7955" s="7" t="s">
        <v>14550</v>
      </c>
      <c r="E7955" s="8" t="str">
        <f>IFERROR(__xludf.DUMMYFUNCTION("googletranslate(D7955,""id"",""en"")"),"Tired of ppkm huh ?? How come I too: '(")</f>
        <v>Tired of ppkm huh ?? How come I too: '(</v>
      </c>
    </row>
    <row r="7956" ht="15.75" customHeight="1">
      <c r="A7956" s="2">
        <v>7959.0</v>
      </c>
      <c r="B7956" s="5" t="s">
        <v>14551</v>
      </c>
      <c r="C7956" s="6">
        <v>2.0</v>
      </c>
      <c r="D7956" s="7" t="s">
        <v>14551</v>
      </c>
      <c r="E7956" s="8" t="str">
        <f>IFERROR(__xludf.DUMMYFUNCTION("googletranslate(D7956,""id"",""en"")"),"Dupanjang ga yes this ppkm")</f>
        <v>Dupanjang ga yes this ppkm</v>
      </c>
    </row>
    <row r="7957" ht="15.75" customHeight="1">
      <c r="A7957" s="2">
        <v>7960.0</v>
      </c>
      <c r="B7957" s="5" t="s">
        <v>14552</v>
      </c>
      <c r="C7957" s="6">
        <v>2.0</v>
      </c>
      <c r="D7957" s="7" t="s">
        <v>14552</v>
      </c>
      <c r="E7957" s="8" t="str">
        <f>IFERROR(__xludf.DUMMYFUNCTION("googletranslate(D7957,""id"",""en"")"),"Good morning PPKMRRR: V")</f>
        <v>Good morning PPKMRRR: V</v>
      </c>
    </row>
    <row r="7958" ht="15.75" customHeight="1">
      <c r="A7958" s="2">
        <v>7961.0</v>
      </c>
      <c r="B7958" s="5" t="s">
        <v>14553</v>
      </c>
      <c r="C7958" s="6">
        <v>2.0</v>
      </c>
      <c r="D7958" s="7" t="s">
        <v>14554</v>
      </c>
      <c r="E7958" s="8" t="str">
        <f>IFERROR(__xludf.DUMMYFUNCTION("googletranslate(D7958,""id"",""en"")"),"WOI Hopefully today is the last day of the PPKM!")</f>
        <v>WOI Hopefully today is the last day of the PPKM!</v>
      </c>
    </row>
    <row r="7959" ht="15.75" customHeight="1">
      <c r="A7959" s="2">
        <v>7962.0</v>
      </c>
      <c r="B7959" s="5" t="s">
        <v>14555</v>
      </c>
      <c r="C7959" s="6">
        <v>1.0</v>
      </c>
      <c r="D7959" s="9" t="s">
        <v>14556</v>
      </c>
      <c r="E7959" s="8" t="str">
        <f>IFERROR(__xludf.DUMMYFUNCTION("googletranslate(D7959,""id"",""en"")"),"Om ... don't know what he chooses is on average everything is dead because of the corona. May they all quickly die before repent ... Amiiiin")</f>
        <v>Om ... don't know what he chooses is on average everything is dead because of the corona. May they all quickly die before repent ... Amiiiin</v>
      </c>
    </row>
    <row r="7960" ht="15.75" customHeight="1">
      <c r="A7960" s="2">
        <v>7963.0</v>
      </c>
      <c r="B7960" s="5" t="s">
        <v>14557</v>
      </c>
      <c r="C7960" s="6">
        <v>2.0</v>
      </c>
      <c r="D7960" s="9" t="s">
        <v>14558</v>
      </c>
      <c r="E7960" s="8" t="str">
        <f>IFERROR(__xludf.DUMMYFUNCTION("googletranslate(D7960,""id"",""en"")"),"Nnti first, wkek ppkm")</f>
        <v>Nnti first, wkek ppkm</v>
      </c>
    </row>
    <row r="7961" ht="15.75" customHeight="1">
      <c r="A7961" s="2">
        <v>7964.0</v>
      </c>
      <c r="B7961" s="5" t="s">
        <v>14559</v>
      </c>
      <c r="C7961" s="6">
        <v>1.0</v>
      </c>
      <c r="D7961" s="9" t="s">
        <v>14559</v>
      </c>
      <c r="E7961" s="8" t="str">
        <f>IFERROR(__xludf.DUMMYFUNCTION("googletranslate(D7961,""id"",""en"")"),"Ppkm has not finished this but it has been snapped with wfo sihhhh kn bgt bgt")</f>
        <v>Ppkm has not finished this but it has been snapped with wfo sihhhh kn bgt bgt</v>
      </c>
    </row>
    <row r="7962" ht="15.75" customHeight="1">
      <c r="A7962" s="2">
        <v>7965.0</v>
      </c>
      <c r="B7962" s="5" t="s">
        <v>14560</v>
      </c>
      <c r="C7962" s="6">
        <v>1.0</v>
      </c>
      <c r="D7962" s="7" t="s">
        <v>14560</v>
      </c>
      <c r="E7962" s="8" t="str">
        <f>IFERROR(__xludf.DUMMYFUNCTION("googletranslate(D7962,""id"",""en"")"),"Come on who is still to the same ppkm policy nyalan policy")</f>
        <v>Come on who is still to the same ppkm policy nyalan policy</v>
      </c>
    </row>
    <row r="7963" ht="15.75" customHeight="1">
      <c r="A7963" s="2">
        <v>7966.0</v>
      </c>
      <c r="B7963" s="5" t="s">
        <v>14561</v>
      </c>
      <c r="C7963" s="6">
        <v>1.0</v>
      </c>
      <c r="D7963" s="9" t="s">
        <v>14562</v>
      </c>
      <c r="E7963" s="8" t="str">
        <f>IFERROR(__xludf.DUMMYFUNCTION("googletranslate(D7963,""id"",""en"")"),"The stupo is just like that he explained that he was clearly not 'forced not Njinkk Emergency Emergency Smoe now must use a vaccine card, and not everyone can be injected because of stupid comorbid")</f>
        <v>The stupo is just like that he explained that he was clearly not 'forced not Njinkk Emergency Emergency Smoe now must use a vaccine card, and not everyone can be injected because of stupid comorbid</v>
      </c>
    </row>
    <row r="7964" ht="15.75" customHeight="1">
      <c r="A7964" s="2">
        <v>7967.0</v>
      </c>
      <c r="B7964" s="5" t="s">
        <v>14563</v>
      </c>
      <c r="C7964" s="6">
        <v>2.0</v>
      </c>
      <c r="D7964" s="7" t="s">
        <v>14564</v>
      </c>
      <c r="E7964" s="8" t="str">
        <f>IFERROR(__xludf.DUMMYFUNCTION("googletranslate(D7964,""id"",""en"")"),"PPKM signs immediately end")</f>
        <v>PPKM signs immediately end</v>
      </c>
    </row>
    <row r="7965" ht="15.75" customHeight="1">
      <c r="A7965" s="2">
        <v>7968.0</v>
      </c>
      <c r="B7965" s="5" t="s">
        <v>14565</v>
      </c>
      <c r="C7965" s="6">
        <v>2.0</v>
      </c>
      <c r="D7965" s="7" t="s">
        <v>14565</v>
      </c>
      <c r="E7965" s="8" t="str">
        <f>IFERROR(__xludf.DUMMYFUNCTION("googletranslate(D7965,""id"",""en"")"),"yey ppkm last day")</f>
        <v>yey ppkm last day</v>
      </c>
    </row>
    <row r="7966" ht="15.75" customHeight="1">
      <c r="A7966" s="2">
        <v>7969.0</v>
      </c>
      <c r="B7966" s="5" t="s">
        <v>14566</v>
      </c>
      <c r="C7966" s="6">
        <v>2.0</v>
      </c>
      <c r="D7966" s="7" t="s">
        <v>14567</v>
      </c>
      <c r="E7966" s="8" t="str">
        <f>IFERROR(__xludf.DUMMYFUNCTION("googletranslate(D7966,""id"",""en"")"),"[ASKRL] Is this if the PPKM is extended, bro? Pingin of the Fisheries Take the Goods")</f>
        <v>[ASKRL] Is this if the PPKM is extended, bro? Pingin of the Fisheries Take the Goods</v>
      </c>
    </row>
    <row r="7967" ht="15.75" customHeight="1">
      <c r="A7967" s="2">
        <v>7970.0</v>
      </c>
      <c r="B7967" s="5" t="s">
        <v>14568</v>
      </c>
      <c r="C7967" s="6">
        <v>1.0</v>
      </c>
      <c r="D7967" s="9" t="s">
        <v>14569</v>
      </c>
      <c r="E7967" s="8" t="str">
        <f>IFERROR(__xludf.DUMMYFUNCTION("googletranslate(D7967,""id"",""en"")"),"The community is very tired of this PPKM sir. Please love us. Let's stop this last PPKM. And keep proces. We've screamed very squeezed this restriction case. : '(")</f>
        <v>The community is very tired of this PPKM sir. Please love us. Let's stop this last PPKM. And keep proces. We've screamed very squeezed this restriction case. : '(</v>
      </c>
    </row>
    <row r="7968" ht="15.75" customHeight="1">
      <c r="A7968" s="2">
        <v>7971.0</v>
      </c>
      <c r="B7968" s="5" t="s">
        <v>14570</v>
      </c>
      <c r="C7968" s="6">
        <v>1.0</v>
      </c>
      <c r="D7968" s="9" t="s">
        <v>14571</v>
      </c>
      <c r="E7968" s="8" t="str">
        <f>IFERROR(__xludf.DUMMYFUNCTION("googletranslate(D7968,""id"",""en"")"),"Just extend the ppkm, so I'll holiday at the time at least the week. Only this time I wanted to arrange the government to extend the PPKM")</f>
        <v>Just extend the ppkm, so I'll holiday at the time at least the week. Only this time I wanted to arrange the government to extend the PPKM</v>
      </c>
    </row>
    <row r="7969" ht="15.75" customHeight="1">
      <c r="A7969" s="2">
        <v>7972.0</v>
      </c>
      <c r="B7969" s="5" t="s">
        <v>14572</v>
      </c>
      <c r="C7969" s="6">
        <v>2.0</v>
      </c>
      <c r="D7969" s="9" t="s">
        <v>14572</v>
      </c>
      <c r="E7969" s="8" t="str">
        <f>IFERROR(__xludf.DUMMYFUNCTION("googletranslate(D7969,""id"",""en"")"),"in postponed mulu rich ppkm")</f>
        <v>in postponed mulu rich ppkm</v>
      </c>
    </row>
    <row r="7970" ht="15.75" customHeight="1">
      <c r="A7970" s="2">
        <v>7973.0</v>
      </c>
      <c r="B7970" s="5" t="s">
        <v>14573</v>
      </c>
      <c r="C7970" s="6">
        <v>2.0</v>
      </c>
      <c r="D7970" s="7" t="s">
        <v>14574</v>
      </c>
      <c r="E7970" s="8" t="str">
        <f>IFERROR(__xludf.DUMMYFUNCTION("googletranslate(D7970,""id"",""en"")"),"Ppkm: multiply go to the mosque")</f>
        <v>Ppkm: multiply go to the mosque</v>
      </c>
    </row>
    <row r="7971" ht="15.75" customHeight="1">
      <c r="A7971" s="2">
        <v>7974.0</v>
      </c>
      <c r="B7971" s="5" t="s">
        <v>14575</v>
      </c>
      <c r="C7971" s="6">
        <v>2.0</v>
      </c>
      <c r="D7971" s="7" t="s">
        <v>14576</v>
      </c>
      <c r="E7971" s="8" t="str">
        <f>IFERROR(__xludf.DUMMYFUNCTION("googletranslate(D7971,""id"",""en"")"),"Approaching seconds the name change for PPKM")</f>
        <v>Approaching seconds the name change for PPKM</v>
      </c>
    </row>
    <row r="7972" ht="15.75" customHeight="1">
      <c r="A7972" s="2">
        <v>7975.0</v>
      </c>
      <c r="B7972" s="5" t="s">
        <v>14577</v>
      </c>
      <c r="C7972" s="6">
        <v>2.0</v>
      </c>
      <c r="D7972" s="7" t="s">
        <v>14578</v>
      </c>
      <c r="E7972" s="8" t="str">
        <f>IFERROR(__xludf.DUMMYFUNCTION("googletranslate(D7972,""id"",""en"")"),"This is again PPKM so it can't be accepted guests, but I usually get akuawokawok")</f>
        <v>This is again PPKM so it can't be accepted guests, but I usually get akuawokawok</v>
      </c>
    </row>
    <row r="7973" ht="15.75" customHeight="1">
      <c r="A7973" s="2">
        <v>7976.0</v>
      </c>
      <c r="B7973" s="5" t="s">
        <v>14579</v>
      </c>
      <c r="C7973" s="6">
        <v>1.0</v>
      </c>
      <c r="D7973" s="7" t="s">
        <v>14579</v>
      </c>
      <c r="E7973" s="8" t="str">
        <f>IFERROR(__xludf.DUMMYFUNCTION("googletranslate(D7973,""id"",""en"")"),"want to go back to the right path uh the road is closed because of ppkm")</f>
        <v>want to go back to the right path uh the road is closed because of ppkm</v>
      </c>
    </row>
    <row r="7974" ht="15.75" customHeight="1">
      <c r="A7974" s="2">
        <v>7977.0</v>
      </c>
      <c r="B7974" s="5" t="s">
        <v>14580</v>
      </c>
      <c r="C7974" s="6">
        <v>2.0</v>
      </c>
      <c r="D7974" s="9" t="s">
        <v>14581</v>
      </c>
      <c r="E7974" s="8" t="str">
        <f>IFERROR(__xludf.DUMMYFUNCTION("googletranslate(D7974,""id"",""en"")"),"Hopefully today PPKM is complete, he can test, graduate, and go home")</f>
        <v>Hopefully today PPKM is complete, he can test, graduate, and go home</v>
      </c>
    </row>
    <row r="7975" ht="15.75" customHeight="1">
      <c r="A7975" s="2">
        <v>7978.0</v>
      </c>
      <c r="B7975" s="5" t="s">
        <v>14582</v>
      </c>
      <c r="C7975" s="6">
        <v>1.0</v>
      </c>
      <c r="D7975" s="9" t="s">
        <v>14583</v>
      </c>
      <c r="E7975" s="8" t="str">
        <f>IFERROR(__xludf.DUMMYFUNCTION("googletranslate(D7975,""id"",""en"")"),"So, please just if you don't want a vaccine. But yes, you have to be at home or limited to the mobility of junior high, wait for herd immunity to be reached. We are also angry, dogs! We are also bored by PPKM. I don't want the vaccine, just at home first."&amp;" Let me not take the RS yesterday.")</f>
        <v>So, please just if you don't want a vaccine. But yes, you have to be at home or limited to the mobility of junior high, wait for herd immunity to be reached. We are also angry, dogs! We are also bored by PPKM. I don't want the vaccine, just at home first. Let me not take the RS yesterday.</v>
      </c>
    </row>
    <row r="7976" ht="15.75" customHeight="1">
      <c r="A7976" s="2">
        <v>7979.0</v>
      </c>
      <c r="B7976" s="5" t="s">
        <v>14584</v>
      </c>
      <c r="C7976" s="6">
        <v>1.0</v>
      </c>
      <c r="D7976" s="9" t="s">
        <v>14585</v>
      </c>
      <c r="E7976" s="8" t="str">
        <f>IFERROR(__xludf.DUMMYFUNCTION("googletranslate(D7976,""id"",""en"")"),"-RL this might be too bad, but I miss my boyfriend until Gerdku relapses and so I don't sleep as semaleman ... (from the beginning of the PPKM it's a mess at the time of sleep)")</f>
        <v>-RL this might be too bad, but I miss my boyfriend until Gerdku relapses and so I don't sleep as semaleman ... (from the beginning of the PPKM it's a mess at the time of sleep)</v>
      </c>
    </row>
    <row r="7977" ht="15.75" customHeight="1">
      <c r="A7977" s="2">
        <v>7980.0</v>
      </c>
      <c r="B7977" s="5" t="s">
        <v>14586</v>
      </c>
      <c r="C7977" s="6">
        <v>2.0</v>
      </c>
      <c r="D7977" s="7" t="s">
        <v>14587</v>
      </c>
      <c r="E7977" s="8" t="str">
        <f>IFERROR(__xludf.DUMMYFUNCTION("googletranslate(D7977,""id"",""en"")"),"This ppkm effect tea?")</f>
        <v>This ppkm effect tea?</v>
      </c>
    </row>
    <row r="7978" ht="15.75" customHeight="1">
      <c r="A7978" s="2">
        <v>7981.0</v>
      </c>
      <c r="B7978" s="5" t="s">
        <v>14588</v>
      </c>
      <c r="C7978" s="6">
        <v>2.0</v>
      </c>
      <c r="D7978" s="9" t="s">
        <v>14589</v>
      </c>
      <c r="E7978" s="8" t="str">
        <f>IFERROR(__xludf.DUMMYFUNCTION("googletranslate(D7978,""id"",""en"")"),"If there is a survival competition amid PPKM. Definitely a lot of wins")</f>
        <v>If there is a survival competition amid PPKM. Definitely a lot of wins</v>
      </c>
    </row>
    <row r="7979" ht="15.75" customHeight="1">
      <c r="A7979" s="2">
        <v>7982.0</v>
      </c>
      <c r="B7979" s="5" t="s">
        <v>14590</v>
      </c>
      <c r="C7979" s="6">
        <v>2.0</v>
      </c>
      <c r="D7979" s="7" t="s">
        <v>14591</v>
      </c>
      <c r="E7979" s="8" t="str">
        <f>IFERROR(__xludf.DUMMYFUNCTION("googletranslate(D7979,""id"",""en"")"),"Is there anyone open, ppkm? btw h2o is safe for girls, it's just like the pokonya")</f>
        <v>Is there anyone open, ppkm? btw h2o is safe for girls, it's just like the pokonya</v>
      </c>
    </row>
    <row r="7980" ht="15.75" customHeight="1">
      <c r="A7980" s="2">
        <v>7983.0</v>
      </c>
      <c r="B7980" s="5" t="s">
        <v>14592</v>
      </c>
      <c r="C7980" s="6">
        <v>2.0</v>
      </c>
      <c r="D7980" s="7" t="s">
        <v>14592</v>
      </c>
      <c r="E7980" s="8" t="str">
        <f>IFERROR(__xludf.DUMMYFUNCTION("googletranslate(D7980,""id"",""en"")"),"What do you continue?")</f>
        <v>What do you continue?</v>
      </c>
    </row>
    <row r="7981" ht="15.75" customHeight="1">
      <c r="A7981" s="2">
        <v>7984.0</v>
      </c>
      <c r="B7981" s="5" t="s">
        <v>14593</v>
      </c>
      <c r="C7981" s="6">
        <v>2.0</v>
      </c>
      <c r="D7981" s="7" t="s">
        <v>14594</v>
      </c>
      <c r="E7981" s="8" t="str">
        <f>IFERROR(__xludf.DUMMYFUNCTION("googletranslate(D7981,""id"",""en"")"),"For example eating minutes which turned out to be applied when Dine In at PPKM level.")</f>
        <v>For example eating minutes which turned out to be applied when Dine In at PPKM level.</v>
      </c>
    </row>
    <row r="7982" ht="15.75" customHeight="1">
      <c r="A7982" s="2">
        <v>7985.0</v>
      </c>
      <c r="B7982" s="5" t="s">
        <v>14595</v>
      </c>
      <c r="C7982" s="6">
        <v>1.0</v>
      </c>
      <c r="D7982" s="7" t="s">
        <v>14596</v>
      </c>
      <c r="E7982" s="8" t="str">
        <f>IFERROR(__xludf.DUMMYFUNCTION("googletranslate(D7982,""id"",""en"")"),"PPKM (Morning Morning Mental Mental) Press F")</f>
        <v>PPKM (Morning Morning Mental Mental) Press F</v>
      </c>
    </row>
    <row r="7983" ht="15.75" customHeight="1">
      <c r="A7983" s="2">
        <v>7986.0</v>
      </c>
      <c r="B7983" s="5" t="s">
        <v>14597</v>
      </c>
      <c r="C7983" s="6">
        <v>2.0</v>
      </c>
      <c r="D7983" s="9" t="s">
        <v>14597</v>
      </c>
      <c r="E7983" s="8" t="str">
        <f>IFERROR(__xludf.DUMMYFUNCTION("googletranslate(D7983,""id"",""en"")"),"[askrl] Bank banks in your area are closed at what time if again this ppkm?")</f>
        <v>[askrl] Bank banks in your area are closed at what time if again this ppkm?</v>
      </c>
    </row>
    <row r="7984" ht="15.75" customHeight="1">
      <c r="A7984" s="2">
        <v>7987.0</v>
      </c>
      <c r="B7984" s="5" t="s">
        <v>14598</v>
      </c>
      <c r="C7984" s="6">
        <v>2.0</v>
      </c>
      <c r="D7984" s="7" t="s">
        <v>14599</v>
      </c>
      <c r="E7984" s="8" t="str">
        <f>IFERROR(__xludf.DUMMYFUNCTION("googletranslate(D7984,""id"",""en"")"),"Come on, let's go, I've missed music")</f>
        <v>Come on, let's go, I've missed music</v>
      </c>
    </row>
    <row r="7985" ht="15.75" customHeight="1">
      <c r="A7985" s="2">
        <v>7988.0</v>
      </c>
      <c r="B7985" s="5" t="s">
        <v>14600</v>
      </c>
      <c r="C7985" s="6">
        <v>2.0</v>
      </c>
      <c r="D7985" s="7" t="s">
        <v>14601</v>
      </c>
      <c r="E7985" s="8" t="str">
        <f>IFERROR(__xludf.DUMMYFUNCTION("googletranslate(D7985,""id"",""en"")"),"La kok kayak ppkm")</f>
        <v>La kok kayak ppkm</v>
      </c>
    </row>
    <row r="7986" ht="15.75" customHeight="1">
      <c r="A7986" s="2">
        <v>7989.0</v>
      </c>
      <c r="B7986" s="5" t="s">
        <v>14602</v>
      </c>
      <c r="C7986" s="6">
        <v>1.0</v>
      </c>
      <c r="D7986" s="9" t="s">
        <v>14603</v>
      </c>
      <c r="E7986" s="8" t="str">
        <f>IFERROR(__xludf.DUMMYFUNCTION("googletranslate(D7986,""id"",""en"")"),"Speech is not important. Far Lbh Important Solution to the People's Stomach Hungry Gara2 PPKM and Economy")</f>
        <v>Speech is not important. Far Lbh Important Solution to the People's Stomach Hungry Gara2 PPKM and Economy</v>
      </c>
    </row>
    <row r="7987" ht="15.75" customHeight="1">
      <c r="A7987" s="2">
        <v>7990.0</v>
      </c>
      <c r="B7987" s="5" t="s">
        <v>14604</v>
      </c>
      <c r="C7987" s="6">
        <v>1.0</v>
      </c>
      <c r="D7987" s="9" t="s">
        <v>14604</v>
      </c>
      <c r="E7987" s="8" t="str">
        <f>IFERROR(__xludf.DUMMYFUNCTION("googletranslate(D7987,""id"",""en"")"),"For me, Pbesi mending just focus with athletes, don't jump in to the realm that refers to the game industry. A few athletes are still a lot of paid cheaper than honorarium teachers, limited equipment, until the game house is less comfortable. Ah, Gelo Sug"&amp;"an Tea Regulations. Auah, my ppkm ge poek!")</f>
        <v>For me, Pbesi mending just focus with athletes, don't jump in to the realm that refers to the game industry. A few athletes are still a lot of paid cheaper than honorarium teachers, limited equipment, until the game house is less comfortable. Ah, Gelo Sugan Tea Regulations. Auah, my ppkm ge poek!</v>
      </c>
    </row>
    <row r="7988" ht="15.75" customHeight="1">
      <c r="A7988" s="2">
        <v>7991.0</v>
      </c>
      <c r="B7988" s="5" t="s">
        <v>14605</v>
      </c>
      <c r="C7988" s="6">
        <v>1.0</v>
      </c>
      <c r="D7988" s="7" t="s">
        <v>14605</v>
      </c>
      <c r="E7988" s="8" t="str">
        <f>IFERROR(__xludf.DUMMYFUNCTION("googletranslate(D7988,""id"",""en"")"),"PPKM (slowly we turn off)")</f>
        <v>PPKM (slowly we turn off)</v>
      </c>
    </row>
    <row r="7989" ht="15.75" customHeight="1">
      <c r="A7989" s="2">
        <v>7992.0</v>
      </c>
      <c r="B7989" s="5" t="s">
        <v>14606</v>
      </c>
      <c r="C7989" s="6">
        <v>2.0</v>
      </c>
      <c r="D7989" s="7" t="s">
        <v>14607</v>
      </c>
      <c r="E7989" s="8" t="str">
        <f>IFERROR(__xludf.DUMMYFUNCTION("googletranslate(D7989,""id"",""en"")"),"Now in several cities it applies odd regulations for PPKM. Kasian, the number plate is even when it's a $ number, you can't go every day")</f>
        <v>Now in several cities it applies odd regulations for PPKM. Kasian, the number plate is even when it's a $ number, you can't go every day</v>
      </c>
    </row>
    <row r="7990" ht="15.75" customHeight="1">
      <c r="A7990" s="2">
        <v>7993.0</v>
      </c>
      <c r="B7990" s="5" t="s">
        <v>14608</v>
      </c>
      <c r="C7990" s="6">
        <v>2.0</v>
      </c>
      <c r="D7990" s="9" t="s">
        <v>14609</v>
      </c>
      <c r="E7990" s="8" t="str">
        <f>IFERROR(__xludf.DUMMYFUNCTION("googletranslate(D7990,""id"",""en"")"),"As far as I know the lecturer lecturers also always emphasize for not burdensing students especially the situation of the rich PPKM gini. At least the committee gives concessions for his duty if there are many Jan tightened")</f>
        <v>As far as I know the lecturer lecturers also always emphasize for not burdensing students especially the situation of the rich PPKM gini. At least the committee gives concessions for his duty if there are many Jan tightened</v>
      </c>
    </row>
    <row r="7991" ht="15.75" customHeight="1">
      <c r="A7991" s="2">
        <v>7994.0</v>
      </c>
      <c r="B7991" s="5" t="s">
        <v>14610</v>
      </c>
      <c r="C7991" s="6">
        <v>2.0</v>
      </c>
      <c r="D7991" s="7" t="s">
        <v>14610</v>
      </c>
      <c r="E7991" s="8" t="str">
        <f>IFERROR(__xludf.DUMMYFUNCTION("googletranslate(D7991,""id"",""en"")"),"college holiday, ppkm udahan dong?")</f>
        <v>college holiday, ppkm udahan dong?</v>
      </c>
    </row>
    <row r="7992" ht="15.75" customHeight="1">
      <c r="A7992" s="2">
        <v>7995.0</v>
      </c>
      <c r="B7992" s="5" t="s">
        <v>14611</v>
      </c>
      <c r="C7992" s="6">
        <v>1.0</v>
      </c>
      <c r="D7992" s="7" t="s">
        <v>14612</v>
      </c>
      <c r="E7992" s="8" t="str">
        <f>IFERROR(__xludf.DUMMYFUNCTION("googletranslate(D7992,""id"",""en"")"),"The martager closes PPKM")</f>
        <v>The martager closes PPKM</v>
      </c>
    </row>
    <row r="7993" ht="15.75" customHeight="1">
      <c r="A7993" s="2">
        <v>7996.0</v>
      </c>
      <c r="B7993" s="5" t="s">
        <v>14613</v>
      </c>
      <c r="C7993" s="6">
        <v>1.0</v>
      </c>
      <c r="D7993" s="9" t="s">
        <v>14614</v>
      </c>
      <c r="E7993" s="8" t="str">
        <f>IFERROR(__xludf.DUMMYFUNCTION("googletranslate(D7993,""id"",""en"")"),"Sad to remember doi who had been watching before finally there was even a PPKM ...")</f>
        <v>Sad to remember doi who had been watching before finally there was even a PPKM ...</v>
      </c>
    </row>
    <row r="7994" ht="15.75" customHeight="1">
      <c r="A7994" s="2">
        <v>7997.0</v>
      </c>
      <c r="B7994" s="5" t="s">
        <v>14615</v>
      </c>
      <c r="C7994" s="6">
        <v>1.0</v>
      </c>
      <c r="D7994" s="7" t="s">
        <v>14615</v>
      </c>
      <c r="E7994" s="8" t="str">
        <f>IFERROR(__xludf.DUMMYFUNCTION("googletranslate(D7994,""id"",""en"")"),"Already confused about what he said, it was wrong with the PPKM, he knew it was dizzy.")</f>
        <v>Already confused about what he said, it was wrong with the PPKM, he knew it was dizzy.</v>
      </c>
    </row>
    <row r="7995" ht="15.75" customHeight="1">
      <c r="A7995" s="2">
        <v>7998.0</v>
      </c>
      <c r="B7995" s="5" t="s">
        <v>14616</v>
      </c>
      <c r="C7995" s="6">
        <v>1.0</v>
      </c>
      <c r="D7995" s="7" t="s">
        <v>14617</v>
      </c>
      <c r="E7995" s="8" t="str">
        <f>IFERROR(__xludf.DUMMYFUNCTION("googletranslate(D7995,""id"",""en"")"),"Sdh ppkm looking for money difficult to eat is hard ... uh this ..")</f>
        <v>Sdh ppkm looking for money difficult to eat is hard ... uh this ..</v>
      </c>
    </row>
    <row r="7996" ht="15.75" customHeight="1">
      <c r="A7996" s="2">
        <v>7999.0</v>
      </c>
      <c r="B7996" s="5" t="s">
        <v>14618</v>
      </c>
      <c r="C7996" s="6">
        <v>2.0</v>
      </c>
      <c r="D7996" s="7" t="s">
        <v>14618</v>
      </c>
      <c r="E7996" s="8" t="str">
        <f>IFERROR(__xludf.DUMMYFUNCTION("googletranslate(D7996,""id"",""en"")"),"ppkm jawa bali extended until when")</f>
        <v>ppkm jawa bali extended until when</v>
      </c>
    </row>
    <row r="7997" ht="15.75" customHeight="1">
      <c r="A7997" s="2">
        <v>8000.0</v>
      </c>
      <c r="B7997" s="5" t="s">
        <v>14619</v>
      </c>
      <c r="C7997" s="6">
        <v>2.0</v>
      </c>
      <c r="D7997" s="7" t="s">
        <v>14620</v>
      </c>
      <c r="E7997" s="8" t="str">
        <f>IFERROR(__xludf.DUMMYFUNCTION("googletranslate(D7997,""id"",""en"")"),"Do do ... talk about the law, there is a quarantine article if the ppkm psbb is there a law ???")</f>
        <v>Do do ... talk about the law, there is a quarantine article if the ppkm psbb is there a law ???</v>
      </c>
    </row>
    <row r="7998" ht="15.75" customHeight="1">
      <c r="A7998" s="2">
        <v>8001.0</v>
      </c>
      <c r="B7998" s="5" t="s">
        <v>14621</v>
      </c>
      <c r="C7998" s="6">
        <v>2.0</v>
      </c>
      <c r="D7998" s="10" t="s">
        <v>14622</v>
      </c>
      <c r="E7998" s="8" t="str">
        <f>IFERROR(__xludf.DUMMYFUNCTION("googletranslate(D7998,""id"",""en"")"),"PPKM LG G.")</f>
        <v>PPKM LG G.</v>
      </c>
    </row>
    <row r="7999" ht="15.75" customHeight="1">
      <c r="A7999" s="2">
        <v>8002.0</v>
      </c>
      <c r="B7999" s="5" t="s">
        <v>14623</v>
      </c>
      <c r="C7999" s="6">
        <v>2.0</v>
      </c>
      <c r="D7999" s="9" t="s">
        <v>14624</v>
      </c>
      <c r="E7999" s="8" t="str">
        <f>IFERROR(__xludf.DUMMYFUNCTION("googletranslate(D7999,""id"",""en"")"),"This morning got info from the driver of the Gocar, he said, the PPKM was extended during the week. This GOCAR driver gets information from the passengers on last July. He said the passenger was the police. Brrti if calculated from today PPKM add more wee"&amp;"ks. lets see")</f>
        <v>This morning got info from the driver of the Gocar, he said, the PPKM was extended during the week. This GOCAR driver gets information from the passengers on last July. He said the passenger was the police. Brrti if calculated from today PPKM add more weeks. lets see</v>
      </c>
    </row>
    <row r="8000" ht="15.75" customHeight="1">
      <c r="A8000" s="2">
        <v>8003.0</v>
      </c>
      <c r="B8000" s="5" t="s">
        <v>14625</v>
      </c>
      <c r="C8000" s="6">
        <v>2.0</v>
      </c>
      <c r="D8000" s="7" t="s">
        <v>14625</v>
      </c>
      <c r="E8000" s="8" t="str">
        <f>IFERROR(__xludf.DUMMYFUNCTION("googletranslate(D8000,""id"",""en"")"),"Finally, after the PPKM drama, hopefully there is no continuation of Aminn")</f>
        <v>Finally, after the PPKM drama, hopefully there is no continuation of Aminn</v>
      </c>
    </row>
    <row r="8001" ht="15.75" customHeight="1">
      <c r="A8001" s="2">
        <v>8004.0</v>
      </c>
      <c r="B8001" s="5" t="s">
        <v>14626</v>
      </c>
      <c r="C8001" s="6">
        <v>3.0</v>
      </c>
      <c r="D8001" s="9" t="s">
        <v>14627</v>
      </c>
      <c r="E8001" s="8" t="str">
        <f>IFERROR(__xludf.DUMMYFUNCTION("googletranslate(D8001,""id"",""en"")"),"Let's maximize efforts to prevent the spread of the Covid-19 virus in the middle of this emergency PPKM period. KAI Commuter invites the public to reduce the activity out of the house that is not urgent. 1. 1.")</f>
        <v>Let's maximize efforts to prevent the spread of the Covid-19 virus in the middle of this emergency PPKM period. KAI Commuter invites the public to reduce the activity out of the house that is not urgent. 1. 1.</v>
      </c>
    </row>
    <row r="8002" ht="15.75" customHeight="1">
      <c r="A8002" s="2">
        <v>8005.0</v>
      </c>
      <c r="B8002" s="5" t="s">
        <v>14628</v>
      </c>
      <c r="C8002" s="6">
        <v>2.0</v>
      </c>
      <c r="D8002" s="7" t="s">
        <v>14629</v>
      </c>
      <c r="E8002" s="8" t="str">
        <f>IFERROR(__xludf.DUMMYFUNCTION("googletranslate(D8002,""id"",""en"")"),"Want there is a wedding event for Kevin Sm I'm sorry, sorry, Klian GK was invited, PPKM")</f>
        <v>Want there is a wedding event for Kevin Sm I'm sorry, sorry, Klian GK was invited, PPKM</v>
      </c>
    </row>
    <row r="8003" ht="15.75" customHeight="1">
      <c r="A8003" s="2">
        <v>8006.0</v>
      </c>
      <c r="B8003" s="5" t="s">
        <v>14630</v>
      </c>
      <c r="C8003" s="6">
        <v>1.0</v>
      </c>
      <c r="D8003" s="7" t="s">
        <v>14631</v>
      </c>
      <c r="E8003" s="8" t="str">
        <f>IFERROR(__xludf.DUMMYFUNCTION("googletranslate(D8003,""id"",""en"")"),"blocked PPKM TP.")</f>
        <v>blocked PPKM TP.</v>
      </c>
    </row>
    <row r="8004" ht="15.75" customHeight="1">
      <c r="A8004" s="2">
        <v>8007.0</v>
      </c>
      <c r="B8004" s="5" t="s">
        <v>14632</v>
      </c>
      <c r="C8004" s="6">
        <v>1.0</v>
      </c>
      <c r="D8004" s="7" t="s">
        <v>14633</v>
      </c>
      <c r="E8004" s="8" t="str">
        <f>IFERROR(__xludf.DUMMYFUNCTION("googletranslate(D8004,""id"",""en"")"),"Clearly the idea of ​​elderly people and civil servants in general who often go back and forth between the intercity or not care for the hot PPKM level")</f>
        <v>Clearly the idea of ​​elderly people and civil servants in general who often go back and forth between the intercity or not care for the hot PPKM level</v>
      </c>
    </row>
    <row r="8005" ht="15.75" customHeight="1">
      <c r="A8005" s="2">
        <v>8008.0</v>
      </c>
      <c r="B8005" s="5" t="s">
        <v>14634</v>
      </c>
      <c r="C8005" s="6">
        <v>2.0</v>
      </c>
      <c r="D8005" s="7" t="s">
        <v>14635</v>
      </c>
      <c r="E8005" s="8" t="str">
        <f>IFERROR(__xludf.DUMMYFUNCTION("googletranslate(D8005,""id"",""en"")"),"yes it's not msh ppkm")</f>
        <v>yes it's not msh ppkm</v>
      </c>
    </row>
    <row r="8006" ht="15.75" customHeight="1">
      <c r="A8006" s="2">
        <v>8009.0</v>
      </c>
      <c r="B8006" s="5" t="s">
        <v>14636</v>
      </c>
      <c r="C8006" s="6">
        <v>1.0</v>
      </c>
      <c r="D8006" s="9" t="s">
        <v>14637</v>
      </c>
      <c r="E8006" s="8" t="str">
        <f>IFERROR(__xludf.DUMMYFUNCTION("googletranslate(D8006,""id"",""en"")"),"Thought it was for the people of hundreds of millions of millions of millions? That's just someone, a family? Look down, jgn medium and over, the little wife defends the little people, free it should be. DG PPKM only the people have been made difficult to"&amp;" make a living.")</f>
        <v>Thought it was for the people of hundreds of millions of millions of millions? That's just someone, a family? Look down, jgn medium and over, the little wife defends the little people, free it should be. DG PPKM only the people have been made difficult to make a living.</v>
      </c>
    </row>
    <row r="8007" ht="15.75" customHeight="1">
      <c r="A8007" s="2">
        <v>8010.0</v>
      </c>
      <c r="B8007" s="5" t="s">
        <v>14638</v>
      </c>
      <c r="C8007" s="6">
        <v>2.0</v>
      </c>
      <c r="D8007" s="7" t="s">
        <v>14638</v>
      </c>
      <c r="E8007" s="8" t="str">
        <f>IFERROR(__xludf.DUMMYFUNCTION("googletranslate(D8007,""id"",""en"")"),"CPKM Corona stands for")</f>
        <v>CPKM Corona stands for</v>
      </c>
    </row>
    <row r="8008" ht="15.75" customHeight="1">
      <c r="A8008" s="2">
        <v>8011.0</v>
      </c>
      <c r="B8008" s="5" t="s">
        <v>14639</v>
      </c>
      <c r="C8008" s="6">
        <v>2.0</v>
      </c>
      <c r="D8008" s="7" t="s">
        <v>14640</v>
      </c>
      <c r="E8008" s="8" t="str">
        <f>IFERROR(__xludf.DUMMYFUNCTION("googletranslate(D8008,""id"",""en"")"),"So that it can survive in the middle of a ppkm aid2 must try a new menu. Kepak Kebih wing .. eh honey. Can you also sell the frozen in tokped. tokopede ..... signal")</f>
        <v>So that it can survive in the middle of a ppkm aid2 must try a new menu. Kepak Kebih wing .. eh honey. Can you also sell the frozen in tokped. tokopede ..... signal</v>
      </c>
    </row>
    <row r="8009" ht="15.75" customHeight="1">
      <c r="A8009" s="2">
        <v>8012.0</v>
      </c>
      <c r="B8009" s="5" t="s">
        <v>14641</v>
      </c>
      <c r="C8009" s="6">
        <v>2.0</v>
      </c>
      <c r="D8009" s="7" t="s">
        <v>14642</v>
      </c>
      <c r="E8009" s="8" t="str">
        <f>IFERROR(__xludf.DUMMYFUNCTION("googletranslate(D8009,""id"",""en"")"),"My morning brochemaren laps all sneakersbas from dust and then enter again kebox.ppkm can't go anywhere.")</f>
        <v>My morning brochemaren laps all sneakersbas from dust and then enter again kebox.ppkm can't go anywhere.</v>
      </c>
    </row>
    <row r="8010" ht="15.75" customHeight="1">
      <c r="A8010" s="2">
        <v>8013.0</v>
      </c>
      <c r="B8010" s="5" t="s">
        <v>14643</v>
      </c>
      <c r="C8010" s="6">
        <v>2.0</v>
      </c>
      <c r="D8010" s="9" t="s">
        <v>14644</v>
      </c>
      <c r="E8010" s="8" t="str">
        <f>IFERROR(__xludf.DUMMYFUNCTION("googletranslate(D8010,""id"",""en"")"),"Ahiya sorry, it's right before PPKM LVL")</f>
        <v>Ahiya sorry, it's right before PPKM LVL</v>
      </c>
    </row>
    <row r="8011" ht="15.75" customHeight="1">
      <c r="A8011" s="2">
        <v>8014.0</v>
      </c>
      <c r="B8011" s="5" t="s">
        <v>14645</v>
      </c>
      <c r="C8011" s="6">
        <v>2.0</v>
      </c>
      <c r="D8011" s="9" t="s">
        <v>14645</v>
      </c>
      <c r="E8011" s="8" t="str">
        <f>IFERROR(__xludf.DUMMYFUNCTION("googletranslate(D8011,""id"",""en"")"),"Between the demo and PPKM seem to race in the melody.")</f>
        <v>Between the demo and PPKM seem to race in the melody.</v>
      </c>
    </row>
    <row r="8012" ht="15.75" customHeight="1">
      <c r="A8012" s="2">
        <v>8015.0</v>
      </c>
      <c r="B8012" s="5" t="s">
        <v>14646</v>
      </c>
      <c r="C8012" s="6">
        <v>1.0</v>
      </c>
      <c r="D8012" s="9" t="s">
        <v>14646</v>
      </c>
      <c r="E8012" s="8" t="str">
        <f>IFERROR(__xludf.DUMMYFUNCTION("googletranslate(D8012,""id"",""en"")"),"Ppkm gapapa the road is closed, but please sell the midnight food until morning still open. I love hungry night at night")</f>
        <v>Ppkm gapapa the road is closed, but please sell the midnight food until morning still open. I love hungry night at night</v>
      </c>
    </row>
    <row r="8013" ht="15.75" customHeight="1">
      <c r="A8013" s="2">
        <v>8016.0</v>
      </c>
      <c r="B8013" s="5" t="s">
        <v>14647</v>
      </c>
      <c r="C8013" s="6">
        <v>2.0</v>
      </c>
      <c r="D8013" s="7" t="s">
        <v>14648</v>
      </c>
      <c r="E8013" s="8" t="str">
        <f>IFERROR(__xludf.DUMMYFUNCTION("googletranslate(D8013,""id"",""en"")"),"Hope your lecture in prestang sprti ppkm")</f>
        <v>Hope your lecture in prestang sprti ppkm</v>
      </c>
    </row>
    <row r="8014" ht="15.75" customHeight="1">
      <c r="A8014" s="2">
        <v>8017.0</v>
      </c>
      <c r="B8014" s="5" t="s">
        <v>14649</v>
      </c>
      <c r="C8014" s="6">
        <v>2.0</v>
      </c>
      <c r="D8014" s="9" t="s">
        <v>14650</v>
      </c>
      <c r="E8014" s="8" t="str">
        <f>IFERROR(__xludf.DUMMYFUNCTION("googletranslate(D8014,""id"",""en"")"),"the ppkm just extended the mlu tp chat gw short mlu")</f>
        <v>the ppkm just extended the mlu tp chat gw short mlu</v>
      </c>
    </row>
    <row r="8015" ht="15.75" customHeight="1">
      <c r="A8015" s="2">
        <v>8018.0</v>
      </c>
      <c r="B8015" s="5" t="s">
        <v>14651</v>
      </c>
      <c r="C8015" s="6">
        <v>1.0</v>
      </c>
      <c r="D8015" s="9" t="s">
        <v>14652</v>
      </c>
      <c r="E8015" s="8" t="str">
        <f>IFERROR(__xludf.DUMMYFUNCTION("googletranslate(D8015,""id"",""en"")"),"Does this kating doesn't think LG Pandemic and LG PPKM? The main purpose is made so onlen, so that the mobility is limited to it. When will it be opened if someone who is difficult to travel is even told to go.")</f>
        <v>Does this kating doesn't think LG Pandemic and LG PPKM? The main purpose is made so onlen, so that the mobility is limited to it. When will it be opened if someone who is difficult to travel is even told to go.</v>
      </c>
    </row>
    <row r="8016" ht="15.75" customHeight="1">
      <c r="A8016" s="2">
        <v>8019.0</v>
      </c>
      <c r="B8016" s="5" t="s">
        <v>14653</v>
      </c>
      <c r="C8016" s="6">
        <v>1.0</v>
      </c>
      <c r="D8016" s="7" t="s">
        <v>14653</v>
      </c>
      <c r="E8016" s="8" t="str">
        <f>IFERROR(__xludf.DUMMYFUNCTION("googletranslate(D8016,""id"",""en"")"),"PPKM made my steps shackled. Ah sial, even though the plan this year will be more challenging my adventure.")</f>
        <v>PPKM made my steps shackled. Ah sial, even though the plan this year will be more challenging my adventure.</v>
      </c>
    </row>
    <row r="8017" ht="15.75" customHeight="1">
      <c r="A8017" s="2">
        <v>8020.0</v>
      </c>
      <c r="B8017" s="5" t="s">
        <v>14654</v>
      </c>
      <c r="C8017" s="6">
        <v>1.0</v>
      </c>
      <c r="D8017" s="7" t="s">
        <v>14655</v>
      </c>
      <c r="E8017" s="8" t="str">
        <f>IFERROR(__xludf.DUMMYFUNCTION("googletranslate(D8017,""id"",""en"")"),"Duh ... what is it delicious to find money today now ... where is the PPKM even longer ..")</f>
        <v>Duh ... what is it delicious to find money today now ... where is the PPKM even longer ..</v>
      </c>
    </row>
    <row r="8018" ht="15.75" customHeight="1">
      <c r="A8018" s="2">
        <v>8021.0</v>
      </c>
      <c r="B8018" s="5" t="s">
        <v>14656</v>
      </c>
      <c r="C8018" s="6">
        <v>2.0</v>
      </c>
      <c r="D8018" s="7" t="s">
        <v>14657</v>
      </c>
      <c r="E8018" s="8" t="str">
        <f>IFERROR(__xludf.DUMMYFUNCTION("googletranslate(D8018,""id"",""en"")"),"Waiting for the announcement JE OTE-OTE. Do you want to shorten the PPKM period from Alfamart33 members, the photos of the sandals are wide.")</f>
        <v>Waiting for the announcement JE OTE-OTE. Do you want to shorten the PPKM period from Alfamart33 members, the photos of the sandals are wide.</v>
      </c>
    </row>
    <row r="8019" ht="15.75" customHeight="1">
      <c r="A8019" s="2">
        <v>8022.0</v>
      </c>
      <c r="B8019" s="5" t="s">
        <v>14658</v>
      </c>
      <c r="C8019" s="6">
        <v>1.0</v>
      </c>
      <c r="D8019" s="7" t="s">
        <v>14659</v>
      </c>
      <c r="E8019" s="8" t="str">
        <f>IFERROR(__xludf.DUMMYFUNCTION("googletranslate(D8019,""id"",""en"")"),"PPKM will be extended, GMN orders")</f>
        <v>PPKM will be extended, GMN orders</v>
      </c>
    </row>
    <row r="8020" ht="15.75" customHeight="1">
      <c r="A8020" s="2">
        <v>8023.0</v>
      </c>
      <c r="B8020" s="5" t="s">
        <v>14660</v>
      </c>
      <c r="C8020" s="6">
        <v>2.0</v>
      </c>
      <c r="D8020" s="7" t="s">
        <v>14661</v>
      </c>
      <c r="E8020" s="8" t="str">
        <f>IFERROR(__xludf.DUMMYFUNCTION("googletranslate(D8020,""id"",""en"")"),"Ppkm makes me a lot of shoes ... how come it's lazy ... the work on your cellphone doesn't move too")</f>
        <v>Ppkm makes me a lot of shoes ... how come it's lazy ... the work on your cellphone doesn't move too</v>
      </c>
    </row>
    <row r="8021" ht="15.75" customHeight="1">
      <c r="A8021" s="2">
        <v>8024.0</v>
      </c>
      <c r="B8021" s="5" t="s">
        <v>14662</v>
      </c>
      <c r="C8021" s="6">
        <v>1.0</v>
      </c>
      <c r="D8021" s="7" t="s">
        <v>14663</v>
      </c>
      <c r="E8021" s="8" t="str">
        <f>IFERROR(__xludf.DUMMYFUNCTION("googletranslate(D8021,""id"",""en"")"),"Ppkm is not wrong, the project w is not completed")</f>
        <v>Ppkm is not wrong, the project w is not completed</v>
      </c>
    </row>
    <row r="8022" ht="15.75" customHeight="1">
      <c r="A8022" s="2">
        <v>8025.0</v>
      </c>
      <c r="B8022" s="5" t="s">
        <v>14664</v>
      </c>
      <c r="C8022" s="6">
        <v>1.0</v>
      </c>
      <c r="D8022" s="7" t="s">
        <v>14665</v>
      </c>
      <c r="E8022" s="8" t="str">
        <f>IFERROR(__xludf.DUMMYFUNCTION("googletranslate(D8022,""id"",""en"")"),"Again PPKM. All services are closed.")</f>
        <v>Again PPKM. All services are closed.</v>
      </c>
    </row>
    <row r="8023" ht="15.75" customHeight="1">
      <c r="A8023" s="2">
        <v>8026.0</v>
      </c>
      <c r="B8023" s="5" t="s">
        <v>14666</v>
      </c>
      <c r="C8023" s="6">
        <v>1.0</v>
      </c>
      <c r="D8023" s="7" t="s">
        <v>14667</v>
      </c>
      <c r="E8023" s="8" t="str">
        <f>IFERROR(__xludf.DUMMYFUNCTION("googletranslate(D8023,""id"",""en"")"),"Ready for the PPKM announcement later. Gajadi work again. Poor again.")</f>
        <v>Ready for the PPKM announcement later. Gajadi work again. Poor again.</v>
      </c>
    </row>
    <row r="8024" ht="15.75" customHeight="1">
      <c r="A8024" s="2">
        <v>8027.0</v>
      </c>
      <c r="B8024" s="5" t="s">
        <v>14668</v>
      </c>
      <c r="C8024" s="6">
        <v>2.0</v>
      </c>
      <c r="D8024" s="9" t="s">
        <v>14668</v>
      </c>
      <c r="E8024" s="8" t="str">
        <f>IFERROR(__xludf.DUMMYFUNCTION("googletranslate(D8024,""id"",""en"")"),"What tea ppkm is done yet?")</f>
        <v>What tea ppkm is done yet?</v>
      </c>
    </row>
    <row r="8025" ht="15.75" customHeight="1">
      <c r="A8025" s="2">
        <v>8028.0</v>
      </c>
      <c r="B8025" s="5" t="s">
        <v>14669</v>
      </c>
      <c r="C8025" s="6">
        <v>2.0</v>
      </c>
      <c r="D8025" s="9" t="s">
        <v>14670</v>
      </c>
      <c r="E8025" s="8" t="str">
        <f>IFERROR(__xludf.DUMMYFUNCTION("googletranslate(D8025,""id"",""en"")"),"Kan ppkm nya d per perpanjng muulu..sampe it can't feel like it's a few weeks")</f>
        <v>Kan ppkm nya d per perpanjng muulu..sampe it can't feel like it's a few weeks</v>
      </c>
    </row>
    <row r="8026" ht="15.75" customHeight="1">
      <c r="A8026" s="2">
        <v>8029.0</v>
      </c>
      <c r="B8026" s="5" t="s">
        <v>14671</v>
      </c>
      <c r="C8026" s="6">
        <v>2.0</v>
      </c>
      <c r="D8026" s="9" t="s">
        <v>14672</v>
      </c>
      <c r="E8026" s="8" t="str">
        <f>IFERROR(__xludf.DUMMYFUNCTION("googletranslate(D8026,""id"",""en"")"),"Yes out dong abis ppkm")</f>
        <v>Yes out dong abis ppkm</v>
      </c>
    </row>
    <row r="8027" ht="15.75" customHeight="1">
      <c r="A8027" s="2">
        <v>8030.0</v>
      </c>
      <c r="B8027" s="5" t="s">
        <v>14673</v>
      </c>
      <c r="C8027" s="6">
        <v>2.0</v>
      </c>
      <c r="D8027" s="7" t="s">
        <v>14674</v>
      </c>
      <c r="E8027" s="8" t="str">
        <f>IFERROR(__xludf.DUMMYFUNCTION("googletranslate(D8027,""id"",""en"")"),"KPKM extended with you aware even though his body becomes yours but his heart only belongs to the other")</f>
        <v>KPKM extended with you aware even though his body becomes yours but his heart only belongs to the other</v>
      </c>
    </row>
    <row r="8028" ht="15.75" customHeight="1">
      <c r="A8028" s="2">
        <v>8031.0</v>
      </c>
      <c r="B8028" s="5" t="s">
        <v>14675</v>
      </c>
      <c r="C8028" s="6">
        <v>2.0</v>
      </c>
      <c r="D8028" s="7" t="s">
        <v>14675</v>
      </c>
      <c r="E8028" s="8" t="str">
        <f>IFERROR(__xludf.DUMMYFUNCTION("googletranslate(D8028,""id"",""en"")"),"PPKM is extended, durable ... rich in my feelings to you, durable. * IISSHH.")</f>
        <v>PPKM is extended, durable ... rich in my feelings to you, durable. * IISSHH.</v>
      </c>
    </row>
    <row r="8029" ht="15.75" customHeight="1">
      <c r="A8029" s="2">
        <v>8032.0</v>
      </c>
      <c r="B8029" s="5" t="s">
        <v>14676</v>
      </c>
      <c r="C8029" s="6">
        <v>2.0</v>
      </c>
      <c r="D8029" s="9" t="s">
        <v>14677</v>
      </c>
      <c r="E8029" s="8" t="str">
        <f>IFERROR(__xludf.DUMMYFUNCTION("googletranslate(D8029,""id"",""en"")"),"Tetep Ngadain Race Agts Walopun PPKM")</f>
        <v>Tetep Ngadain Race Agts Walopun PPKM</v>
      </c>
    </row>
    <row r="8030" ht="15.75" customHeight="1">
      <c r="A8030" s="2">
        <v>8033.0</v>
      </c>
      <c r="B8030" s="5" t="s">
        <v>14678</v>
      </c>
      <c r="C8030" s="6">
        <v>1.0</v>
      </c>
      <c r="D8030" s="7" t="s">
        <v>14679</v>
      </c>
      <c r="E8030" s="8" t="str">
        <f>IFERROR(__xludf.DUMMYFUNCTION("googletranslate(D8030,""id"",""en"")"),"Key of Tarus Mauk Banar, Kasian the small people of the PPKM gegara even in the style of going")</f>
        <v>Key of Tarus Mauk Banar, Kasian the small people of the PPKM gegara even in the style of going</v>
      </c>
    </row>
    <row r="8031" ht="15.75" customHeight="1">
      <c r="A8031" s="2">
        <v>8034.0</v>
      </c>
      <c r="B8031" s="5" t="s">
        <v>14680</v>
      </c>
      <c r="C8031" s="6">
        <v>1.0</v>
      </c>
      <c r="D8031" s="9" t="s">
        <v>14680</v>
      </c>
      <c r="E8031" s="8" t="str">
        <f>IFERROR(__xludf.DUMMYFUNCTION("googletranslate(D8031,""id"",""en"")"),"Ngethwit ginian because it was left ppkm extended mulu hahahahahaha")</f>
        <v>Ngethwit ginian because it was left ppkm extended mulu hahahahahaha</v>
      </c>
    </row>
    <row r="8032" ht="15.75" customHeight="1">
      <c r="A8032" s="2">
        <v>8035.0</v>
      </c>
      <c r="B8032" s="5" t="s">
        <v>14681</v>
      </c>
      <c r="C8032" s="6">
        <v>1.0</v>
      </c>
      <c r="D8032" s="7" t="s">
        <v>14682</v>
      </c>
      <c r="E8032" s="8" t="str">
        <f>IFERROR(__xludf.DUMMYFUNCTION("googletranslate(D8032,""id"",""en"")"),"Yoga = ppkmpria mentally got mentally.")</f>
        <v>Yoga = ppkmpria mentally got mentally.</v>
      </c>
    </row>
    <row r="8033" ht="15.75" customHeight="1">
      <c r="A8033" s="2">
        <v>8036.0</v>
      </c>
      <c r="B8033" s="5" t="s">
        <v>14683</v>
      </c>
      <c r="C8033" s="6">
        <v>2.0</v>
      </c>
      <c r="D8033" s="7" t="s">
        <v>14684</v>
      </c>
      <c r="E8033" s="8" t="str">
        <f>IFERROR(__xludf.DUMMYFUNCTION("googletranslate(D8033,""id"",""en"")"),"Really, since this PPKM investors are more careful when you want to take a decision and take the right strategy")</f>
        <v>Really, since this PPKM investors are more careful when you want to take a decision and take the right strategy</v>
      </c>
    </row>
    <row r="8034" ht="15.75" customHeight="1">
      <c r="A8034" s="2">
        <v>8037.0</v>
      </c>
      <c r="B8034" s="5" t="s">
        <v>14685</v>
      </c>
      <c r="C8034" s="6">
        <v>2.0</v>
      </c>
      <c r="D8034" s="9" t="s">
        <v>14685</v>
      </c>
      <c r="E8034" s="8" t="str">
        <f>IFERROR(__xludf.DUMMYFUNCTION("googletranslate(D8034,""id"",""en"")"),"PPKM is extended until you are aware if you are just a clown he does.")</f>
        <v>PPKM is extended until you are aware if you are just a clown he does.</v>
      </c>
    </row>
    <row r="8035" ht="15.75" customHeight="1">
      <c r="A8035" s="2">
        <v>8038.0</v>
      </c>
      <c r="B8035" s="5" t="s">
        <v>14686</v>
      </c>
      <c r="C8035" s="6">
        <v>1.0</v>
      </c>
      <c r="D8035" s="7" t="s">
        <v>14686</v>
      </c>
      <c r="E8035" s="8" t="str">
        <f>IFERROR(__xludf.DUMMYFUNCTION("googletranslate(D8035,""id"",""en"")"),"Update the rules that are lagging and the PPKM level per area per week with the Gimmick Extension PPKM.")</f>
        <v>Update the rules that are lagging and the PPKM level per area per week with the Gimmick Extension PPKM.</v>
      </c>
    </row>
    <row r="8036" ht="15.75" customHeight="1">
      <c r="A8036" s="2">
        <v>8039.0</v>
      </c>
      <c r="B8036" s="5" t="s">
        <v>14687</v>
      </c>
      <c r="C8036" s="6">
        <v>2.0</v>
      </c>
      <c r="D8036" s="7" t="s">
        <v>14688</v>
      </c>
      <c r="E8036" s="8" t="str">
        <f>IFERROR(__xludf.DUMMYFUNCTION("googletranslate(D8036,""id"",""en"")"),"PPKM is extended until you accept me for who I am")</f>
        <v>PPKM is extended until you accept me for who I am</v>
      </c>
    </row>
    <row r="8037" ht="15.75" customHeight="1">
      <c r="A8037" s="2">
        <v>8040.0</v>
      </c>
      <c r="B8037" s="5" t="s">
        <v>14689</v>
      </c>
      <c r="C8037" s="6">
        <v>1.0</v>
      </c>
      <c r="D8037" s="7" t="s">
        <v>14690</v>
      </c>
      <c r="E8037" s="8" t="str">
        <f>IFERROR(__xludf.DUMMYFUNCTION("googletranslate(D8037,""id"",""en"")"),"WDYT NIH PPKM is continued again? Who is LDR and doesn't have a personal vehicle rich I have stressed it is not karuan")</f>
        <v>WDYT NIH PPKM is continued again? Who is LDR and doesn't have a personal vehicle rich I have stressed it is not karuan</v>
      </c>
    </row>
    <row r="8038" ht="15.75" customHeight="1">
      <c r="A8038" s="2">
        <v>8041.0</v>
      </c>
      <c r="B8038" s="5" t="s">
        <v>14691</v>
      </c>
      <c r="C8038" s="6">
        <v>2.0</v>
      </c>
      <c r="D8038" s="9" t="s">
        <v>14692</v>
      </c>
      <c r="E8038" s="8" t="str">
        <f>IFERROR(__xludf.DUMMYFUNCTION("googletranslate(D8038,""id"",""en"")"),"maybe but waiting for the PPKM to finish first")</f>
        <v>maybe but waiting for the PPKM to finish first</v>
      </c>
    </row>
    <row r="8039" ht="15.75" customHeight="1">
      <c r="A8039" s="2">
        <v>8042.0</v>
      </c>
      <c r="B8039" s="5" t="s">
        <v>14693</v>
      </c>
      <c r="C8039" s="6">
        <v>2.0</v>
      </c>
      <c r="D8039" s="7" t="s">
        <v>14693</v>
      </c>
      <c r="E8039" s="8" t="str">
        <f>IFERROR(__xludf.DUMMYFUNCTION("googletranslate(D8039,""id"",""en"")"),"PPKM is extended?")</f>
        <v>PPKM is extended?</v>
      </c>
    </row>
    <row r="8040" ht="15.75" customHeight="1">
      <c r="A8040" s="2">
        <v>8043.0</v>
      </c>
      <c r="B8040" s="5" t="s">
        <v>14694</v>
      </c>
      <c r="C8040" s="6">
        <v>2.0</v>
      </c>
      <c r="D8040" s="7" t="s">
        <v>14695</v>
      </c>
      <c r="E8040" s="8" t="str">
        <f>IFERROR(__xludf.DUMMYFUNCTION("googletranslate(D8040,""id"",""en"")"),"PPKM extended until the boarding house does not cook instant noodles using a rice cooker")</f>
        <v>PPKM extended until the boarding house does not cook instant noodles using a rice cooker</v>
      </c>
    </row>
    <row r="8041" ht="15.75" customHeight="1">
      <c r="A8041" s="2">
        <v>8044.0</v>
      </c>
      <c r="B8041" s="5" t="s">
        <v>14696</v>
      </c>
      <c r="C8041" s="6">
        <v>2.0</v>
      </c>
      <c r="D8041" s="7" t="s">
        <v>14697</v>
      </c>
      <c r="E8041" s="8" t="str">
        <f>IFERROR(__xludf.DUMMYFUNCTION("googletranslate(D8041,""id"",""en"")"),"Playing guessing when PPKM finished")</f>
        <v>Playing guessing when PPKM finished</v>
      </c>
    </row>
    <row r="8042" ht="15.75" customHeight="1">
      <c r="A8042" s="2">
        <v>8045.0</v>
      </c>
      <c r="B8042" s="5" t="s">
        <v>14698</v>
      </c>
      <c r="C8042" s="6">
        <v>2.0</v>
      </c>
      <c r="D8042" s="7" t="s">
        <v>14699</v>
      </c>
      <c r="E8042" s="8" t="str">
        <f>IFERROR(__xludf.DUMMYFUNCTION("googletranslate(D8042,""id"",""en"")"),"Iyooo Heee I'm Gara2 PPKM WFH Continues to I Want to Reverse Malaaang")</f>
        <v>Iyooo Heee I'm Gara2 PPKM WFH Continues to I Want to Reverse Malaaang</v>
      </c>
    </row>
    <row r="8043" ht="15.75" customHeight="1">
      <c r="A8043" s="2">
        <v>8046.0</v>
      </c>
      <c r="B8043" s="5" t="s">
        <v>14700</v>
      </c>
      <c r="C8043" s="6">
        <v>2.0</v>
      </c>
      <c r="D8043" s="7" t="s">
        <v>14701</v>
      </c>
      <c r="E8043" s="8" t="str">
        <f>IFERROR(__xludf.DUMMYFUNCTION("googletranslate(D8043,""id"",""en"")"),"PPKM extended August")</f>
        <v>PPKM extended August</v>
      </c>
    </row>
    <row r="8044" ht="15.75" customHeight="1">
      <c r="A8044" s="2">
        <v>8047.0</v>
      </c>
      <c r="B8044" s="5" t="s">
        <v>14702</v>
      </c>
      <c r="C8044" s="6">
        <v>2.0</v>
      </c>
      <c r="D8044" s="9" t="s">
        <v>14703</v>
      </c>
      <c r="E8044" s="8" t="str">
        <f>IFERROR(__xludf.DUMMYFUNCTION("googletranslate(D8044,""id"",""en"")"),"Ntar the next August celebration of the new PPKM again")</f>
        <v>Ntar the next August celebration of the new PPKM again</v>
      </c>
    </row>
    <row r="8045" ht="15.75" customHeight="1">
      <c r="A8045" s="2">
        <v>8048.0</v>
      </c>
      <c r="B8045" s="5" t="s">
        <v>14704</v>
      </c>
      <c r="C8045" s="6">
        <v>2.0</v>
      </c>
      <c r="D8045" s="7" t="s">
        <v>14705</v>
      </c>
      <c r="E8045" s="8" t="str">
        <f>IFERROR(__xludf.DUMMYFUNCTION("googletranslate(D8045,""id"",""en"")"),"PPKM is extended until I and you sit on the speechpakpakpakakpakpakmak jeder")</f>
        <v>PPKM is extended until I and you sit on the speechpakpakpakakpakpakmak jeder</v>
      </c>
    </row>
    <row r="8046" ht="15.75" customHeight="1">
      <c r="A8046" s="2">
        <v>8049.0</v>
      </c>
      <c r="B8046" s="5" t="s">
        <v>14706</v>
      </c>
      <c r="C8046" s="6">
        <v>2.0</v>
      </c>
      <c r="D8046" s="9" t="s">
        <v>14707</v>
      </c>
      <c r="E8046" s="8" t="str">
        <f>IFERROR(__xludf.DUMMYFUNCTION("googletranslate(D8046,""id"",""en"")"),"morning, I want to ask whether it is permitted to hold a race in the middle of the PPKM LVL that now ???")</f>
        <v>morning, I want to ask whether it is permitted to hold a race in the middle of the PPKM LVL that now ???</v>
      </c>
    </row>
    <row r="8047" ht="15.75" customHeight="1">
      <c r="A8047" s="2">
        <v>8050.0</v>
      </c>
      <c r="B8047" s="5" t="s">
        <v>14708</v>
      </c>
      <c r="C8047" s="6">
        <v>2.0</v>
      </c>
      <c r="D8047" s="7" t="s">
        <v>14709</v>
      </c>
      <c r="E8047" s="8" t="str">
        <f>IFERROR(__xludf.DUMMYFUNCTION("googletranslate(D8047,""id"",""en"")"),"And in the end the one I needed was the money especially PPKM in the extension of the pokonya money")</f>
        <v>And in the end the one I needed was the money especially PPKM in the extension of the pokonya money</v>
      </c>
    </row>
    <row r="8048" ht="15.75" customHeight="1">
      <c r="A8048" s="2">
        <v>8051.0</v>
      </c>
      <c r="B8048" s="5" t="s">
        <v>14710</v>
      </c>
      <c r="C8048" s="6">
        <v>2.0</v>
      </c>
      <c r="D8048" s="7" t="s">
        <v>14711</v>
      </c>
      <c r="E8048" s="8" t="str">
        <f>IFERROR(__xludf.DUMMYFUNCTION("googletranslate(D8048,""id"",""en"")"),"Ppkm help, a million, a month, it's been enough")</f>
        <v>Ppkm help, a million, a month, it's been enough</v>
      </c>
    </row>
    <row r="8049" ht="15.75" customHeight="1">
      <c r="A8049" s="2">
        <v>8052.0</v>
      </c>
      <c r="B8049" s="5" t="s">
        <v>14712</v>
      </c>
      <c r="C8049" s="6">
        <v>2.0</v>
      </c>
      <c r="D8049" s="9" t="s">
        <v>14712</v>
      </c>
      <c r="E8049" s="8" t="str">
        <f>IFERROR(__xludf.DUMMYFUNCTION("googletranslate(D8049,""id"",""en"")"),"Ppkm dah kayak ditop up, every week nambulu mulu")</f>
        <v>Ppkm dah kayak ditop up, every week nambulu mulu</v>
      </c>
    </row>
    <row r="8050" ht="15.75" customHeight="1">
      <c r="A8050" s="2">
        <v>8053.0</v>
      </c>
      <c r="B8050" s="5" t="s">
        <v>14713</v>
      </c>
      <c r="C8050" s="6">
        <v>2.0</v>
      </c>
      <c r="D8050" s="9" t="s">
        <v>14714</v>
      </c>
      <c r="E8050" s="8" t="str">
        <f>IFERROR(__xludf.DUMMYFUNCTION("googletranslate(D8050,""id"",""en"")"),"Again hit PPKM, was patiently in patience")</f>
        <v>Again hit PPKM, was patiently in patience</v>
      </c>
    </row>
    <row r="8051" ht="15.75" customHeight="1">
      <c r="A8051" s="2">
        <v>8054.0</v>
      </c>
      <c r="B8051" s="5" t="s">
        <v>14715</v>
      </c>
      <c r="C8051" s="6">
        <v>1.0</v>
      </c>
      <c r="D8051" s="7" t="s">
        <v>14715</v>
      </c>
      <c r="E8051" s="8" t="str">
        <f>IFERROR(__xludf.DUMMYFUNCTION("googletranslate(D8051,""id"",""en"")"),"It turns out that the holiday is confused too, I want to sleep TSPI just wake up, want to go but where is the ppkm ngemall gabisa dine in, sitting continues to cape, scroll hp dizzy, nontonfilm bosen, dahlahhhh")</f>
        <v>It turns out that the holiday is confused too, I want to sleep TSPI just wake up, want to go but where is the ppkm ngemall gabisa dine in, sitting continues to cape, scroll hp dizzy, nontonfilm bosen, dahlahhhh</v>
      </c>
    </row>
    <row r="8052" ht="15.75" customHeight="1">
      <c r="A8052" s="2">
        <v>8055.0</v>
      </c>
      <c r="B8052" s="5" t="s">
        <v>14716</v>
      </c>
      <c r="C8052" s="6">
        <v>2.0</v>
      </c>
      <c r="D8052" s="7" t="s">
        <v>14716</v>
      </c>
      <c r="E8052" s="8" t="str">
        <f>IFERROR(__xludf.DUMMYFUNCTION("googletranslate(D8052,""id"",""en"")"),"Met my country's birthday, I hope the PPKM is not extended again")</f>
        <v>Met my country's birthday, I hope the PPKM is not extended again</v>
      </c>
    </row>
    <row r="8053" ht="15.75" customHeight="1">
      <c r="A8053" s="2">
        <v>8056.0</v>
      </c>
      <c r="B8053" s="5" t="s">
        <v>14717</v>
      </c>
      <c r="C8053" s="6">
        <v>1.0</v>
      </c>
      <c r="D8053" s="9" t="s">
        <v>14717</v>
      </c>
      <c r="E8053" s="8" t="str">
        <f>IFERROR(__xludf.DUMMYFUNCTION("googletranslate(D8053,""id"",""en"")"),"ppkm extended first dah")</f>
        <v>ppkm extended first dah</v>
      </c>
    </row>
    <row r="8054" ht="15.75" customHeight="1">
      <c r="A8054" s="2">
        <v>8057.0</v>
      </c>
      <c r="B8054" s="5" t="s">
        <v>14718</v>
      </c>
      <c r="C8054" s="6">
        <v>2.0</v>
      </c>
      <c r="D8054" s="7" t="s">
        <v>14719</v>
      </c>
      <c r="E8054" s="8" t="str">
        <f>IFERROR(__xludf.DUMMYFUNCTION("googletranslate(D8054,""id"",""en"")"),"PPKM is renewed again Dahal Badye already willing to be invited to Jogja")</f>
        <v>PPKM is renewed again Dahal Badye already willing to be invited to Jogja</v>
      </c>
    </row>
    <row r="8055" ht="15.75" customHeight="1">
      <c r="A8055" s="2">
        <v>8058.0</v>
      </c>
      <c r="B8055" s="5" t="s">
        <v>14720</v>
      </c>
      <c r="C8055" s="6">
        <v>2.0</v>
      </c>
      <c r="D8055" s="7" t="s">
        <v>14721</v>
      </c>
      <c r="E8055" s="8" t="str">
        <f>IFERROR(__xludf.DUMMYFUNCTION("googletranslate(D8055,""id"",""en"")"),"PPKM is actually the year just paid in installments a week - a week")</f>
        <v>PPKM is actually the year just paid in installments a week - a week</v>
      </c>
    </row>
    <row r="8056" ht="15.75" customHeight="1">
      <c r="A8056" s="2">
        <v>8059.0</v>
      </c>
      <c r="B8056" s="5" t="s">
        <v>14722</v>
      </c>
      <c r="C8056" s="6">
        <v>1.0</v>
      </c>
      <c r="D8056" s="7" t="s">
        <v>14723</v>
      </c>
      <c r="E8056" s="8" t="str">
        <f>IFERROR(__xludf.DUMMYFUNCTION("googletranslate(D8056,""id"",""en"")"),"The important thing is PPKM until the year sir")</f>
        <v>The important thing is PPKM until the year sir</v>
      </c>
    </row>
    <row r="8057" ht="15.75" customHeight="1">
      <c r="A8057" s="2">
        <v>8060.0</v>
      </c>
      <c r="B8057" s="5" t="s">
        <v>14724</v>
      </c>
      <c r="C8057" s="6">
        <v>1.0</v>
      </c>
      <c r="D8057" s="7" t="s">
        <v>14724</v>
      </c>
      <c r="E8057" s="8" t="str">
        <f>IFERROR(__xludf.DUMMYFUNCTION("googletranslate(D8057,""id"",""en"")"),"PPKM extended continues until lawyer turns into lowyer")</f>
        <v>PPKM extended continues until lawyer turns into lowyer</v>
      </c>
    </row>
    <row r="8058" ht="15.75" customHeight="1">
      <c r="A8058" s="2">
        <v>8061.0</v>
      </c>
      <c r="B8058" s="5" t="s">
        <v>14725</v>
      </c>
      <c r="C8058" s="6">
        <v>2.0</v>
      </c>
      <c r="D8058" s="7" t="s">
        <v>14726</v>
      </c>
      <c r="E8058" s="8" t="str">
        <f>IFERROR(__xludf.DUMMYFUNCTION("googletranslate(D8058,""id"",""en"")"),"Also PPKM is extended again ...")</f>
        <v>Also PPKM is extended again ...</v>
      </c>
    </row>
    <row r="8059" ht="15.75" customHeight="1">
      <c r="A8059" s="2">
        <v>8062.0</v>
      </c>
      <c r="B8059" s="5" t="s">
        <v>14727</v>
      </c>
      <c r="C8059" s="6">
        <v>2.0</v>
      </c>
      <c r="D8059" s="10" t="s">
        <v>14727</v>
      </c>
      <c r="E8059" s="8" t="str">
        <f>IFERROR(__xludf.DUMMYFUNCTION("googletranslate(D8059,""id"",""en"")"),"Ppkm again yeah")</f>
        <v>Ppkm again yeah</v>
      </c>
    </row>
    <row r="8060" ht="15.75" customHeight="1">
      <c r="A8060" s="2">
        <v>8063.0</v>
      </c>
      <c r="B8060" s="5" t="s">
        <v>14728</v>
      </c>
      <c r="C8060" s="6">
        <v>2.0</v>
      </c>
      <c r="D8060" s="9" t="s">
        <v>14729</v>
      </c>
      <c r="E8060" s="8" t="str">
        <f>IFERROR(__xludf.DUMMYFUNCTION("googletranslate(D8060,""id"",""en"")"),"Patience, Sis Hill, later it will be able to get there again, just take the extended PPKM first")</f>
        <v>Patience, Sis Hill, later it will be able to get there again, just take the extended PPKM first</v>
      </c>
    </row>
    <row r="8061" ht="15.75" customHeight="1">
      <c r="A8061" s="2">
        <v>8064.0</v>
      </c>
      <c r="B8061" s="5" t="s">
        <v>14730</v>
      </c>
      <c r="C8061" s="6">
        <v>1.0</v>
      </c>
      <c r="D8061" s="7" t="s">
        <v>14730</v>
      </c>
      <c r="E8061" s="8" t="str">
        <f>IFERROR(__xludf.DUMMYFUNCTION("googletranslate(D8061,""id"",""en"")"),"Jog really dizzy ppkm extended continuously")</f>
        <v>Jog really dizzy ppkm extended continuously</v>
      </c>
    </row>
    <row r="8062" ht="15.75" customHeight="1">
      <c r="A8062" s="2">
        <v>8065.0</v>
      </c>
      <c r="B8062" s="5" t="s">
        <v>14731</v>
      </c>
      <c r="C8062" s="6">
        <v>1.0</v>
      </c>
      <c r="D8062" s="9" t="s">
        <v>14732</v>
      </c>
      <c r="E8062" s="8" t="str">
        <f>IFERROR(__xludf.DUMMYFUNCTION("googletranslate(D8062,""id"",""en"")"),"I hear ""so. The original PPKM applies to MPE DG with a paid on how to avoid the demo of Rakyad's small anger and testing the water smpe. KLW AMN was made an emergency rule of MPE pandemic. It's been started with the statement of the power brokers of the "&amp;"KPU Voice Traders")</f>
        <v>I hear "so. The original PPKM applies to MPE DG with a paid on how to avoid the demo of Rakyad's small anger and testing the water smpe. KLW AMN was made an emergency rule of MPE pandemic. It's been started with the statement of the power brokers of the KPU Voice Traders</v>
      </c>
    </row>
    <row r="8063" ht="15.75" customHeight="1">
      <c r="A8063" s="2">
        <v>8066.0</v>
      </c>
      <c r="B8063" s="5" t="s">
        <v>14733</v>
      </c>
      <c r="C8063" s="6">
        <v>2.0</v>
      </c>
      <c r="D8063" s="7" t="s">
        <v>14734</v>
      </c>
      <c r="E8063" s="8" t="str">
        <f>IFERROR(__xludf.DUMMYFUNCTION("googletranslate(D8063,""id"",""en"")"),"PPKM: Winners of Kozume Kozume Kenma")</f>
        <v>PPKM: Winners of Kozume Kozume Kenma</v>
      </c>
    </row>
    <row r="8064" ht="15.75" customHeight="1">
      <c r="A8064" s="2">
        <v>8067.0</v>
      </c>
      <c r="B8064" s="5" t="s">
        <v>14735</v>
      </c>
      <c r="C8064" s="6">
        <v>1.0</v>
      </c>
      <c r="D8064" s="7" t="s">
        <v>14735</v>
      </c>
      <c r="E8064" s="8" t="str">
        <f>IFERROR(__xludf.DUMMYFUNCTION("googletranslate(D8064,""id"",""en"")"),"The PPKM is increasingly renewed increasingly plasticity just formality.")</f>
        <v>The PPKM is increasingly renewed increasingly plasticity just formality.</v>
      </c>
    </row>
    <row r="8065" ht="15.75" customHeight="1">
      <c r="A8065" s="2">
        <v>8068.0</v>
      </c>
      <c r="B8065" s="5" t="s">
        <v>14736</v>
      </c>
      <c r="C8065" s="6">
        <v>1.0</v>
      </c>
      <c r="D8065" s="7" t="s">
        <v>14737</v>
      </c>
      <c r="E8065" s="8" t="str">
        <f>IFERROR(__xludf.DUMMYFUNCTION("googletranslate(D8065,""id"",""en"")"),"Where the veck is a lot of LG. Continue to make PPKM ppkm fuck like this?!?!")</f>
        <v>Where the veck is a lot of LG. Continue to make PPKM ppkm fuck like this?!?!</v>
      </c>
    </row>
    <row r="8066" ht="15.75" customHeight="1">
      <c r="A8066" s="2">
        <v>8069.0</v>
      </c>
      <c r="B8066" s="5" t="s">
        <v>14738</v>
      </c>
      <c r="C8066" s="6">
        <v>2.0</v>
      </c>
      <c r="D8066" s="9" t="s">
        <v>14739</v>
      </c>
      <c r="E8066" s="8" t="str">
        <f>IFERROR(__xludf.DUMMYFUNCTION("googletranslate(D8066,""id"",""en"")"),"Anjir is really bgt. Clajih Alesan PPKM Gaada TP TURING MUJENG MEJENG, here and there is a face that is not much. Nggilani!")</f>
        <v>Anjir is really bgt. Clajih Alesan PPKM Gaada TP TURING MUJENG MEJENG, here and there is a face that is not much. Nggilani!</v>
      </c>
    </row>
    <row r="8067" ht="15.75" customHeight="1">
      <c r="A8067" s="2">
        <v>8070.0</v>
      </c>
      <c r="B8067" s="5" t="s">
        <v>14740</v>
      </c>
      <c r="C8067" s="6">
        <v>2.0</v>
      </c>
      <c r="D8067" s="7" t="s">
        <v>14741</v>
      </c>
      <c r="E8067" s="8" t="str">
        <f>IFERROR(__xludf.DUMMYFUNCTION("googletranslate(D8067,""id"",""en"")"),"How many ppkm season samples? So remember soap operas are flattered. Many Season, from the beginning of meeting, dating, until he had a child.")</f>
        <v>How many ppkm season samples? So remember soap operas are flattered. Many Season, from the beginning of meeting, dating, until he had a child.</v>
      </c>
    </row>
    <row r="8068" ht="15.75" customHeight="1">
      <c r="A8068" s="2">
        <v>8071.0</v>
      </c>
      <c r="B8068" s="5" t="s">
        <v>14742</v>
      </c>
      <c r="C8068" s="6">
        <v>1.0</v>
      </c>
      <c r="D8068" s="9" t="s">
        <v>14743</v>
      </c>
      <c r="E8068" s="8" t="str">
        <f>IFERROR(__xludf.DUMMYFUNCTION("googletranslate(D8068,""id"",""en"")"),"PPKM origin of the GPP solution. Udh Suru Diem Ga Dikasi Solution")</f>
        <v>PPKM origin of the GPP solution. Udh Suru Diem Ga Dikasi Solution</v>
      </c>
    </row>
    <row r="8069" ht="15.75" customHeight="1">
      <c r="A8069" s="2">
        <v>8072.0</v>
      </c>
      <c r="B8069" s="5" t="s">
        <v>14744</v>
      </c>
      <c r="C8069" s="6">
        <v>1.0</v>
      </c>
      <c r="D8069" s="9" t="s">
        <v>14745</v>
      </c>
      <c r="E8069" s="8" t="str">
        <f>IFERROR(__xludf.DUMMYFUNCTION("googletranslate(D8069,""id"",""en"")"),"We used to be colonized by Kumpenkahkarang in the PPKM")</f>
        <v>We used to be colonized by Kumpenkahkarang in the PPKM</v>
      </c>
    </row>
    <row r="8070" ht="15.75" customHeight="1">
      <c r="A8070" s="2">
        <v>8073.0</v>
      </c>
      <c r="B8070" s="5" t="s">
        <v>14746</v>
      </c>
      <c r="C8070" s="6">
        <v>3.0</v>
      </c>
      <c r="D8070" s="7" t="s">
        <v>14747</v>
      </c>
      <c r="E8070" s="8" t="str">
        <f>IFERROR(__xludf.DUMMYFUNCTION("googletranslate(D8070,""id"",""en"")"),"Ppkmmerdeka spirit")</f>
        <v>Ppkmmerdeka spirit</v>
      </c>
    </row>
    <row r="8071" ht="15.75" customHeight="1">
      <c r="A8071" s="2">
        <v>8074.0</v>
      </c>
      <c r="B8071" s="5" t="s">
        <v>14748</v>
      </c>
      <c r="C8071" s="6">
        <v>2.0</v>
      </c>
      <c r="D8071" s="7" t="s">
        <v>14749</v>
      </c>
      <c r="E8071" s="8" t="str">
        <f>IFERROR(__xludf.DUMMYFUNCTION("googletranslate(D8071,""id"",""en"")"),"PPKM extended until Iqbal ngumumumno arep rabbi")</f>
        <v>PPKM extended until Iqbal ngumumumno arep rabbi</v>
      </c>
    </row>
    <row r="8072" ht="15.75" customHeight="1">
      <c r="A8072" s="2">
        <v>8075.0</v>
      </c>
      <c r="B8072" s="5" t="s">
        <v>14750</v>
      </c>
      <c r="C8072" s="6">
        <v>1.0</v>
      </c>
      <c r="D8072" s="10" t="s">
        <v>14751</v>
      </c>
      <c r="E8072" s="8" t="str">
        <f>IFERROR(__xludf.DUMMYFUNCTION("googletranslate(D8072,""id"",""en"")"),"PPKM KNTL.")</f>
        <v>PPKM KNTL.</v>
      </c>
    </row>
    <row r="8073" ht="15.75" customHeight="1">
      <c r="A8073" s="2">
        <v>8076.0</v>
      </c>
      <c r="B8073" s="5" t="s">
        <v>14752</v>
      </c>
      <c r="C8073" s="6">
        <v>2.0</v>
      </c>
      <c r="D8073" s="7" t="s">
        <v>14752</v>
      </c>
      <c r="E8073" s="8" t="str">
        <f>IFERROR(__xludf.DUMMYFUNCTION("googletranslate(D8073,""id"",""en"")"),"The announcement of the rich PPKM bought was encouraged")</f>
        <v>The announcement of the rich PPKM bought was encouraged</v>
      </c>
    </row>
    <row r="8074" ht="15.75" customHeight="1">
      <c r="A8074" s="2">
        <v>8077.0</v>
      </c>
      <c r="B8074" s="5" t="s">
        <v>14753</v>
      </c>
      <c r="C8074" s="6">
        <v>1.0</v>
      </c>
      <c r="D8074" s="7" t="s">
        <v>14754</v>
      </c>
      <c r="E8074" s="8" t="str">
        <f>IFERROR(__xludf.DUMMYFUNCTION("googletranslate(D8074,""id"",""en"")"),"MERDEKA / MATIPPKM Yesterday was last dead date August will be independent, it turns out to be dead ...")</f>
        <v>MERDEKA / MATIPPKM Yesterday was last dead date August will be independent, it turns out to be dead ...</v>
      </c>
    </row>
    <row r="8075" ht="15.75" customHeight="1">
      <c r="A8075" s="2">
        <v>8078.0</v>
      </c>
      <c r="B8075" s="5" t="s">
        <v>14755</v>
      </c>
      <c r="C8075" s="6">
        <v>1.0</v>
      </c>
      <c r="D8075" s="10" t="s">
        <v>14756</v>
      </c>
      <c r="E8075" s="8" t="str">
        <f>IFERROR(__xludf.DUMMYFUNCTION("googletranslate(D8075,""id"",""en"")"),"Dijajah PPKM.")</f>
        <v>Dijajah PPKM.</v>
      </c>
    </row>
    <row r="8076" ht="15.75" customHeight="1">
      <c r="A8076" s="2">
        <v>8079.0</v>
      </c>
      <c r="B8076" s="5" t="s">
        <v>14757</v>
      </c>
      <c r="C8076" s="6">
        <v>2.0</v>
      </c>
      <c r="D8076" s="7" t="s">
        <v>14758</v>
      </c>
      <c r="E8076" s="8" t="str">
        <f>IFERROR(__xludf.DUMMYFUNCTION("googletranslate(D8076,""id"",""en"")"),"SubhanaAllah PPKM extended LG")</f>
        <v>SubhanaAllah PPKM extended LG</v>
      </c>
    </row>
    <row r="8077" ht="15.75" customHeight="1">
      <c r="A8077" s="2">
        <v>8080.0</v>
      </c>
      <c r="B8077" s="5" t="s">
        <v>14759</v>
      </c>
      <c r="C8077" s="6">
        <v>2.0</v>
      </c>
      <c r="D8077" s="7" t="s">
        <v>14760</v>
      </c>
      <c r="E8077" s="8" t="str">
        <f>IFERROR(__xludf.DUMMYFUNCTION("googletranslate(D8077,""id"",""en"")"),"Is there a graduation of this nearby? Kira2 ppkm extended lg or not [bgr]")</f>
        <v>Is there a graduation of this nearby? Kira2 ppkm extended lg or not [bgr]</v>
      </c>
    </row>
    <row r="8078" ht="15.75" customHeight="1">
      <c r="A8078" s="2">
        <v>8081.0</v>
      </c>
      <c r="B8078" s="5" t="s">
        <v>14761</v>
      </c>
      <c r="C8078" s="6">
        <v>2.0</v>
      </c>
      <c r="D8078" s="7" t="s">
        <v>14762</v>
      </c>
      <c r="E8078" s="8" t="str">
        <f>IFERROR(__xludf.DUMMYFUNCTION("googletranslate(D8078,""id"",""en"")"),"Happy birthday Indonesia is now independent and freely eh tomorrow dah ppkm again")</f>
        <v>Happy birthday Indonesia is now independent and freely eh tomorrow dah ppkm again</v>
      </c>
    </row>
    <row r="8079" ht="15.75" customHeight="1">
      <c r="A8079" s="2">
        <v>8082.0</v>
      </c>
      <c r="B8079" s="5" t="s">
        <v>14763</v>
      </c>
      <c r="C8079" s="6">
        <v>2.0</v>
      </c>
      <c r="D8079" s="9" t="s">
        <v>14764</v>
      </c>
      <c r="E8079" s="8" t="str">
        <f>IFERROR(__xludf.DUMMYFUNCTION("googletranslate(D8079,""id"",""en"")"),"I don't know anymore PSBB and PPKmudh almost the year of Kasian sneakers struggle booming without being able to walk out")</f>
        <v>I don't know anymore PSBB and PPKmudh almost the year of Kasian sneakers struggle booming without being able to walk out</v>
      </c>
    </row>
    <row r="8080" ht="15.75" customHeight="1">
      <c r="A8080" s="2">
        <v>8083.0</v>
      </c>
      <c r="B8080" s="5" t="s">
        <v>14765</v>
      </c>
      <c r="C8080" s="6">
        <v>1.0</v>
      </c>
      <c r="D8080" s="9" t="s">
        <v>14766</v>
      </c>
      <c r="E8080" s="8" t="str">
        <f>IFERROR(__xludf.DUMMYFUNCTION("googletranslate(D8080,""id"",""en"")"),"PPKM (PLANGA PLONGO SAH think)")</f>
        <v>PPKM (PLANGA PLONGO SAH think)</v>
      </c>
    </row>
    <row r="8081" ht="15.75" customHeight="1">
      <c r="A8081" s="2">
        <v>8084.0</v>
      </c>
      <c r="B8081" s="5" t="s">
        <v>14767</v>
      </c>
      <c r="C8081" s="6">
        <v>2.0</v>
      </c>
      <c r="D8081" s="7" t="s">
        <v>14768</v>
      </c>
      <c r="E8081" s="8" t="str">
        <f>IFERROR(__xludf.DUMMYFUNCTION("googletranslate(D8081,""id"",""en"")"),"Hoping in August an who to this Covid Bnran has been gada and PPKM is not extended. But in fact Msi is still extended aye aye. Healed Indonesia!")</f>
        <v>Hoping in August an who to this Covid Bnran has been gada and PPKM is not extended. But in fact Msi is still extended aye aye. Healed Indonesia!</v>
      </c>
    </row>
    <row r="8082" ht="15.75" customHeight="1">
      <c r="A8082" s="2">
        <v>8085.0</v>
      </c>
      <c r="B8082" s="5" t="s">
        <v>14769</v>
      </c>
      <c r="C8082" s="6">
        <v>2.0</v>
      </c>
      <c r="D8082" s="7" t="s">
        <v>14769</v>
      </c>
      <c r="E8082" s="8" t="str">
        <f>IFERROR(__xludf.DUMMYFUNCTION("googletranslate(D8082,""id"",""en"")"),"left ppkm or not?")</f>
        <v>left ppkm or not?</v>
      </c>
    </row>
    <row r="8083" ht="15.75" customHeight="1">
      <c r="A8083" s="2">
        <v>8086.0</v>
      </c>
      <c r="B8083" s="5" t="s">
        <v>14770</v>
      </c>
      <c r="C8083" s="6">
        <v>1.0</v>
      </c>
      <c r="D8083" s="7" t="s">
        <v>14770</v>
      </c>
      <c r="E8083" s="8" t="str">
        <f>IFERROR(__xludf.DUMMYFUNCTION("googletranslate(D8083,""id"",""en"")"),"ppkm extended functions what dah")</f>
        <v>ppkm extended functions what dah</v>
      </c>
    </row>
    <row r="8084" ht="15.75" customHeight="1">
      <c r="A8084" s="2">
        <v>8087.0</v>
      </c>
      <c r="B8084" s="5" t="s">
        <v>14771</v>
      </c>
      <c r="C8084" s="6">
        <v>2.0</v>
      </c>
      <c r="D8084" s="7" t="s">
        <v>14771</v>
      </c>
      <c r="E8084" s="8" t="str">
        <f>IFERROR(__xludf.DUMMYFUNCTION("googletranslate(D8084,""id"",""en"")"),"Ppkm doesn't finish it, which finishes it is our relationship")</f>
        <v>Ppkm doesn't finish it, which finishes it is our relationship</v>
      </c>
    </row>
    <row r="8085" ht="15.75" customHeight="1">
      <c r="A8085" s="2">
        <v>8088.0</v>
      </c>
      <c r="B8085" s="5" t="s">
        <v>14772</v>
      </c>
      <c r="C8085" s="6">
        <v>2.0</v>
      </c>
      <c r="D8085" s="7" t="s">
        <v>14773</v>
      </c>
      <c r="E8085" s="8" t="str">
        <f>IFERROR(__xludf.DUMMYFUNCTION("googletranslate(D8085,""id"",""en"")"),"PPKM is extended")</f>
        <v>PPKM is extended</v>
      </c>
    </row>
    <row r="8086" ht="15.75" customHeight="1">
      <c r="A8086" s="2">
        <v>8089.0</v>
      </c>
      <c r="B8086" s="5" t="s">
        <v>14774</v>
      </c>
      <c r="C8086" s="6">
        <v>2.0</v>
      </c>
      <c r="D8086" s="7" t="s">
        <v>14775</v>
      </c>
      <c r="E8086" s="8" t="str">
        <f>IFERROR(__xludf.DUMMYFUNCTION("googletranslate(D8086,""id"",""en"")"),"There is no ppkm")</f>
        <v>There is no ppkm</v>
      </c>
    </row>
    <row r="8087" ht="15.75" customHeight="1">
      <c r="A8087" s="2">
        <v>8090.0</v>
      </c>
      <c r="B8087" s="5" t="s">
        <v>14776</v>
      </c>
      <c r="C8087" s="6">
        <v>1.0</v>
      </c>
      <c r="D8087" s="7" t="s">
        <v>14777</v>
      </c>
      <c r="E8087" s="8" t="str">
        <f>IFERROR(__xludf.DUMMYFUNCTION("googletranslate(D8087,""id"",""en"")"),"Good morning Indonesia ... when PPKM is complete, we have been difficult here, our salary is resistant, the reason for PPKM ... Very disappointing ... It's almost half a year ...")</f>
        <v>Good morning Indonesia ... when PPKM is complete, we have been difficult here, our salary is resistant, the reason for PPKM ... Very disappointing ... It's almost half a year ...</v>
      </c>
    </row>
    <row r="8088" ht="15.75" customHeight="1">
      <c r="A8088" s="2">
        <v>8091.0</v>
      </c>
      <c r="B8088" s="5" t="s">
        <v>14778</v>
      </c>
      <c r="C8088" s="6">
        <v>1.0</v>
      </c>
      <c r="D8088" s="7" t="s">
        <v>14779</v>
      </c>
      <c r="E8088" s="8" t="str">
        <f>IFERROR(__xludf.DUMMYFUNCTION("googletranslate(D8088,""id"",""en"")"),"Napasi just say ""ppkm until September"" so rather than the notice of notice")</f>
        <v>Napasi just say "ppkm until September" so rather than the notice of notice</v>
      </c>
    </row>
    <row r="8089" ht="15.75" customHeight="1">
      <c r="A8089" s="2">
        <v>8092.0</v>
      </c>
      <c r="B8089" s="5" t="s">
        <v>14780</v>
      </c>
      <c r="C8089" s="6">
        <v>1.0</v>
      </c>
      <c r="D8089" s="9" t="s">
        <v>14781</v>
      </c>
      <c r="E8089" s="8" t="str">
        <f>IFERROR(__xludf.DUMMYFUNCTION("googletranslate(D8089,""id"",""en"")"),"Ppkm extended, when has a boyfriend if this")</f>
        <v>Ppkm extended, when has a boyfriend if this</v>
      </c>
    </row>
    <row r="8090" ht="15.75" customHeight="1">
      <c r="A8090" s="2">
        <v>8093.0</v>
      </c>
      <c r="B8090" s="5" t="s">
        <v>14782</v>
      </c>
      <c r="C8090" s="6">
        <v>2.0</v>
      </c>
      <c r="D8090" s="7" t="s">
        <v>14782</v>
      </c>
      <c r="E8090" s="8" t="str">
        <f>IFERROR(__xludf.DUMMYFUNCTION("googletranslate(D8090,""id"",""en"")"),"Independence or ppkm")</f>
        <v>Independence or ppkm</v>
      </c>
    </row>
    <row r="8091" ht="15.75" customHeight="1">
      <c r="A8091" s="2">
        <v>8094.0</v>
      </c>
      <c r="B8091" s="5" t="s">
        <v>14783</v>
      </c>
      <c r="C8091" s="6">
        <v>2.0</v>
      </c>
      <c r="D8091" s="7" t="s">
        <v>14784</v>
      </c>
      <c r="E8091" s="8" t="str">
        <f>IFERROR(__xludf.DUMMYFUNCTION("googletranslate(D8091,""id"",""en"")"),"Ppkm not on the mountain")</f>
        <v>Ppkm not on the mountain</v>
      </c>
    </row>
    <row r="8092" ht="15.75" customHeight="1">
      <c r="A8092" s="2">
        <v>8095.0</v>
      </c>
      <c r="B8092" s="5" t="s">
        <v>14785</v>
      </c>
      <c r="C8092" s="6">
        <v>2.0</v>
      </c>
      <c r="D8092" s="9" t="s">
        <v>14786</v>
      </c>
      <c r="E8092" s="8" t="str">
        <f>IFERROR(__xludf.DUMMYFUNCTION("googletranslate(D8092,""id"",""en"")"),"Outside Java Bali doesn't feel the PPKM")</f>
        <v>Outside Java Bali doesn't feel the PPKM</v>
      </c>
    </row>
    <row r="8093" ht="15.75" customHeight="1">
      <c r="A8093" s="2">
        <v>8096.0</v>
      </c>
      <c r="B8093" s="5" t="s">
        <v>14787</v>
      </c>
      <c r="C8093" s="6">
        <v>2.0</v>
      </c>
      <c r="D8093" s="7" t="s">
        <v>14788</v>
      </c>
      <c r="E8093" s="8" t="str">
        <f>IFERROR(__xludf.DUMMYFUNCTION("googletranslate(D8093,""id"",""en"")"),"in my place MSI PPKM because it was at school no ceremony")</f>
        <v>in my place MSI PPKM because it was at school no ceremony</v>
      </c>
    </row>
    <row r="8094" ht="15.75" customHeight="1">
      <c r="A8094" s="2">
        <v>8097.0</v>
      </c>
      <c r="B8094" s="5" t="s">
        <v>14789</v>
      </c>
      <c r="C8094" s="6">
        <v>2.0</v>
      </c>
      <c r="D8094" s="9" t="s">
        <v>14790</v>
      </c>
      <c r="E8094" s="8" t="str">
        <f>IFERROR(__xludf.DUMMYFUNCTION("googletranslate(D8094,""id"",""en"")"),"This PPKM is already rich in friends in debt bills. Muluuu next week.")</f>
        <v>This PPKM is already rich in friends in debt bills. Muluuu next week.</v>
      </c>
    </row>
    <row r="8095" ht="15.75" customHeight="1">
      <c r="A8095" s="2">
        <v>8098.0</v>
      </c>
      <c r="B8095" s="5" t="s">
        <v>14791</v>
      </c>
      <c r="C8095" s="6">
        <v>2.0</v>
      </c>
      <c r="D8095" s="7" t="s">
        <v>14792</v>
      </c>
      <c r="E8095" s="8" t="str">
        <f>IFERROR(__xludf.DUMMYFUNCTION("googletranslate(D8095,""id"",""en"")"),"gpp to bandung jg can cus after ppkm ni")</f>
        <v>gpp to bandung jg can cus after ppkm ni</v>
      </c>
    </row>
    <row r="8096" ht="15.75" customHeight="1">
      <c r="A8096" s="2">
        <v>8099.0</v>
      </c>
      <c r="B8096" s="5" t="s">
        <v>14793</v>
      </c>
      <c r="C8096" s="6">
        <v>2.0</v>
      </c>
      <c r="D8096" s="7" t="s">
        <v>14794</v>
      </c>
      <c r="E8096" s="8" t="str">
        <f>IFERROR(__xludf.DUMMYFUNCTION("googletranslate(D8096,""id"",""en"")"),"There is no day of TNP brita ppkm d prnjang")</f>
        <v>There is no day of TNP brita ppkm d prnjang</v>
      </c>
    </row>
    <row r="8097" ht="15.75" customHeight="1">
      <c r="A8097" s="2">
        <v>8100.0</v>
      </c>
      <c r="B8097" s="5" t="s">
        <v>14795</v>
      </c>
      <c r="C8097" s="6">
        <v>1.0</v>
      </c>
      <c r="D8097" s="7" t="s">
        <v>14796</v>
      </c>
      <c r="E8097" s="8" t="str">
        <f>IFERROR(__xludf.DUMMYFUNCTION("googletranslate(D8097,""id"",""en"")"),"Will the PPKM continue to be extended until the period was passed ... ?? Don't be baper. Ask ...")</f>
        <v>Will the PPKM continue to be extended until the period was passed ... ?? Don't be baper. Ask ...</v>
      </c>
    </row>
    <row r="8098" ht="15.75" customHeight="1">
      <c r="A8098" s="2">
        <v>8101.0</v>
      </c>
      <c r="B8098" s="5" t="s">
        <v>14797</v>
      </c>
      <c r="C8098" s="6">
        <v>1.0</v>
      </c>
      <c r="D8098" s="7" t="s">
        <v>14798</v>
      </c>
      <c r="E8098" s="8" t="str">
        <f>IFERROR(__xludf.DUMMYFUNCTION("googletranslate(D8098,""id"",""en"")"),"Crazy, the ppkm right later the level of payment is the chili?")</f>
        <v>Crazy, the ppkm right later the level of payment is the chili?</v>
      </c>
    </row>
    <row r="8099" ht="15.75" customHeight="1">
      <c r="A8099" s="2">
        <v>8102.0</v>
      </c>
      <c r="B8099" s="5" t="s">
        <v>14799</v>
      </c>
      <c r="C8099" s="6">
        <v>1.0</v>
      </c>
      <c r="D8099" s="9" t="s">
        <v>14800</v>
      </c>
      <c r="E8099" s="8" t="str">
        <f>IFERROR(__xludf.DUMMYFUNCTION("googletranslate(D8099,""id"",""en"")"),"There can talk so, because you don't know the reality that happens in the community, the impact of the unclear PPKM is very outside can make daily workers.")</f>
        <v>There can talk so, because you don't know the reality that happens in the community, the impact of the unclear PPKM is very outside can make daily workers.</v>
      </c>
    </row>
    <row r="8100" ht="15.75" customHeight="1">
      <c r="A8100" s="2">
        <v>8103.0</v>
      </c>
      <c r="B8100" s="5" t="s">
        <v>14801</v>
      </c>
      <c r="C8100" s="6">
        <v>2.0</v>
      </c>
      <c r="D8100" s="7" t="s">
        <v>14802</v>
      </c>
      <c r="E8100" s="8" t="str">
        <f>IFERROR(__xludf.DUMMYFUNCTION("googletranslate(D8100,""id"",""en"")"),"Yes if it's not gappm gapapaa, this is mah or")</f>
        <v>Yes if it's not gappm gapapaa, this is mah or</v>
      </c>
    </row>
    <row r="8101" ht="15.75" customHeight="1">
      <c r="A8101" s="2">
        <v>8104.0</v>
      </c>
      <c r="B8101" s="5" t="s">
        <v>14803</v>
      </c>
      <c r="C8101" s="6">
        <v>2.0</v>
      </c>
      <c r="D8101" s="7" t="s">
        <v>14803</v>
      </c>
      <c r="E8101" s="8" t="str">
        <f>IFERROR(__xludf.DUMMYFUNCTION("googletranslate(D8101,""id"",""en"")"),"The PPKM is just if the main problem (pandemic) is total. It's no LVL so sure as long as there are still cases of my mnrt will be extended !!")</f>
        <v>The PPKM is just if the main problem (pandemic) is total. It's no LVL so sure as long as there are still cases of my mnrt will be extended !!</v>
      </c>
    </row>
    <row r="8102" ht="15.75" customHeight="1">
      <c r="A8102" s="2">
        <v>8105.0</v>
      </c>
      <c r="B8102" s="5" t="s">
        <v>14804</v>
      </c>
      <c r="C8102" s="6">
        <v>1.0</v>
      </c>
      <c r="D8102" s="7" t="s">
        <v>14805</v>
      </c>
      <c r="E8102" s="8" t="str">
        <f>IFERROR(__xludf.DUMMYFUNCTION("googletranslate(D8102,""id"",""en"")"),"ppkm again coeg ... just say ppkm moon, use paid up, hedeeeeeh ...")</f>
        <v>ppkm again coeg ... just say ppkm moon, use paid up, hedeeeeeh ...</v>
      </c>
    </row>
    <row r="8103" ht="15.75" customHeight="1">
      <c r="A8103" s="2">
        <v>8106.0</v>
      </c>
      <c r="B8103" s="5" t="s">
        <v>14806</v>
      </c>
      <c r="C8103" s="6">
        <v>1.0</v>
      </c>
      <c r="D8103" s="7" t="s">
        <v>14807</v>
      </c>
      <c r="E8103" s="8" t="str">
        <f>IFERROR(__xludf.DUMMYFUNCTION("googletranslate(D8103,""id"",""en"")"),"Extended PPKM is really tiring")</f>
        <v>Extended PPKM is really tiring</v>
      </c>
    </row>
    <row r="8104" ht="15.75" customHeight="1">
      <c r="A8104" s="2">
        <v>8107.0</v>
      </c>
      <c r="B8104" s="5" t="s">
        <v>14808</v>
      </c>
      <c r="C8104" s="6">
        <v>2.0</v>
      </c>
      <c r="D8104" s="7" t="s">
        <v>14809</v>
      </c>
      <c r="E8104" s="8" t="str">
        <f>IFERROR(__xludf.DUMMYFUNCTION("googletranslate(D8104,""id"",""en"")"),"no ... the ppkm still continues on my dom")</f>
        <v>no ... the ppkm still continues on my dom</v>
      </c>
    </row>
    <row r="8105" ht="15.75" customHeight="1">
      <c r="A8105" s="2">
        <v>8108.0</v>
      </c>
      <c r="B8105" s="5" t="s">
        <v>14810</v>
      </c>
      <c r="C8105" s="6">
        <v>1.0</v>
      </c>
      <c r="D8105" s="7" t="s">
        <v>14811</v>
      </c>
      <c r="E8105" s="8" t="str">
        <f>IFERROR(__xludf.DUMMYFUNCTION("googletranslate(D8105,""id"",""en"")"),"PST managed to sir ... continued to continue the PPKM ... with so the poor will die of hunger .. but it turns off right reduced by the poor, right?")</f>
        <v>PST managed to sir ... continued to continue the PPKM ... with so the poor will die of hunger .. but it turns off right reduced by the poor, right?</v>
      </c>
    </row>
    <row r="8106" ht="15.75" customHeight="1">
      <c r="A8106" s="2">
        <v>8109.0</v>
      </c>
      <c r="B8106" s="5" t="s">
        <v>14812</v>
      </c>
      <c r="C8106" s="6">
        <v>2.0</v>
      </c>
      <c r="D8106" s="7" t="s">
        <v>14813</v>
      </c>
      <c r="E8106" s="8" t="str">
        <f>IFERROR(__xludf.DUMMYFUNCTION("googletranslate(D8106,""id"",""en"")"),"eah ppkm the dates installment model yes mother")</f>
        <v>eah ppkm the dates installment model yes mother</v>
      </c>
    </row>
    <row r="8107" ht="15.75" customHeight="1">
      <c r="A8107" s="2">
        <v>8110.0</v>
      </c>
      <c r="B8107" s="5" t="s">
        <v>14814</v>
      </c>
      <c r="C8107" s="6">
        <v>2.0</v>
      </c>
      <c r="D8107" s="7" t="s">
        <v>14814</v>
      </c>
      <c r="E8107" s="8" t="str">
        <f>IFERROR(__xludf.DUMMYFUNCTION("googletranslate(D8107,""id"",""en"")"),"ppkm extended a week - a week suddenly a new year")</f>
        <v>ppkm extended a week - a week suddenly a new year</v>
      </c>
    </row>
    <row r="8108" ht="15.75" customHeight="1">
      <c r="A8108" s="2">
        <v>8111.0</v>
      </c>
      <c r="B8108" s="5" t="s">
        <v>14815</v>
      </c>
      <c r="C8108" s="6">
        <v>1.0</v>
      </c>
      <c r="D8108" s="7" t="s">
        <v>14815</v>
      </c>
      <c r="E8108" s="8" t="str">
        <f>IFERROR(__xludf.DUMMYFUNCTION("googletranslate(D8108,""id"",""en"")"),"Sebeelllll PPKM continued when Anri Buia service O God !!!!!!!!!!!!!")</f>
        <v>Sebeelllll PPKM continued when Anri Buia service O God !!!!!!!!!!!!!</v>
      </c>
    </row>
    <row r="8109" ht="15.75" customHeight="1">
      <c r="A8109" s="2">
        <v>8112.0</v>
      </c>
      <c r="B8109" s="5" t="s">
        <v>14816</v>
      </c>
      <c r="C8109" s="6">
        <v>2.0</v>
      </c>
      <c r="D8109" s="9" t="s">
        <v>14816</v>
      </c>
      <c r="E8109" s="8" t="str">
        <f>IFERROR(__xludf.DUMMYFUNCTION("googletranslate(D8109,""id"",""en"")"),"Length for the PPKM again. Length of list of invitations I live in a bride, bride, witness. But the venue is at the Kaaba.")</f>
        <v>Length for the PPKM again. Length of list of invitations I live in a bride, bride, witness. But the venue is at the Kaaba.</v>
      </c>
    </row>
    <row r="8110" ht="15.75" customHeight="1">
      <c r="A8110" s="2">
        <v>8113.0</v>
      </c>
      <c r="B8110" s="5" t="s">
        <v>14817</v>
      </c>
      <c r="C8110" s="6">
        <v>1.0</v>
      </c>
      <c r="D8110" s="7" t="s">
        <v>14818</v>
      </c>
      <c r="E8110" s="8" t="str">
        <f>IFERROR(__xludf.DUMMYFUNCTION("googletranslate(D8110,""id"",""en"")"),"The Salary of the President of the Representatives and his ministers HRS was cut by the% sacrificing for RKKH who had chosen it, do not become a sacrifice to lose his job earnings due to PPKM")</f>
        <v>The Salary of the President of the Representatives and his ministers HRS was cut by the% sacrificing for RKKH who had chosen it, do not become a sacrifice to lose his job earnings due to PPKM</v>
      </c>
    </row>
    <row r="8111" ht="15.75" customHeight="1">
      <c r="A8111" s="2">
        <v>8114.0</v>
      </c>
      <c r="B8111" s="5" t="s">
        <v>14819</v>
      </c>
      <c r="C8111" s="6">
        <v>1.0</v>
      </c>
      <c r="D8111" s="7" t="s">
        <v>14819</v>
      </c>
      <c r="E8111" s="8" t="str">
        <f>IFERROR(__xludf.DUMMYFUNCTION("googletranslate(D8111,""id"",""en"")"),"Appatah ""MERDEKA"" if the PPKM extends continuously ...")</f>
        <v>Appatah "MERDEKA" if the PPKM extends continuously ...</v>
      </c>
    </row>
    <row r="8112" ht="15.75" customHeight="1">
      <c r="A8112" s="2">
        <v>8115.0</v>
      </c>
      <c r="B8112" s="5" t="s">
        <v>14820</v>
      </c>
      <c r="C8112" s="6">
        <v>2.0</v>
      </c>
      <c r="D8112" s="9" t="s">
        <v>14821</v>
      </c>
      <c r="E8112" s="8" t="str">
        <f>IFERROR(__xludf.DUMMYFUNCTION("googletranslate(D8112,""id"",""en"")"),"Gamau ngelkah ppkm extended. The problem is our brother in Afghanistan already gazirain the virus again. What they think about how to let it be safe and live")</f>
        <v>Gamau ngelkah ppkm extended. The problem is our brother in Afghanistan already gazirain the virus again. What they think about how to let it be safe and live</v>
      </c>
    </row>
    <row r="8113" ht="15.75" customHeight="1">
      <c r="A8113" s="2">
        <v>8116.0</v>
      </c>
      <c r="B8113" s="5" t="s">
        <v>14822</v>
      </c>
      <c r="C8113" s="6">
        <v>2.0</v>
      </c>
      <c r="D8113" s="10" t="s">
        <v>12628</v>
      </c>
      <c r="E8113" s="8" t="str">
        <f>IFERROR(__xludf.DUMMYFUNCTION("googletranslate(D8113,""id"",""en"")"),"PPKM lasts")</f>
        <v>PPKM lasts</v>
      </c>
    </row>
    <row r="8114" ht="15.75" customHeight="1">
      <c r="A8114" s="2">
        <v>8117.0</v>
      </c>
      <c r="B8114" s="5" t="s">
        <v>14823</v>
      </c>
      <c r="C8114" s="6">
        <v>1.0</v>
      </c>
      <c r="D8114" s="9" t="s">
        <v>14824</v>
      </c>
      <c r="E8114" s="8" t="str">
        <f>IFERROR(__xludf.DUMMYFUNCTION("googletranslate(D8114,""id"",""en"")"),"This is what I question too. Obviously it was clear that the Tu violated the PPKM rule. There should be a decisive action from the organizer. Don't think about the good name of the campus dah, but when I want to normalize cm, make a good name, but in it i"&amp;"s not good.")</f>
        <v>This is what I question too. Obviously it was clear that the Tu violated the PPKM rule. There should be a decisive action from the organizer. Don't think about the good name of the campus dah, but when I want to normalize cm, make a good name, but in it is not good.</v>
      </c>
    </row>
    <row r="8115" ht="15.75" customHeight="1">
      <c r="A8115" s="2">
        <v>8118.0</v>
      </c>
      <c r="B8115" s="5" t="s">
        <v>14825</v>
      </c>
      <c r="C8115" s="6">
        <v>1.0</v>
      </c>
      <c r="D8115" s="7" t="s">
        <v>14825</v>
      </c>
      <c r="E8115" s="8" t="str">
        <f>IFERROR(__xludf.DUMMYFUNCTION("googletranslate(D8115,""id"",""en"")"),"PPKM is renewed with mak erot until the end of the time.")</f>
        <v>PPKM is renewed with mak erot until the end of the time.</v>
      </c>
    </row>
    <row r="8116" ht="15.75" customHeight="1">
      <c r="A8116" s="2">
        <v>8119.0</v>
      </c>
      <c r="B8116" s="5" t="s">
        <v>14826</v>
      </c>
      <c r="C8116" s="6">
        <v>1.0</v>
      </c>
      <c r="D8116" s="9" t="s">
        <v>14827</v>
      </c>
      <c r="E8116" s="8" t="str">
        <f>IFERROR(__xludf.DUMMYFUNCTION("googletranslate(D8116,""id"",""en"")"),"And transmit to the peak org? Before the PPKM Puncak also felt a lot of who died because of COV.19 in a week and new ""It's no more sad news, TBTB trs you are"" go to. Same as I was also bored at home, want to hang out, walk and go back to TNG")</f>
        <v>And transmit to the peak org? Before the PPKM Puncak also felt a lot of who died because of COV.19 in a week and new "It's no more sad news, TBTB trs you are" go to. Same as I was also bored at home, want to hang out, walk and go back to TNG</v>
      </c>
    </row>
    <row r="8117" ht="15.75" customHeight="1">
      <c r="A8117" s="2">
        <v>8120.0</v>
      </c>
      <c r="B8117" s="5" t="s">
        <v>14828</v>
      </c>
      <c r="C8117" s="6">
        <v>2.0</v>
      </c>
      <c r="D8117" s="7" t="s">
        <v>14829</v>
      </c>
      <c r="E8117" s="8" t="str">
        <f>IFERROR(__xludf.DUMMYFUNCTION("googletranslate(D8117,""id"",""en"")"),"kereennn an achievement of sleep under the clock during the PPKM")</f>
        <v>kereennn an achievement of sleep under the clock during the PPKM</v>
      </c>
    </row>
    <row r="8118" ht="15.75" customHeight="1">
      <c r="A8118" s="2">
        <v>8121.0</v>
      </c>
      <c r="B8118" s="5" t="s">
        <v>14830</v>
      </c>
      <c r="C8118" s="6">
        <v>1.0</v>
      </c>
      <c r="D8118" s="7" t="s">
        <v>14830</v>
      </c>
      <c r="E8118" s="8" t="str">
        <f>IFERROR(__xludf.DUMMYFUNCTION("googletranslate(D8118,""id"",""en"")"),"ppkm extended again anjir?!?!?")</f>
        <v>ppkm extended again anjir?!?!?</v>
      </c>
    </row>
    <row r="8119" ht="15.75" customHeight="1">
      <c r="A8119" s="2">
        <v>8122.0</v>
      </c>
      <c r="B8119" s="5" t="s">
        <v>14831</v>
      </c>
      <c r="C8119" s="6">
        <v>2.0</v>
      </c>
      <c r="D8119" s="9" t="s">
        <v>14832</v>
      </c>
      <c r="E8119" s="8" t="str">
        <f>IFERROR(__xludf.DUMMYFUNCTION("googletranslate(D8119,""id"",""en"")"),"There is, not a survival competition during this PPKM period. Who can survive until the finish he weptag: Happy Independence Day in my country")</f>
        <v>There is, not a survival competition during this PPKM period. Who can survive until the finish he weptag: Happy Independence Day in my country</v>
      </c>
    </row>
    <row r="8120" ht="15.75" customHeight="1">
      <c r="A8120" s="2">
        <v>8123.0</v>
      </c>
      <c r="B8120" s="5" t="s">
        <v>14833</v>
      </c>
      <c r="C8120" s="6">
        <v>2.0</v>
      </c>
      <c r="D8120" s="7" t="s">
        <v>14834</v>
      </c>
      <c r="E8120" s="8" t="str">
        <f>IFERROR(__xludf.DUMMYFUNCTION("googletranslate(D8120,""id"",""en"")"),"yes God September PPKM finished God")</f>
        <v>yes God September PPKM finished God</v>
      </c>
    </row>
    <row r="8121" ht="15.75" customHeight="1">
      <c r="A8121" s="2">
        <v>8124.0</v>
      </c>
      <c r="B8121" s="5" t="s">
        <v>14835</v>
      </c>
      <c r="C8121" s="6">
        <v>1.0</v>
      </c>
      <c r="D8121" s="7" t="s">
        <v>14836</v>
      </c>
      <c r="E8121" s="8" t="str">
        <f>IFERROR(__xludf.DUMMYFUNCTION("googletranslate(D8121,""id"",""en"")"),"PPKM Extended Otw Bsk Eat Garem")</f>
        <v>PPKM Extended Otw Bsk Eat Garem</v>
      </c>
    </row>
    <row r="8122" ht="15.75" customHeight="1">
      <c r="A8122" s="2">
        <v>8125.0</v>
      </c>
      <c r="B8122" s="5" t="s">
        <v>14837</v>
      </c>
      <c r="C8122" s="6">
        <v>2.0</v>
      </c>
      <c r="D8122" s="9" t="s">
        <v>14837</v>
      </c>
      <c r="E8122" s="8" t="str">
        <f>IFERROR(__xludf.DUMMYFUNCTION("googletranslate(D8122,""id"",""en"")"),"Do we don't just have to be able to live side by side with Covid, but also DG PPKM? Then then especially ...")</f>
        <v>Do we don't just have to be able to live side by side with Covid, but also DG PPKM? Then then especially ...</v>
      </c>
    </row>
    <row r="8123" ht="15.75" customHeight="1">
      <c r="A8123" s="2">
        <v>8126.0</v>
      </c>
      <c r="B8123" s="5" t="s">
        <v>14838</v>
      </c>
      <c r="C8123" s="6">
        <v>1.0</v>
      </c>
      <c r="D8123" s="7" t="s">
        <v>14838</v>
      </c>
      <c r="E8123" s="8" t="str">
        <f>IFERROR(__xludf.DUMMYFUNCTION("googletranslate(D8123,""id"",""en"")"),"The community seems to be increasingly no matter what PPKM, extended or not up ... feel the government also doesn't care about the condition of society! Okay.")</f>
        <v>The community seems to be increasingly no matter what PPKM, extended or not up ... feel the government also doesn't care about the condition of society! Okay.</v>
      </c>
    </row>
    <row r="8124" ht="15.75" customHeight="1">
      <c r="A8124" s="2">
        <v>8127.0</v>
      </c>
      <c r="B8124" s="5" t="s">
        <v>14839</v>
      </c>
      <c r="C8124" s="6">
        <v>2.0</v>
      </c>
      <c r="D8124" s="7" t="s">
        <v>14839</v>
      </c>
      <c r="E8124" s="8" t="str">
        <f>IFERROR(__xludf.DUMMYFUNCTION("googletranslate(D8124,""id"",""en"")"),"KWWKKWKWKWKWKWKWKWKW")</f>
        <v>KWWKKWKWKWKWKWKWKWKW</v>
      </c>
    </row>
    <row r="8125" ht="15.75" customHeight="1">
      <c r="A8125" s="2">
        <v>8128.0</v>
      </c>
      <c r="B8125" s="5" t="s">
        <v>14840</v>
      </c>
      <c r="C8125" s="6">
        <v>1.0</v>
      </c>
      <c r="D8125" s="9" t="s">
        <v>14841</v>
      </c>
      <c r="E8125" s="8" t="str">
        <f>IFERROR(__xludf.DUMMYFUNCTION("googletranslate(D8125,""id"",""en"")"),"First ""independent or dead"" opponent opponent. This is ""independent but dead"" opponents PPKM continues.")</f>
        <v>First "independent or dead" opponent opponent. This is "independent but dead" opponents PPKM continues.</v>
      </c>
    </row>
    <row r="8126" ht="15.75" customHeight="1">
      <c r="A8126" s="2">
        <v>8129.0</v>
      </c>
      <c r="B8126" s="5" t="s">
        <v>14842</v>
      </c>
      <c r="C8126" s="6">
        <v>2.0</v>
      </c>
      <c r="D8126" s="7" t="s">
        <v>14843</v>
      </c>
      <c r="E8126" s="8" t="str">
        <f>IFERROR(__xludf.DUMMYFUNCTION("googletranslate(D8126,""id"",""en"")"),"KPKM extended until August, the installments for long ago")</f>
        <v>KPKM extended until August, the installments for long ago</v>
      </c>
    </row>
    <row r="8127" ht="15.75" customHeight="1">
      <c r="A8127" s="2">
        <v>8130.0</v>
      </c>
      <c r="B8127" s="5" t="s">
        <v>14844</v>
      </c>
      <c r="C8127" s="6">
        <v>1.0</v>
      </c>
      <c r="D8127" s="7" t="s">
        <v>14845</v>
      </c>
      <c r="E8127" s="8" t="str">
        <f>IFERROR(__xludf.DUMMYFUNCTION("googletranslate(D8127,""id"",""en"")"),"PPKM is extended every week, it is the turn of the power to extend it in.")</f>
        <v>PPKM is extended every week, it is the turn of the power to extend it in.</v>
      </c>
    </row>
    <row r="8128" ht="15.75" customHeight="1">
      <c r="A8128" s="2">
        <v>8131.0</v>
      </c>
      <c r="B8128" s="5" t="s">
        <v>14846</v>
      </c>
      <c r="C8128" s="6">
        <v>1.0</v>
      </c>
      <c r="D8128" s="9" t="s">
        <v>14847</v>
      </c>
      <c r="E8128" s="8" t="str">
        <f>IFERROR(__xludf.DUMMYFUNCTION("googletranslate(D8128,""id"",""en"")"),"No matter how many years or a lifetime, who is certainly the people just want to know what solution for the people affected by Pandemi and PPKM?")</f>
        <v>No matter how many years or a lifetime, who is certainly the people just want to know what solution for the people affected by Pandemi and PPKM?</v>
      </c>
    </row>
    <row r="8129" ht="15.75" customHeight="1">
      <c r="A8129" s="2">
        <v>8132.0</v>
      </c>
      <c r="B8129" s="5" t="s">
        <v>14848</v>
      </c>
      <c r="C8129" s="6">
        <v>2.0</v>
      </c>
      <c r="D8129" s="7" t="s">
        <v>14849</v>
      </c>
      <c r="E8129" s="8" t="str">
        <f>IFERROR(__xludf.DUMMYFUNCTION("googletranslate(D8129,""id"",""en"")"),"PPKM, the period of citizen activity is locked, still stunning unemployment decreases. Can anyone explain?")</f>
        <v>PPKM, the period of citizen activity is locked, still stunning unemployment decreases. Can anyone explain?</v>
      </c>
    </row>
    <row r="8130" ht="15.75" customHeight="1">
      <c r="A8130" s="2">
        <v>8133.0</v>
      </c>
      <c r="B8130" s="5" t="s">
        <v>14850</v>
      </c>
      <c r="C8130" s="6">
        <v>2.0</v>
      </c>
      <c r="D8130" s="7" t="s">
        <v>14850</v>
      </c>
      <c r="E8130" s="8" t="str">
        <f>IFERROR(__xludf.DUMMYFUNCTION("googletranslate(D8130,""id"",""en"")"),"I've hoped that from yesterday the PPKM is not extended eh it turns out ...")</f>
        <v>I've hoped that from yesterday the PPKM is not extended eh it turns out ...</v>
      </c>
    </row>
    <row r="8131" ht="15.75" customHeight="1">
      <c r="A8131" s="2">
        <v>8134.0</v>
      </c>
      <c r="B8131" s="5" t="s">
        <v>14851</v>
      </c>
      <c r="C8131" s="6">
        <v>1.0</v>
      </c>
      <c r="D8131" s="9" t="s">
        <v>14852</v>
      </c>
      <c r="E8131" s="8" t="str">
        <f>IFERROR(__xludf.DUMMYFUNCTION("googletranslate(D8131,""id"",""en"")"),"We are small, poor &amp; amp; Low educated just want to please delete the PPKM as soon as possible ... Please hear us OPE officials .... just delete the PPKM just hard ... Is it difficult ???")</f>
        <v>We are small, poor &amp; amp; Low educated just want to please delete the PPKM as soon as possible ... Please hear us OPE officials .... just delete the PPKM just hard ... Is it difficult ???</v>
      </c>
    </row>
    <row r="8132" ht="15.75" customHeight="1">
      <c r="A8132" s="2">
        <v>8135.0</v>
      </c>
      <c r="B8132" s="5" t="s">
        <v>14853</v>
      </c>
      <c r="C8132" s="6">
        <v>2.0</v>
      </c>
      <c r="D8132" s="7" t="s">
        <v>14854</v>
      </c>
      <c r="E8132" s="8" t="str">
        <f>IFERROR(__xludf.DUMMYFUNCTION("googletranslate(D8132,""id"",""en"")"),"Virtual SEK, PPKM Extends")</f>
        <v>Virtual SEK, PPKM Extends</v>
      </c>
    </row>
    <row r="8133" ht="15.75" customHeight="1">
      <c r="A8133" s="2">
        <v>8136.0</v>
      </c>
      <c r="B8133" s="5" t="s">
        <v>14855</v>
      </c>
      <c r="C8133" s="6">
        <v>1.0</v>
      </c>
      <c r="D8133" s="9" t="s">
        <v>14856</v>
      </c>
      <c r="E8133" s="8" t="str">
        <f>IFERROR(__xludf.DUMMYFUNCTION("googletranslate(D8133,""id"",""en"")"),"According to me PPKM without hard sanctions, it's not useful, sir, what do you want to be extended? Lu residents just told the vaccine so it was difficult, many gathered.")</f>
        <v>According to me PPKM without hard sanctions, it's not useful, sir, what do you want to be extended? Lu residents just told the vaccine so it was difficult, many gathered.</v>
      </c>
    </row>
    <row r="8134" ht="15.75" customHeight="1">
      <c r="A8134" s="2">
        <v>8137.0</v>
      </c>
      <c r="B8134" s="5" t="s">
        <v>14857</v>
      </c>
      <c r="C8134" s="6">
        <v>1.0</v>
      </c>
      <c r="D8134" s="9" t="s">
        <v>14858</v>
      </c>
      <c r="E8134" s="8" t="str">
        <f>IFERROR(__xludf.DUMMYFUNCTION("googletranslate(D8134,""id"",""en"")"),"What result? The election is divided into &amp; amp; Jokowi's term of office followed extended year. Haha was all out ... yes the money was out of the result, but the PPKM was extended every week")</f>
        <v>What result? The election is divided into &amp; amp; Jokowi's term of office followed extended year. Haha was all out ... yes the money was out of the result, but the PPKM was extended every week</v>
      </c>
    </row>
    <row r="8135" ht="15.75" customHeight="1">
      <c r="A8135" s="2">
        <v>8138.0</v>
      </c>
      <c r="B8135" s="5" t="s">
        <v>14859</v>
      </c>
      <c r="C8135" s="6">
        <v>1.0</v>
      </c>
      <c r="D8135" s="7" t="s">
        <v>14860</v>
      </c>
      <c r="E8135" s="8" t="str">
        <f>IFERROR(__xludf.DUMMYFUNCTION("googletranslate(D8135,""id"",""en"")"),"Wkwkw dah fed up with ppkm")</f>
        <v>Wkwkw dah fed up with ppkm</v>
      </c>
    </row>
    <row r="8136" ht="15.75" customHeight="1">
      <c r="A8136" s="2">
        <v>8139.0</v>
      </c>
      <c r="B8136" s="5" t="s">
        <v>14861</v>
      </c>
      <c r="C8136" s="6">
        <v>1.0</v>
      </c>
      <c r="D8136" s="7" t="s">
        <v>14862</v>
      </c>
      <c r="E8136" s="8" t="str">
        <f>IFERROR(__xludf.DUMMYFUNCTION("googletranslate(D8136,""id"",""en"")"),"lg liatin instastory friend w protest ppkm but hang out here and there, pdhal he sm gang msih often ngelive at the cafe")</f>
        <v>lg liatin instastory friend w protest ppkm but hang out here and there, pdhal he sm gang msih often ngelive at the cafe</v>
      </c>
    </row>
    <row r="8137" ht="15.75" customHeight="1">
      <c r="A8137" s="2">
        <v>8140.0</v>
      </c>
      <c r="B8137" s="5" t="s">
        <v>14863</v>
      </c>
      <c r="C8137" s="6">
        <v>2.0</v>
      </c>
      <c r="D8137" s="10" t="s">
        <v>14864</v>
      </c>
      <c r="E8137" s="8" t="str">
        <f>IFERROR(__xludf.DUMMYFUNCTION("googletranslate(D8137,""id"",""en"")"),"just finish the ppkm")</f>
        <v>just finish the ppkm</v>
      </c>
    </row>
    <row r="8138" ht="15.75" customHeight="1">
      <c r="A8138" s="2">
        <v>8141.0</v>
      </c>
      <c r="B8138" s="5" t="s">
        <v>14865</v>
      </c>
      <c r="C8138" s="6">
        <v>2.0</v>
      </c>
      <c r="D8138" s="7" t="s">
        <v>14773</v>
      </c>
      <c r="E8138" s="8" t="str">
        <f>IFERROR(__xludf.DUMMYFUNCTION("googletranslate(D8138,""id"",""en"")"),"PPKM is extended")</f>
        <v>PPKM is extended</v>
      </c>
    </row>
    <row r="8139" ht="15.75" customHeight="1">
      <c r="A8139" s="2">
        <v>8142.0</v>
      </c>
      <c r="B8139" s="5" t="s">
        <v>14866</v>
      </c>
      <c r="C8139" s="6">
        <v>2.0</v>
      </c>
      <c r="D8139" s="9" t="s">
        <v>14867</v>
      </c>
      <c r="E8139" s="8" t="str">
        <f>IFERROR(__xludf.DUMMYFUNCTION("googletranslate(D8139,""id"",""en"")"),"Breaking News. The government again extends the implementation of PPKM levels in Java and Bali until next August. There are some easing given, eating time in places in food stalls and restaurants plus a minute and not allowed to chat")</f>
        <v>Breaking News. The government again extends the implementation of PPKM levels in Java and Bali until next August. There are some easing given, eating time in places in food stalls and restaurants plus a minute and not allowed to chat</v>
      </c>
    </row>
    <row r="8140" ht="15.75" customHeight="1">
      <c r="A8140" s="2">
        <v>8143.0</v>
      </c>
      <c r="B8140" s="5" t="s">
        <v>14868</v>
      </c>
      <c r="C8140" s="6">
        <v>2.0</v>
      </c>
      <c r="D8140" s="7" t="s">
        <v>14869</v>
      </c>
      <c r="E8140" s="8" t="str">
        <f>IFERROR(__xludf.DUMMYFUNCTION("googletranslate(D8140,""id"",""en"")"),"Just ppkm in installing your period of gamau what is the future of our future")</f>
        <v>Just ppkm in installing your period of gamau what is the future of our future</v>
      </c>
    </row>
    <row r="8141" ht="15.75" customHeight="1">
      <c r="A8141" s="2">
        <v>8144.0</v>
      </c>
      <c r="B8141" s="5" t="s">
        <v>14870</v>
      </c>
      <c r="C8141" s="6">
        <v>1.0</v>
      </c>
      <c r="D8141" s="7" t="s">
        <v>14870</v>
      </c>
      <c r="E8141" s="8" t="str">
        <f>IFERROR(__xludf.DUMMYFUNCTION("googletranslate(D8141,""id"",""en"")"),"Extended PPKM? Whatever")</f>
        <v>Extended PPKM? Whatever</v>
      </c>
    </row>
    <row r="8142" ht="15.75" customHeight="1">
      <c r="A8142" s="2">
        <v>8145.0</v>
      </c>
      <c r="B8142" s="5" t="s">
        <v>14871</v>
      </c>
      <c r="C8142" s="6">
        <v>2.0</v>
      </c>
      <c r="D8142" s="7" t="s">
        <v>14872</v>
      </c>
      <c r="E8142" s="8" t="str">
        <f>IFERROR(__xludf.DUMMYFUNCTION("googletranslate(D8142,""id"",""en"")"),"Extended kak ngundurnya kek ppkm")</f>
        <v>Extended kak ngundurnya kek ppkm</v>
      </c>
    </row>
    <row r="8143" ht="15.75" customHeight="1">
      <c r="A8143" s="2">
        <v>8146.0</v>
      </c>
      <c r="B8143" s="5" t="s">
        <v>14873</v>
      </c>
      <c r="C8143" s="6">
        <v>1.0</v>
      </c>
      <c r="D8143" s="9" t="s">
        <v>14874</v>
      </c>
      <c r="E8143" s="8" t="str">
        <f>IFERROR(__xludf.DUMMYFUNCTION("googletranslate(D8143,""id"",""en"")"),"I note the PPKM as if it has something to do with Chinese TKA who secretly entered through the airport.")</f>
        <v>I note the PPKM as if it has something to do with Chinese TKA who secretly entered through the airport.</v>
      </c>
    </row>
    <row r="8144" ht="15.75" customHeight="1">
      <c r="A8144" s="2">
        <v>8147.0</v>
      </c>
      <c r="B8144" s="5" t="s">
        <v>14875</v>
      </c>
      <c r="C8144" s="6">
        <v>2.0</v>
      </c>
      <c r="D8144" s="7" t="s">
        <v>14875</v>
      </c>
      <c r="E8144" s="8" t="str">
        <f>IFERROR(__xludf.DUMMYFUNCTION("googletranslate(D8144,""id"",""en"")"),"What is the news of the PPKM ??")</f>
        <v>What is the news of the PPKM ??</v>
      </c>
    </row>
    <row r="8145" ht="15.75" customHeight="1">
      <c r="A8145" s="2">
        <v>8148.0</v>
      </c>
      <c r="B8145" s="5" t="s">
        <v>14876</v>
      </c>
      <c r="C8145" s="6">
        <v>2.0</v>
      </c>
      <c r="D8145" s="7" t="s">
        <v>14876</v>
      </c>
      <c r="E8145" s="8" t="str">
        <f>IFERROR(__xludf.DUMMYFUNCTION("googletranslate(D8145,""id"",""en"")"),"""This PPKM, want to be extended until when?""")</f>
        <v>"This PPKM, want to be extended until when?"</v>
      </c>
    </row>
    <row r="8146" ht="15.75" customHeight="1">
      <c r="A8146" s="2">
        <v>8149.0</v>
      </c>
      <c r="B8146" s="5" t="s">
        <v>14877</v>
      </c>
      <c r="C8146" s="6">
        <v>2.0</v>
      </c>
      <c r="D8146" s="7" t="s">
        <v>14878</v>
      </c>
      <c r="E8146" s="8" t="str">
        <f>IFERROR(__xludf.DUMMYFUNCTION("googletranslate(D8146,""id"",""en"")"),"In Kwangya free PPKM Meng")</f>
        <v>In Kwangya free PPKM Meng</v>
      </c>
    </row>
    <row r="8147" ht="15.75" customHeight="1">
      <c r="A8147" s="2">
        <v>8150.0</v>
      </c>
      <c r="B8147" s="5" t="s">
        <v>14879</v>
      </c>
      <c r="C8147" s="6">
        <v>2.0</v>
      </c>
      <c r="D8147" s="7" t="s">
        <v>14880</v>
      </c>
      <c r="E8147" s="8" t="str">
        <f>IFERROR(__xludf.DUMMYFUNCTION("googletranslate(D8147,""id"",""en"")"),"Eah ppkm which now adds time to eat.")</f>
        <v>Eah ppkm which now adds time to eat.</v>
      </c>
    </row>
    <row r="8148" ht="15.75" customHeight="1">
      <c r="A8148" s="2">
        <v>8151.0</v>
      </c>
      <c r="B8148" s="5" t="s">
        <v>14881</v>
      </c>
      <c r="C8148" s="6">
        <v>2.0</v>
      </c>
      <c r="D8148" s="7" t="s">
        <v>14881</v>
      </c>
      <c r="E8148" s="8" t="str">
        <f>IFERROR(__xludf.DUMMYFUNCTION("googletranslate(D8148,""id"",""en"")"),"It's no wonder the PPKM is extended")</f>
        <v>It's no wonder the PPKM is extended</v>
      </c>
    </row>
    <row r="8149" ht="15.75" customHeight="1">
      <c r="A8149" s="2">
        <v>8152.0</v>
      </c>
      <c r="B8149" s="5" t="s">
        <v>14882</v>
      </c>
      <c r="C8149" s="6">
        <v>2.0</v>
      </c>
      <c r="D8149" s="7" t="s">
        <v>14883</v>
      </c>
      <c r="E8149" s="8" t="str">
        <f>IFERROR(__xludf.DUMMYFUNCTION("googletranslate(D8149,""id"",""en"")"),"ppkm actually stunning but paid in installments so that you don't feel like heheh")</f>
        <v>ppkm actually stunning but paid in installments so that you don't feel like heheh</v>
      </c>
    </row>
    <row r="8150" ht="15.75" customHeight="1">
      <c r="A8150" s="2">
        <v>8153.0</v>
      </c>
      <c r="B8150" s="5" t="s">
        <v>14884</v>
      </c>
      <c r="C8150" s="6">
        <v>1.0</v>
      </c>
      <c r="D8150" s="7" t="s">
        <v>14885</v>
      </c>
      <c r="E8150" s="8" t="str">
        <f>IFERROR(__xludf.DUMMYFUNCTION("googletranslate(D8150,""id"",""en"")"),"The agenda is as long as the PPKM is extended when they entered, the PPKM will continue to be extended until their quota is fulfilled according to the agreement")</f>
        <v>The agenda is as long as the PPKM is extended when they entered, the PPKM will continue to be extended until their quota is fulfilled according to the agreement</v>
      </c>
    </row>
    <row r="8151" ht="15.75" customHeight="1">
      <c r="A8151" s="2">
        <v>8154.0</v>
      </c>
      <c r="B8151" s="5" t="s">
        <v>14886</v>
      </c>
      <c r="C8151" s="6">
        <v>1.0</v>
      </c>
      <c r="D8151" s="7" t="s">
        <v>14887</v>
      </c>
      <c r="E8151" s="8" t="str">
        <f>IFERROR(__xludf.DUMMYFUNCTION("googletranslate(D8151,""id"",""en"")"),"PPKM extended until free")</f>
        <v>PPKM extended until free</v>
      </c>
    </row>
    <row r="8152" ht="15.75" customHeight="1">
      <c r="A8152" s="2">
        <v>8155.0</v>
      </c>
      <c r="B8152" s="5" t="s">
        <v>14888</v>
      </c>
      <c r="C8152" s="6">
        <v>1.0</v>
      </c>
      <c r="D8152" s="9" t="s">
        <v>14889</v>
      </c>
      <c r="E8152" s="8" t="str">
        <f>IFERROR(__xludf.DUMMYFUNCTION("googletranslate(D8152,""id"",""en"")"),"Ppkm mulu until when will it continue ??")</f>
        <v>Ppkm mulu until when will it continue ??</v>
      </c>
    </row>
    <row r="8153" ht="15.75" customHeight="1">
      <c r="A8153" s="2">
        <v>8156.0</v>
      </c>
      <c r="B8153" s="5" t="s">
        <v>14890</v>
      </c>
      <c r="C8153" s="6">
        <v>1.0</v>
      </c>
      <c r="D8153" s="9" t="s">
        <v>14891</v>
      </c>
      <c r="E8153" s="8" t="str">
        <f>IFERROR(__xludf.DUMMYFUNCTION("googletranslate(D8153,""id"",""en"")"),"Is Jokowi know that the people don't want PPKM ... Is he deaf ... we are a small, poor &amp; amp; Low educated just want to delete Kan PPKM as soon as possible &amp; amp; Eliminate Covid ...... Please hear us O Officials ... Jokowi Failed Total")</f>
        <v>Is Jokowi know that the people don't want PPKM ... Is he deaf ... we are a small, poor &amp; amp; Low educated just want to delete Kan PPKM as soon as possible &amp; amp; Eliminate Covid ...... Please hear us O Officials ... Jokowi Failed Total</v>
      </c>
    </row>
    <row r="8154" ht="15.75" customHeight="1">
      <c r="A8154" s="2">
        <v>8157.0</v>
      </c>
      <c r="B8154" s="5" t="s">
        <v>14892</v>
      </c>
      <c r="C8154" s="6">
        <v>1.0</v>
      </c>
      <c r="D8154" s="9" t="s">
        <v>14892</v>
      </c>
      <c r="E8154" s="8" t="str">
        <f>IFERROR(__xludf.DUMMYFUNCTION("googletranslate(D8154,""id"",""en"")"),"The Jokowi regime was deliberately delaying and stalling in handling Covid and avoiding the Chapter Law with the application of PSBB which was finally converted to PPKM. The aim is to win the opportunity to control the community and regulate the course of"&amp;" the political agenda and create a time crisis")</f>
        <v>The Jokowi regime was deliberately delaying and stalling in handling Covid and avoiding the Chapter Law with the application of PSBB which was finally converted to PPKM. The aim is to win the opportunity to control the community and regulate the course of the political agenda and create a time crisis</v>
      </c>
    </row>
    <row r="8155" ht="15.75" customHeight="1">
      <c r="A8155" s="2">
        <v>8158.0</v>
      </c>
      <c r="B8155" s="5" t="s">
        <v>14893</v>
      </c>
      <c r="C8155" s="6">
        <v>2.0</v>
      </c>
      <c r="D8155" s="7" t="s">
        <v>14894</v>
      </c>
      <c r="E8155" s="8" t="str">
        <f>IFERROR(__xludf.DUMMYFUNCTION("googletranslate(D8155,""id"",""en"")"),"Gatau deh nder, still ppkm too right")</f>
        <v>Gatau deh nder, still ppkm too right</v>
      </c>
    </row>
    <row r="8156" ht="15.75" customHeight="1">
      <c r="A8156" s="2">
        <v>8159.0</v>
      </c>
      <c r="B8156" s="5" t="s">
        <v>14895</v>
      </c>
      <c r="C8156" s="6">
        <v>1.0</v>
      </c>
      <c r="D8156" s="7" t="s">
        <v>14896</v>
      </c>
      <c r="E8156" s="8" t="str">
        <f>IFERROR(__xludf.DUMMYFUNCTION("googletranslate(D8156,""id"",""en"")"),"Very Dholim with the People Until Selabangan, the Installment of the Installment of the Inquiry for Installment of Bank Installments DPT DR PPKM? Is it true that the PPKM sign the government cannot afford the life of the people?")</f>
        <v>Very Dholim with the People Until Selabangan, the Installment of the Installment of the Inquiry for Installment of Bank Installments DPT DR PPKM? Is it true that the PPKM sign the government cannot afford the life of the people?</v>
      </c>
    </row>
    <row r="8157" ht="15.75" customHeight="1">
      <c r="A8157" s="2">
        <v>8160.0</v>
      </c>
      <c r="B8157" s="5" t="s">
        <v>14897</v>
      </c>
      <c r="C8157" s="6">
        <v>2.0</v>
      </c>
      <c r="D8157" s="9" t="s">
        <v>14898</v>
      </c>
      <c r="E8157" s="8" t="str">
        <f>IFERROR(__xludf.DUMMYFUNCTION("googletranslate(D8157,""id"",""en"")"),"Klo KPKM is extended we can only slowly pray")</f>
        <v>Klo KPKM is extended we can only slowly pray</v>
      </c>
    </row>
    <row r="8158" ht="15.75" customHeight="1">
      <c r="A8158" s="2">
        <v>8161.0</v>
      </c>
      <c r="B8158" s="5" t="s">
        <v>14899</v>
      </c>
      <c r="C8158" s="6">
        <v>1.0</v>
      </c>
      <c r="D8158" s="7" t="s">
        <v>14900</v>
      </c>
      <c r="E8158" s="8" t="str">
        <f>IFERROR(__xludf.DUMMYFUNCTION("googletranslate(D8158,""id"",""en"")"),"That the independence is the right of all nations, PPKM must be abolished because it is not in accordance with the prike and prison.")</f>
        <v>That the independence is the right of all nations, PPKM must be abolished because it is not in accordance with the prike and prison.</v>
      </c>
    </row>
    <row r="8159" ht="15.75" customHeight="1">
      <c r="A8159" s="2">
        <v>8162.0</v>
      </c>
      <c r="B8159" s="5" t="s">
        <v>14901</v>
      </c>
      <c r="C8159" s="6">
        <v>1.0</v>
      </c>
      <c r="D8159" s="7" t="s">
        <v>14902</v>
      </c>
      <c r="E8159" s="8" t="str">
        <f>IFERROR(__xludf.DUMMYFUNCTION("googletranslate(D8159,""id"",""en"")"),"[cm] How are you news of your thesis depending on the agency if the PPKM is this? my musty stagnant from July because the ppkm extension continues geez, automatically the instance does not accept the service continues")</f>
        <v>[cm] How are you news of your thesis depending on the agency if the PPKM is this? my musty stagnant from July because the ppkm extension continues geez, automatically the instance does not accept the service continues</v>
      </c>
    </row>
    <row r="8160" ht="15.75" customHeight="1">
      <c r="A8160" s="2">
        <v>8163.0</v>
      </c>
      <c r="B8160" s="5" t="s">
        <v>14903</v>
      </c>
      <c r="C8160" s="6">
        <v>2.0</v>
      </c>
      <c r="D8160" s="7" t="s">
        <v>14904</v>
      </c>
      <c r="E8160" s="8" t="str">
        <f>IFERROR(__xludf.DUMMYFUNCTION("googletranslate(D8160,""id"",""en"")"),"Ppkm just finished it")</f>
        <v>Ppkm just finished it</v>
      </c>
    </row>
    <row r="8161" ht="15.75" customHeight="1">
      <c r="A8161" s="2">
        <v>8164.0</v>
      </c>
      <c r="B8161" s="5" t="s">
        <v>14905</v>
      </c>
      <c r="C8161" s="6">
        <v>1.0</v>
      </c>
      <c r="D8161" s="9" t="s">
        <v>14906</v>
      </c>
      <c r="E8161" s="8" t="str">
        <f>IFERROR(__xludf.DUMMYFUNCTION("googletranslate(D8161,""id"",""en"")"),"Hopefully no, if for example the pattern is like this, it will continue to be, yeah, the term ppkm, it will be long, but it will be a long time ago, it will be very bad, aka PPKM IKI or not use it")</f>
        <v>Hopefully no, if for example the pattern is like this, it will continue to be, yeah, the term ppkm, it will be long, but it will be a long time ago, it will be very bad, aka PPKM IKI or not use it</v>
      </c>
    </row>
    <row r="8162" ht="15.75" customHeight="1">
      <c r="A8162" s="2">
        <v>8165.0</v>
      </c>
      <c r="B8162" s="5" t="s">
        <v>14907</v>
      </c>
      <c r="C8162" s="6">
        <v>1.0</v>
      </c>
      <c r="D8162" s="7" t="s">
        <v>14907</v>
      </c>
      <c r="E8162" s="8" t="str">
        <f>IFERROR(__xludf.DUMMYFUNCTION("googletranslate(D8162,""id"",""en"")"),"Anjir, PPKM e Teros. Tai really")</f>
        <v>Anjir, PPKM e Teros. Tai really</v>
      </c>
    </row>
    <row r="8163" ht="15.75" customHeight="1">
      <c r="A8163" s="2">
        <v>8166.0</v>
      </c>
      <c r="B8163" s="5" t="s">
        <v>14908</v>
      </c>
      <c r="C8163" s="6">
        <v>1.0</v>
      </c>
      <c r="D8163" s="7" t="s">
        <v>14908</v>
      </c>
      <c r="E8163" s="8" t="str">
        <f>IFERROR(__xludf.DUMMYFUNCTION("googletranslate(D8163,""id"",""en"")"),"wake up seeing the news of the ppkm extended again to each other")</f>
        <v>wake up seeing the news of the ppkm extended again to each other</v>
      </c>
    </row>
    <row r="8164" ht="15.75" customHeight="1">
      <c r="A8164" s="2">
        <v>8167.0</v>
      </c>
      <c r="B8164" s="5" t="s">
        <v>14909</v>
      </c>
      <c r="C8164" s="6">
        <v>2.0</v>
      </c>
      <c r="D8164" s="9" t="s">
        <v>14910</v>
      </c>
      <c r="E8164" s="8" t="str">
        <f>IFERROR(__xludf.DUMMYFUNCTION("googletranslate(D8164,""id"",""en"")"),"PPKM extended continuously, I can go to Bandung")</f>
        <v>PPKM extended continuously, I can go to Bandung</v>
      </c>
    </row>
    <row r="8165" ht="15.75" customHeight="1">
      <c r="A8165" s="2">
        <v>8168.0</v>
      </c>
      <c r="B8165" s="5" t="s">
        <v>14911</v>
      </c>
      <c r="C8165" s="6">
        <v>1.0</v>
      </c>
      <c r="D8165" s="7" t="s">
        <v>14912</v>
      </c>
      <c r="E8165" s="8" t="str">
        <f>IFERROR(__xludf.DUMMYFUNCTION("googletranslate(D8165,""id"",""en"")"),"His country is free, the residents are still dizzy PPKM D extend continuously ...")</f>
        <v>His country is free, the residents are still dizzy PPKM D extend continuously ...</v>
      </c>
    </row>
    <row r="8166" ht="15.75" customHeight="1">
      <c r="A8166" s="2">
        <v>8169.0</v>
      </c>
      <c r="B8166" s="5" t="s">
        <v>14913</v>
      </c>
      <c r="C8166" s="6">
        <v>1.0</v>
      </c>
      <c r="D8166" s="9" t="s">
        <v>14914</v>
      </c>
      <c r="E8166" s="8" t="str">
        <f>IFERROR(__xludf.DUMMYFUNCTION("googletranslate(D8166,""id"",""en"")"),"PPKM (Plonga Plongo doesn't think about it)")</f>
        <v>PPKM (Plonga Plongo doesn't think about it)</v>
      </c>
    </row>
    <row r="8167" ht="15.75" customHeight="1">
      <c r="A8167" s="2">
        <v>8170.0</v>
      </c>
      <c r="B8167" s="5" t="s">
        <v>14915</v>
      </c>
      <c r="C8167" s="6">
        <v>2.0</v>
      </c>
      <c r="D8167" s="7" t="s">
        <v>14916</v>
      </c>
      <c r="E8167" s="8" t="str">
        <f>IFERROR(__xludf.DUMMYFUNCTION("googletranslate(D8167,""id"",""en"")"),"PPKM / GA PPKM Bultang Gass")</f>
        <v>PPKM / GA PPKM Bultang Gass</v>
      </c>
    </row>
    <row r="8168" ht="15.75" customHeight="1">
      <c r="A8168" s="2">
        <v>8171.0</v>
      </c>
      <c r="B8168" s="5" t="s">
        <v>14917</v>
      </c>
      <c r="C8168" s="6">
        <v>2.0</v>
      </c>
      <c r="D8168" s="7" t="s">
        <v>14918</v>
      </c>
      <c r="E8168" s="8" t="str">
        <f>IFERROR(__xludf.DUMMYFUNCTION("googletranslate(D8168,""id"",""en"")"),"Wait for PPKM to finish")</f>
        <v>Wait for PPKM to finish</v>
      </c>
    </row>
    <row r="8169" ht="15.75" customHeight="1">
      <c r="A8169" s="2">
        <v>8172.0</v>
      </c>
      <c r="B8169" s="5" t="s">
        <v>14919</v>
      </c>
      <c r="C8169" s="6">
        <v>2.0</v>
      </c>
      <c r="D8169" s="7" t="s">
        <v>14920</v>
      </c>
      <c r="E8169" s="8" t="str">
        <f>IFERROR(__xludf.DUMMYFUNCTION("googletranslate(D8169,""id"",""en"")"),"End and replaced PPKM LV5")</f>
        <v>End and replaced PPKM LV5</v>
      </c>
    </row>
    <row r="8170" ht="15.75" customHeight="1">
      <c r="A8170" s="2">
        <v>8173.0</v>
      </c>
      <c r="B8170" s="5" t="s">
        <v>14921</v>
      </c>
      <c r="C8170" s="6">
        <v>1.0</v>
      </c>
      <c r="D8170" s="7" t="s">
        <v>14921</v>
      </c>
      <c r="E8170" s="8" t="str">
        <f>IFERROR(__xludf.DUMMYFUNCTION("googletranslate(D8170,""id"",""en"")"),"really a year ppkm tp tp paid a week yes anjir")</f>
        <v>really a year ppkm tp tp paid a week yes anjir</v>
      </c>
    </row>
    <row r="8171" ht="15.75" customHeight="1">
      <c r="A8171" s="2">
        <v>8174.0</v>
      </c>
      <c r="B8171" s="5" t="s">
        <v>14922</v>
      </c>
      <c r="C8171" s="6">
        <v>2.0</v>
      </c>
      <c r="D8171" s="7" t="s">
        <v>14923</v>
      </c>
      <c r="E8171" s="8" t="str">
        <f>IFERROR(__xludf.DUMMYFUNCTION("googletranslate(D8171,""id"",""en"")"),"So the number up and down the pandemic covid19 is there, on the matter of ""test and tracing"". PPKM is extended again. Please analyze?")</f>
        <v>So the number up and down the pandemic covid19 is there, on the matter of "test and tracing". PPKM is extended again. Please analyze?</v>
      </c>
    </row>
    <row r="8172" ht="15.75" customHeight="1">
      <c r="A8172" s="2">
        <v>8175.0</v>
      </c>
      <c r="B8172" s="5" t="s">
        <v>14924</v>
      </c>
      <c r="C8172" s="6">
        <v>2.0</v>
      </c>
      <c r="D8172" s="7" t="s">
        <v>14924</v>
      </c>
      <c r="E8172" s="8" t="str">
        <f>IFERROR(__xludf.DUMMYFUNCTION("googletranslate(D8172,""id"",""en"")"),"The PPKM is renewed, it's already rich in fasting fasting for Ramadhan")</f>
        <v>The PPKM is renewed, it's already rich in fasting fasting for Ramadhan</v>
      </c>
    </row>
    <row r="8173" ht="15.75" customHeight="1">
      <c r="A8173" s="2">
        <v>8176.0</v>
      </c>
      <c r="B8173" s="5" t="s">
        <v>14925</v>
      </c>
      <c r="C8173" s="6">
        <v>2.0</v>
      </c>
      <c r="D8173" s="7" t="s">
        <v>14926</v>
      </c>
      <c r="E8173" s="8" t="str">
        <f>IFERROR(__xludf.DUMMYFUNCTION("googletranslate(D8173,""id"",""en"")"),"hopefully the pandemic will soon end so that PPKM also ends")</f>
        <v>hopefully the pandemic will soon end so that PPKM also ends</v>
      </c>
    </row>
    <row r="8174" ht="15.75" customHeight="1">
      <c r="A8174" s="2">
        <v>8177.0</v>
      </c>
      <c r="B8174" s="5" t="s">
        <v>14927</v>
      </c>
      <c r="C8174" s="6">
        <v>2.0</v>
      </c>
      <c r="D8174" s="10" t="s">
        <v>14927</v>
      </c>
      <c r="E8174" s="8" t="str">
        <f>IFERROR(__xludf.DUMMYFUNCTION("googletranslate(D8174,""id"",""en"")"),"PPKM installments")</f>
        <v>PPKM installments</v>
      </c>
    </row>
    <row r="8175" ht="15.75" customHeight="1">
      <c r="A8175" s="2">
        <v>8178.0</v>
      </c>
      <c r="B8175" s="5" t="s">
        <v>14928</v>
      </c>
      <c r="C8175" s="6">
        <v>1.0</v>
      </c>
      <c r="D8175" s="9" t="s">
        <v>14929</v>
      </c>
      <c r="E8175" s="8" t="str">
        <f>IFERROR(__xludf.DUMMYFUNCTION("googletranslate(D8175,""id"",""en"")"),"Ppkm extended again loh..cok my throat):")</f>
        <v>Ppkm extended again loh..cok my throat):</v>
      </c>
    </row>
    <row r="8176" ht="15.75" customHeight="1">
      <c r="A8176" s="2">
        <v>8179.0</v>
      </c>
      <c r="B8176" s="5" t="s">
        <v>14930</v>
      </c>
      <c r="C8176" s="6">
        <v>1.0</v>
      </c>
      <c r="D8176" s="9" t="s">
        <v>14931</v>
      </c>
      <c r="E8176" s="8" t="str">
        <f>IFERROR(__xludf.DUMMYFUNCTION("googletranslate(D8176,""id"",""en"")"),"PPKM stopped before the election was sure")</f>
        <v>PPKM stopped before the election was sure</v>
      </c>
    </row>
    <row r="8177" ht="15.75" customHeight="1">
      <c r="A8177" s="2">
        <v>8180.0</v>
      </c>
      <c r="B8177" s="5" t="s">
        <v>14932</v>
      </c>
      <c r="C8177" s="6">
        <v>2.0</v>
      </c>
      <c r="D8177" s="7" t="s">
        <v>14932</v>
      </c>
      <c r="E8177" s="8" t="str">
        <f>IFERROR(__xludf.DUMMYFUNCTION("googletranslate(D8177,""id"",""en"")"),"PPKM extended to Detective Conan and One Piece graduated.")</f>
        <v>PPKM extended to Detective Conan and One Piece graduated.</v>
      </c>
    </row>
    <row r="8178" ht="15.75" customHeight="1">
      <c r="A8178" s="2">
        <v>8181.0</v>
      </c>
      <c r="B8178" s="5" t="s">
        <v>14933</v>
      </c>
      <c r="C8178" s="6">
        <v>1.0</v>
      </c>
      <c r="D8178" s="7" t="s">
        <v>14934</v>
      </c>
      <c r="E8178" s="8" t="str">
        <f>IFERROR(__xludf.DUMMYFUNCTION("googletranslate(D8178,""id"",""en"")"),"Hadeh Want to Judgment Dah PPKM")</f>
        <v>Hadeh Want to Judgment Dah PPKM</v>
      </c>
    </row>
    <row r="8179" ht="15.75" customHeight="1">
      <c r="A8179" s="2">
        <v>8182.0</v>
      </c>
      <c r="B8179" s="5" t="s">
        <v>14935</v>
      </c>
      <c r="C8179" s="6">
        <v>1.0</v>
      </c>
      <c r="D8179" s="7" t="s">
        <v>14936</v>
      </c>
      <c r="E8179" s="8" t="str">
        <f>IFERROR(__xludf.DUMMYFUNCTION("googletranslate(D8179,""id"",""en"")"),"ppkm until when is Buk Huhu Bosen")</f>
        <v>ppkm until when is Buk Huhu Bosen</v>
      </c>
    </row>
    <row r="8180" ht="15.75" customHeight="1">
      <c r="A8180" s="2">
        <v>8183.0</v>
      </c>
      <c r="B8180" s="5" t="s">
        <v>14937</v>
      </c>
      <c r="C8180" s="6">
        <v>1.0</v>
      </c>
      <c r="D8180" s="7" t="s">
        <v>14938</v>
      </c>
      <c r="E8180" s="8" t="str">
        <f>IFERROR(__xludf.DUMMYFUNCTION("googletranslate(D8180,""id"",""en"")"),"This decrease is naturally not because of PPKM, the problem is that BGM changes Indonesia not episentrum covid")</f>
        <v>This decrease is naturally not because of PPKM, the problem is that BGM changes Indonesia not episentrum covid</v>
      </c>
    </row>
    <row r="8181" ht="15.75" customHeight="1">
      <c r="A8181" s="2">
        <v>8184.0</v>
      </c>
      <c r="B8181" s="5" t="s">
        <v>14939</v>
      </c>
      <c r="C8181" s="6">
        <v>2.0</v>
      </c>
      <c r="D8181" s="7" t="s">
        <v>14940</v>
      </c>
      <c r="E8181" s="8" t="str">
        <f>IFERROR(__xludf.DUMMYFUNCTION("googletranslate(D8181,""id"",""en"")"),"PPKM is extended to the limit that cannot be determined")</f>
        <v>PPKM is extended to the limit that cannot be determined</v>
      </c>
    </row>
    <row r="8182" ht="15.75" customHeight="1">
      <c r="A8182" s="2">
        <v>8185.0</v>
      </c>
      <c r="B8182" s="5" t="s">
        <v>14941</v>
      </c>
      <c r="C8182" s="6">
        <v>1.0</v>
      </c>
      <c r="D8182" s="9" t="s">
        <v>14942</v>
      </c>
      <c r="E8182" s="8" t="str">
        <f>IFERROR(__xludf.DUMMYFUNCTION("googletranslate(D8182,""id"",""en"")"),"It's just resigned to the PPKM extended first")</f>
        <v>It's just resigned to the PPKM extended first</v>
      </c>
    </row>
    <row r="8183" ht="15.75" customHeight="1">
      <c r="A8183" s="2">
        <v>8186.0</v>
      </c>
      <c r="B8183" s="5" t="s">
        <v>14943</v>
      </c>
      <c r="C8183" s="6">
        <v>2.0</v>
      </c>
      <c r="D8183" s="7" t="s">
        <v>14943</v>
      </c>
      <c r="E8183" s="8" t="str">
        <f>IFERROR(__xludf.DUMMYFUNCTION("googletranslate(D8183,""id"",""en"")"),"The vaccine achievement is still low so PPKM is extended to continue huh?")</f>
        <v>The vaccine achievement is still low so PPKM is extended to continue huh?</v>
      </c>
    </row>
    <row r="8184" ht="15.75" customHeight="1">
      <c r="A8184" s="2">
        <v>8187.0</v>
      </c>
      <c r="B8184" s="5" t="s">
        <v>14944</v>
      </c>
      <c r="C8184" s="6">
        <v>2.0</v>
      </c>
      <c r="D8184" s="7" t="s">
        <v>14944</v>
      </c>
      <c r="E8184" s="8" t="str">
        <f>IFERROR(__xludf.DUMMYFUNCTION("googletranslate(D8184,""id"",""en"")"),"ppkm extended bandung must make a beach")</f>
        <v>ppkm extended bandung must make a beach</v>
      </c>
    </row>
    <row r="8185" ht="15.75" customHeight="1">
      <c r="A8185" s="2">
        <v>8188.0</v>
      </c>
      <c r="B8185" s="5" t="s">
        <v>14945</v>
      </c>
      <c r="C8185" s="6">
        <v>2.0</v>
      </c>
      <c r="D8185" s="9" t="s">
        <v>14945</v>
      </c>
      <c r="E8185" s="8" t="str">
        <f>IFERROR(__xludf.DUMMYFUNCTION("googletranslate(D8185,""id"",""en"")"),"KPKM extended until Lutfy married with Boa Hancock")</f>
        <v>KPKM extended until Lutfy married with Boa Hancock</v>
      </c>
    </row>
    <row r="8186" ht="15.75" customHeight="1">
      <c r="A8186" s="2">
        <v>8189.0</v>
      </c>
      <c r="B8186" s="5" t="s">
        <v>14946</v>
      </c>
      <c r="C8186" s="6">
        <v>2.0</v>
      </c>
      <c r="D8186" s="9" t="s">
        <v>14947</v>
      </c>
      <c r="E8186" s="8" t="str">
        <f>IFERROR(__xludf.DUMMYFUNCTION("googletranslate(D8186,""id"",""en"")"),"I was iraded to tmen2 gw which he had walked onto the group I was in the entry was still waiting for the PPKM to finish where the PPKM was installed continuously again. When is the street vendage")</f>
        <v>I was iraded to tmen2 gw which he had walked onto the group I was in the entry was still waiting for the PPKM to finish where the PPKM was installed continuously again. When is the street vendage</v>
      </c>
    </row>
    <row r="8187" ht="15.75" customHeight="1">
      <c r="A8187" s="2">
        <v>8190.0</v>
      </c>
      <c r="B8187" s="5" t="s">
        <v>14948</v>
      </c>
      <c r="C8187" s="6">
        <v>2.0</v>
      </c>
      <c r="D8187" s="9" t="s">
        <v>14949</v>
      </c>
      <c r="E8187" s="8" t="str">
        <f>IFERROR(__xludf.DUMMYFUNCTION("googletranslate(D8187,""id"",""en"")"),"How much does it come out? I'm still a warranty, so it's a pity if it's not used ... but the technician is not fitting PPKM .. must wait ... While I need to be really a laptop")</f>
        <v>How much does it come out? I'm still a warranty, so it's a pity if it's not used ... but the technician is not fitting PPKM .. must wait ... While I need to be really a laptop</v>
      </c>
    </row>
    <row r="8188" ht="15.75" customHeight="1">
      <c r="A8188" s="2">
        <v>8191.0</v>
      </c>
      <c r="B8188" s="5" t="s">
        <v>14950</v>
      </c>
      <c r="C8188" s="6">
        <v>2.0</v>
      </c>
      <c r="D8188" s="9" t="s">
        <v>14951</v>
      </c>
      <c r="E8188" s="8" t="str">
        <f>IFERROR(__xludf.DUMMYFUNCTION("googletranslate(D8188,""id"",""en"")"),"pict taken at $ number $ -2019alias, still don't know PPKM especially c0 ah never mind; '")</f>
        <v>pict taken at $ number $ -2019alias, still don't know PPKM especially c0 ah never mind; '</v>
      </c>
    </row>
    <row r="8189" ht="15.75" customHeight="1">
      <c r="A8189" s="2">
        <v>8192.0</v>
      </c>
      <c r="B8189" s="5" t="s">
        <v>14952</v>
      </c>
      <c r="C8189" s="6">
        <v>2.0</v>
      </c>
      <c r="D8189" s="9" t="s">
        <v>14953</v>
      </c>
      <c r="E8189" s="8" t="str">
        <f>IFERROR(__xludf.DUMMYFUNCTION("googletranslate(D8189,""id"",""en"")"),"This decreases naturally not because of PPKM, try loosen it will explode again, the problem is here epicentrum covid")</f>
        <v>This decreases naturally not because of PPKM, try loosen it will explode again, the problem is here epicentrum covid</v>
      </c>
    </row>
    <row r="8190" ht="15.75" customHeight="1">
      <c r="A8190" s="2">
        <v>8193.0</v>
      </c>
      <c r="B8190" s="5" t="s">
        <v>14954</v>
      </c>
      <c r="C8190" s="6">
        <v>2.0</v>
      </c>
      <c r="D8190" s="7" t="s">
        <v>14955</v>
      </c>
      <c r="E8190" s="8" t="str">
        <f>IFERROR(__xludf.DUMMYFUNCTION("googletranslate(D8190,""id"",""en"")"),"CTKM continued connecting")</f>
        <v>CTKM continued connecting</v>
      </c>
    </row>
    <row r="8191" ht="15.75" customHeight="1">
      <c r="A8191" s="2">
        <v>8194.0</v>
      </c>
      <c r="B8191" s="5" t="s">
        <v>14956</v>
      </c>
      <c r="C8191" s="6">
        <v>1.0</v>
      </c>
      <c r="D8191" s="7" t="s">
        <v>14957</v>
      </c>
      <c r="E8191" s="8" t="str">
        <f>IFERROR(__xludf.DUMMYFUNCTION("googletranslate(D8191,""id"",""en"")"),"From the small community the daily escape the daily employees who looked will not be caught with the application of PPKM, all must have been a bad impact of this pandemic")</f>
        <v>From the small community the daily escape the daily employees who looked will not be caught with the application of PPKM, all must have been a bad impact of this pandemic</v>
      </c>
    </row>
    <row r="8192" ht="15.75" customHeight="1">
      <c r="A8192" s="2">
        <v>8195.0</v>
      </c>
      <c r="B8192" s="5" t="s">
        <v>14958</v>
      </c>
      <c r="C8192" s="6">
        <v>2.0</v>
      </c>
      <c r="D8192" s="7" t="s">
        <v>14959</v>
      </c>
      <c r="E8192" s="8" t="str">
        <f>IFERROR(__xludf.DUMMYFUNCTION("googletranslate(D8192,""id"",""en"")"),"Advanced PPKM Dah Make Maria Wall")</f>
        <v>Advanced PPKM Dah Make Maria Wall</v>
      </c>
    </row>
    <row r="8193" ht="15.75" customHeight="1">
      <c r="A8193" s="2">
        <v>8196.0</v>
      </c>
      <c r="B8193" s="5" t="s">
        <v>14960</v>
      </c>
      <c r="C8193" s="6">
        <v>2.0</v>
      </c>
      <c r="D8193" s="7" t="s">
        <v>14961</v>
      </c>
      <c r="E8193" s="8" t="str">
        <f>IFERROR(__xludf.DUMMYFUNCTION("googletranslate(D8193,""id"",""en"")"),"Let's say the ceremony, eitz is again PPKM, there will be an angry, just go to sleep again")</f>
        <v>Let's say the ceremony, eitz is again PPKM, there will be an angry, just go to sleep again</v>
      </c>
    </row>
    <row r="8194" ht="15.75" customHeight="1">
      <c r="A8194" s="2">
        <v>8197.0</v>
      </c>
      <c r="B8194" s="5" t="s">
        <v>14962</v>
      </c>
      <c r="C8194" s="6">
        <v>1.0</v>
      </c>
      <c r="D8194" s="7" t="s">
        <v>14962</v>
      </c>
      <c r="E8194" s="8" t="str">
        <f>IFERROR(__xludf.DUMMYFUNCTION("googletranslate(D8194,""id"",""en"")"),"Asui PPKM Extends Jingan Meh Kentu Me")</f>
        <v>Asui PPKM Extends Jingan Meh Kentu Me</v>
      </c>
    </row>
    <row r="8195" ht="15.75" customHeight="1">
      <c r="A8195" s="2">
        <v>8198.0</v>
      </c>
      <c r="B8195" s="5" t="s">
        <v>14963</v>
      </c>
      <c r="C8195" s="6">
        <v>1.0</v>
      </c>
      <c r="D8195" s="7" t="s">
        <v>14964</v>
      </c>
      <c r="E8195" s="8" t="str">
        <f>IFERROR(__xludf.DUMMYFUNCTION("googletranslate(D8195,""id"",""en"")"),"Independence ... but locked up with ppkm..merdeka apane ???????")</f>
        <v>Independence ... but locked up with ppkm..merdeka apane ???????</v>
      </c>
    </row>
    <row r="8196" ht="15.75" customHeight="1">
      <c r="A8196" s="2">
        <v>8199.0</v>
      </c>
      <c r="B8196" s="5" t="s">
        <v>14965</v>
      </c>
      <c r="C8196" s="6">
        <v>2.0</v>
      </c>
      <c r="D8196" s="7" t="s">
        <v>14966</v>
      </c>
      <c r="E8196" s="8" t="str">
        <f>IFERROR(__xludf.DUMMYFUNCTION("googletranslate(D8196,""id"",""en"")"),"Make PPKM revoked to make cheap PCr")</f>
        <v>Make PPKM revoked to make cheap PCr</v>
      </c>
    </row>
    <row r="8197" ht="15.75" customHeight="1">
      <c r="A8197" s="2">
        <v>8200.0</v>
      </c>
      <c r="B8197" s="5" t="s">
        <v>14967</v>
      </c>
      <c r="C8197" s="6">
        <v>2.0</v>
      </c>
      <c r="D8197" s="7" t="s">
        <v>14967</v>
      </c>
      <c r="E8197" s="8" t="str">
        <f>IFERROR(__xludf.DUMMYFUNCTION("googletranslate(D8197,""id"",""en"")"),"Kan for Java Bali, means that in Bandung there is no, because Sundanese.")</f>
        <v>Kan for Java Bali, means that in Bandung there is no, because Sundanese.</v>
      </c>
    </row>
    <row r="8198" ht="15.75" customHeight="1">
      <c r="A8198" s="2">
        <v>8201.0</v>
      </c>
      <c r="B8198" s="5" t="s">
        <v>14968</v>
      </c>
      <c r="C8198" s="6">
        <v>2.0</v>
      </c>
      <c r="D8198" s="7" t="s">
        <v>14969</v>
      </c>
      <c r="E8198" s="8" t="str">
        <f>IFERROR(__xludf.DUMMYFUNCTION("googletranslate(D8198,""id"",""en"")"),"Yes nie ... will it also be extended ??? KN PPKM extends tuch smpe on August, please min in infrock")</f>
        <v>Yes nie ... will it also be extended ??? KN PPKM extends tuch smpe on August, please min in infrock</v>
      </c>
    </row>
    <row r="8199" ht="15.75" customHeight="1">
      <c r="A8199" s="2">
        <v>8202.0</v>
      </c>
      <c r="B8199" s="5" t="s">
        <v>14970</v>
      </c>
      <c r="C8199" s="6">
        <v>2.0</v>
      </c>
      <c r="D8199" s="9" t="s">
        <v>14971</v>
      </c>
      <c r="E8199" s="8" t="str">
        <f>IFERROR(__xludf.DUMMYFUNCTION("googletranslate(D8199,""id"",""en"")"),"What do you make you not at home at home? Lots. Not only one two things. Even some things also make us not comfortable for going home. So when did the PPKM end?")</f>
        <v>What do you make you not at home at home? Lots. Not only one two things. Even some things also make us not comfortable for going home. So when did the PPKM end?</v>
      </c>
    </row>
    <row r="8200" ht="15.75" customHeight="1">
      <c r="A8200" s="2">
        <v>8203.0</v>
      </c>
      <c r="B8200" s="5" t="s">
        <v>14972</v>
      </c>
      <c r="C8200" s="6">
        <v>1.0</v>
      </c>
      <c r="D8200" s="7" t="s">
        <v>14972</v>
      </c>
      <c r="E8200" s="8" t="str">
        <f>IFERROR(__xludf.DUMMYFUNCTION("googletranslate(D8200,""id"",""en"")"),"When PPKM there is a level of the numbers, Eeehh C * na enters a horde.")</f>
        <v>When PPKM there is a level of the numbers, Eeehh C * na enters a horde.</v>
      </c>
    </row>
    <row r="8201" ht="15.75" customHeight="1">
      <c r="A8201" s="2">
        <v>8204.0</v>
      </c>
      <c r="B8201" s="5" t="s">
        <v>14973</v>
      </c>
      <c r="C8201" s="6">
        <v>2.0</v>
      </c>
      <c r="D8201" s="9" t="s">
        <v>14974</v>
      </c>
      <c r="E8201" s="8" t="str">
        <f>IFERROR(__xludf.DUMMYFUNCTION("googletranslate(D8201,""id"",""en"")"),"August suddenly the virus vanished, ppkm no. After August PPKM again. The stupid is on the scene ...")</f>
        <v>August suddenly the virus vanished, ppkm no. After August PPKM again. The stupid is on the scene ...</v>
      </c>
    </row>
    <row r="8202" ht="15.75" customHeight="1">
      <c r="A8202" s="2">
        <v>8205.0</v>
      </c>
      <c r="B8202" s="5" t="s">
        <v>14975</v>
      </c>
      <c r="C8202" s="6">
        <v>2.0</v>
      </c>
      <c r="D8202" s="9" t="s">
        <v>14976</v>
      </c>
      <c r="E8202" s="8" t="str">
        <f>IFERROR(__xludf.DUMMYFUNCTION("googletranslate(D8202,""id"",""en"")"),"So missed the Gasabar LG Walopun online after being unemployed for a month off, but almost the month at home didang grgr ppkm")</f>
        <v>So missed the Gasabar LG Walopun online after being unemployed for a month off, but almost the month at home didang grgr ppkm</v>
      </c>
    </row>
    <row r="8203" ht="15.75" customHeight="1">
      <c r="A8203" s="2">
        <v>8206.0</v>
      </c>
      <c r="B8203" s="5" t="s">
        <v>14977</v>
      </c>
      <c r="C8203" s="6">
        <v>2.0</v>
      </c>
      <c r="D8203" s="7" t="s">
        <v>14978</v>
      </c>
      <c r="E8203" s="8" t="str">
        <f>IFERROR(__xludf.DUMMYFUNCTION("googletranslate(D8203,""id"",""en"")"),"At first want to invite missing eh ppkm again further lay down ... pledy")</f>
        <v>At first want to invite missing eh ppkm again further lay down ... pledy</v>
      </c>
    </row>
    <row r="8204" ht="15.75" customHeight="1">
      <c r="A8204" s="2">
        <v>8207.0</v>
      </c>
      <c r="B8204" s="5" t="s">
        <v>14979</v>
      </c>
      <c r="C8204" s="6">
        <v>2.0</v>
      </c>
      <c r="D8204" s="7" t="s">
        <v>14980</v>
      </c>
      <c r="E8204" s="8" t="str">
        <f>IFERROR(__xludf.DUMMYFUNCTION("googletranslate(D8204,""id"",""en"")"),"thn min ?? the new PPKM provisions?")</f>
        <v>thn min ?? the new PPKM provisions?</v>
      </c>
    </row>
    <row r="8205" ht="15.75" customHeight="1">
      <c r="A8205" s="2">
        <v>8208.0</v>
      </c>
      <c r="B8205" s="5" t="s">
        <v>14981</v>
      </c>
      <c r="C8205" s="6">
        <v>1.0</v>
      </c>
      <c r="D8205" s="7" t="s">
        <v>14982</v>
      </c>
      <c r="E8205" s="8" t="str">
        <f>IFERROR(__xludf.DUMMYFUNCTION("googletranslate(D8205,""id"",""en"")"),"waaah I just don't buy because it doesn't work since PPKM")</f>
        <v>waaah I just don't buy because it doesn't work since PPKM</v>
      </c>
    </row>
    <row r="8206" ht="15.75" customHeight="1">
      <c r="A8206" s="2">
        <v>8209.0</v>
      </c>
      <c r="B8206" s="5" t="s">
        <v>14983</v>
      </c>
      <c r="C8206" s="6">
        <v>1.0</v>
      </c>
      <c r="D8206" s="7" t="s">
        <v>14983</v>
      </c>
      <c r="E8206" s="8" t="str">
        <f>IFERROR(__xludf.DUMMYFUNCTION("googletranslate(D8206,""id"",""en"")"),"PPKM, the PPKM is only nertibin traders and entrepreneurs, but people in the housing are still on the gathering")</f>
        <v>PPKM, the PPKM is only nertibin traders and entrepreneurs, but people in the housing are still on the gathering</v>
      </c>
    </row>
    <row r="8207" ht="15.75" customHeight="1">
      <c r="A8207" s="2">
        <v>8210.0</v>
      </c>
      <c r="B8207" s="5" t="s">
        <v>14984</v>
      </c>
      <c r="C8207" s="6">
        <v>2.0</v>
      </c>
      <c r="D8207" s="7" t="s">
        <v>14984</v>
      </c>
      <c r="E8207" s="8" t="str">
        <f>IFERROR(__xludf.DUMMYFUNCTION("googletranslate(D8207,""id"",""en"")"),"Kobisa Yes News PPKM Extended Lose with Hastag JikiwimiMiminghibit")</f>
        <v>Kobisa Yes News PPKM Extended Lose with Hastag JikiwimiMiminghibit</v>
      </c>
    </row>
    <row r="8208" ht="15.75" customHeight="1">
      <c r="A8208" s="2">
        <v>8211.0</v>
      </c>
      <c r="B8208" s="5" t="s">
        <v>14985</v>
      </c>
      <c r="C8208" s="6">
        <v>2.0</v>
      </c>
      <c r="D8208" s="7" t="s">
        <v>14986</v>
      </c>
      <c r="E8208" s="8" t="str">
        <f>IFERROR(__xludf.DUMMYFUNCTION("googletranslate(D8208,""id"",""en"")"),"let's get the last PPKM August")</f>
        <v>let's get the last PPKM August</v>
      </c>
    </row>
    <row r="8209" ht="15.75" customHeight="1">
      <c r="A8209" s="2">
        <v>8212.0</v>
      </c>
      <c r="B8209" s="5" t="s">
        <v>14987</v>
      </c>
      <c r="C8209" s="6">
        <v>3.0</v>
      </c>
      <c r="D8209" s="7" t="s">
        <v>14988</v>
      </c>
      <c r="E8209" s="8" t="str">
        <f>IFERROR(__xludf.DUMMYFUNCTION("googletranslate(D8209,""id"",""en"")"),"Want to say the money is still a lot even though it's a pandemic, we're grateful if there are still Indonesian people can survive in this PPKM ... it's easy to help with deficiencies.")</f>
        <v>Want to say the money is still a lot even though it's a pandemic, we're grateful if there are still Indonesian people can survive in this PPKM ... it's easy to help with deficiencies.</v>
      </c>
    </row>
    <row r="8210" ht="15.75" customHeight="1">
      <c r="A8210" s="2">
        <v>8213.0</v>
      </c>
      <c r="B8210" s="5" t="s">
        <v>14989</v>
      </c>
      <c r="C8210" s="6">
        <v>2.0</v>
      </c>
      <c r="D8210" s="7" t="s">
        <v>14990</v>
      </c>
      <c r="E8210" s="8" t="str">
        <f>IFERROR(__xludf.DUMMYFUNCTION("googletranslate(D8210,""id"",""en"")"),"From the time of PPKM it was opened, NDER. Only now I have to use the evidence of the vaccine.")</f>
        <v>From the time of PPKM it was opened, NDER. Only now I have to use the evidence of the vaccine.</v>
      </c>
    </row>
    <row r="8211" ht="15.75" customHeight="1">
      <c r="A8211" s="2">
        <v>8214.0</v>
      </c>
      <c r="B8211" s="5" t="s">
        <v>14991</v>
      </c>
      <c r="C8211" s="6">
        <v>1.0</v>
      </c>
      <c r="D8211" s="7" t="s">
        <v>14991</v>
      </c>
      <c r="E8211" s="8" t="str">
        <f>IFERROR(__xludf.DUMMYFUNCTION("googletranslate(D8211,""id"",""en"")"),"Ppkm with shcdule order that wasweswos made a puyeng, dhlah")</f>
        <v>Ppkm with shcdule order that wasweswos made a puyeng, dhlah</v>
      </c>
    </row>
    <row r="8212" ht="15.75" customHeight="1">
      <c r="A8212" s="2">
        <v>8215.0</v>
      </c>
      <c r="B8212" s="5" t="s">
        <v>14992</v>
      </c>
      <c r="C8212" s="6">
        <v>1.0</v>
      </c>
      <c r="D8212" s="7" t="s">
        <v>14993</v>
      </c>
      <c r="E8212" s="8" t="str">
        <f>IFERROR(__xludf.DUMMYFUNCTION("googletranslate(D8212,""id"",""en"")"),"Lahu is only limited to SJ. Share gifts, cut ribbons, imaging. GK was able to take Covid command. Yes, it is proven, shoulding health needs for cheap people (PCR / Swab test equipment), the PPKM BLN is given only X bansos.")</f>
        <v>Lahu is only limited to SJ. Share gifts, cut ribbons, imaging. GK was able to take Covid command. Yes, it is proven, shoulding health needs for cheap people (PCR / Swab test equipment), the PPKM BLN is given only X bansos.</v>
      </c>
    </row>
    <row r="8213" ht="15.75" customHeight="1">
      <c r="A8213" s="2">
        <v>8216.0</v>
      </c>
      <c r="B8213" s="5" t="s">
        <v>14994</v>
      </c>
      <c r="C8213" s="6">
        <v>1.0</v>
      </c>
      <c r="D8213" s="7" t="s">
        <v>14995</v>
      </c>
      <c r="E8213" s="8" t="str">
        <f>IFERROR(__xludf.DUMMYFUNCTION("googletranslate(D8213,""id"",""en"")"),"PPKM instead Maen. it's already the people on kayak their lifes")</f>
        <v>PPKM instead Maen. it's already the people on kayak their lifes</v>
      </c>
    </row>
    <row r="8214" ht="15.75" customHeight="1">
      <c r="A8214" s="2">
        <v>8217.0</v>
      </c>
      <c r="B8214" s="5" t="s">
        <v>14996</v>
      </c>
      <c r="C8214" s="6">
        <v>2.0</v>
      </c>
      <c r="D8214" s="7" t="s">
        <v>14997</v>
      </c>
      <c r="E8214" s="8" t="str">
        <f>IFERROR(__xludf.DUMMYFUNCTION("googletranslate(D8214,""id"",""en"")"),"ppkm nnti dtngkp")</f>
        <v>ppkm nnti dtngkp</v>
      </c>
    </row>
    <row r="8215" ht="15.75" customHeight="1">
      <c r="A8215" s="2">
        <v>8218.0</v>
      </c>
      <c r="B8215" s="5" t="s">
        <v>14998</v>
      </c>
      <c r="C8215" s="6">
        <v>2.0</v>
      </c>
      <c r="D8215" s="7" t="s">
        <v>14998</v>
      </c>
      <c r="E8215" s="8" t="str">
        <f>IFERROR(__xludf.DUMMYFUNCTION("googletranslate(D8215,""id"",""en"")"),"It's already LDR, a strict parent child, when you want to meet PPKM, it's even been extended, hedehhhhhh, it's kissed by my boyfriend")</f>
        <v>It's already LDR, a strict parent child, when you want to meet PPKM, it's even been extended, hedehhhhhh, it's kissed by my boyfriend</v>
      </c>
    </row>
    <row r="8216" ht="15.75" customHeight="1">
      <c r="A8216" s="2">
        <v>8219.0</v>
      </c>
      <c r="B8216" s="5" t="s">
        <v>14999</v>
      </c>
      <c r="C8216" s="6">
        <v>1.0</v>
      </c>
      <c r="D8216" s="7" t="s">
        <v>15000</v>
      </c>
      <c r="E8216" s="8" t="str">
        <f>IFERROR(__xludf.DUMMYFUNCTION("googletranslate(D8216,""id"",""en"")"),"It's delicious, kmrin looks there are Northern Ireland PNS installing the status of crowded PPKM. Though their salary is smooth, yes: ')")</f>
        <v>It's delicious, kmrin looks there are Northern Ireland PNS installing the status of crowded PPKM. Though their salary is smooth, yes: ')</v>
      </c>
    </row>
    <row r="8217" ht="15.75" customHeight="1">
      <c r="A8217" s="2">
        <v>8220.0</v>
      </c>
      <c r="B8217" s="5" t="s">
        <v>15001</v>
      </c>
      <c r="C8217" s="6">
        <v>3.0</v>
      </c>
      <c r="D8217" s="7" t="s">
        <v>15002</v>
      </c>
      <c r="E8217" s="8" t="str">
        <f>IFERROR(__xludf.DUMMYFUNCTION("googletranslate(D8217,""id"",""en"")"),"PPKM is extended (again) Some people know even JAGO doing oline business, there are also Youtube, Tiktok, IG, Twitter accounts, etc. How about us?")</f>
        <v>PPKM is extended (again) Some people know even JAGO doing oline business, there are also Youtube, Tiktok, IG, Twitter accounts, etc. How about us?</v>
      </c>
    </row>
    <row r="8218" ht="15.75" customHeight="1">
      <c r="A8218" s="2">
        <v>8221.0</v>
      </c>
      <c r="B8218" s="5" t="s">
        <v>15003</v>
      </c>
      <c r="C8218" s="6">
        <v>1.0</v>
      </c>
      <c r="D8218" s="9" t="s">
        <v>15004</v>
      </c>
      <c r="E8218" s="8" t="str">
        <f>IFERROR(__xludf.DUMMYFUNCTION("googletranslate(D8218,""id"",""en"")"),"Woooi .... The PIK is still the North Jakarta area part of the NKRI instead of RRC Loe using the Reason for PPKM but Jokowi shares the grogol, pillars (TNI, Polri and Satpol) Ga Loe forbids, install the flag of people, grogol grogol more than people , The"&amp;" reason you don't make sense.")</f>
        <v>Woooi .... The PIK is still the North Jakarta area part of the NKRI instead of RRC Loe using the Reason for PPKM but Jokowi shares the grogol, pillars (TNI, Polri and Satpol) Ga Loe forbids, install the flag of people, grogol grogol more than people , The reason you don't make sense.</v>
      </c>
    </row>
    <row r="8219" ht="15.75" customHeight="1">
      <c r="A8219" s="2">
        <v>8222.0</v>
      </c>
      <c r="B8219" s="5" t="s">
        <v>15005</v>
      </c>
      <c r="C8219" s="6">
        <v>2.0</v>
      </c>
      <c r="D8219" s="9" t="s">
        <v>15006</v>
      </c>
      <c r="E8219" s="8" t="str">
        <f>IFERROR(__xludf.DUMMYFUNCTION("googletranslate(D8219,""id"",""en"")"),"If it's a pandemic, it's easy for singles, I don't have a boyfriend, but it's rarely found you, my ppkm, I can't, if you don't meet the default tar, it's just a crashing case")</f>
        <v>If it's a pandemic, it's easy for singles, I don't have a boyfriend, but it's rarely found you, my ppkm, I can't, if you don't meet the default tar, it's just a crashing case</v>
      </c>
    </row>
    <row r="8220" ht="15.75" customHeight="1">
      <c r="A8220" s="2">
        <v>8223.0</v>
      </c>
      <c r="B8220" s="5" t="s">
        <v>15007</v>
      </c>
      <c r="C8220" s="6">
        <v>2.0</v>
      </c>
      <c r="D8220" s="7" t="s">
        <v>15008</v>
      </c>
      <c r="E8220" s="8" t="str">
        <f>IFERROR(__xludf.DUMMYFUNCTION("googletranslate(D8220,""id"",""en"")"),"Wake up morning PPKM")</f>
        <v>Wake up morning PPKM</v>
      </c>
    </row>
    <row r="8221" ht="15.75" customHeight="1">
      <c r="A8221" s="2">
        <v>8224.0</v>
      </c>
      <c r="B8221" s="5" t="s">
        <v>15009</v>
      </c>
      <c r="C8221" s="6">
        <v>2.0</v>
      </c>
      <c r="D8221" s="7" t="s">
        <v>15010</v>
      </c>
      <c r="E8221" s="8" t="str">
        <f>IFERROR(__xludf.DUMMYFUNCTION("googletranslate(D8221,""id"",""en"")"),"The police haven't seen the toll entrance again? Fix PPKM is over")</f>
        <v>The police haven't seen the toll entrance again? Fix PPKM is over</v>
      </c>
    </row>
    <row r="8222" ht="15.75" customHeight="1">
      <c r="A8222" s="2">
        <v>8225.0</v>
      </c>
      <c r="B8222" s="5" t="s">
        <v>15011</v>
      </c>
      <c r="C8222" s="6">
        <v>1.0</v>
      </c>
      <c r="D8222" s="7" t="s">
        <v>15012</v>
      </c>
      <c r="E8222" s="8" t="str">
        <f>IFERROR(__xludf.DUMMYFUNCTION("googletranslate(D8222,""id"",""en"")"),"Initially PPKM extended successfully ...... long-time the position extended the period")</f>
        <v>Initially PPKM extended successfully ...... long-time the position extended the period</v>
      </c>
    </row>
    <row r="8223" ht="15.75" customHeight="1">
      <c r="A8223" s="2">
        <v>8226.0</v>
      </c>
      <c r="B8223" s="5" t="s">
        <v>15013</v>
      </c>
      <c r="C8223" s="6">
        <v>2.0</v>
      </c>
      <c r="D8223" s="7" t="s">
        <v>15014</v>
      </c>
      <c r="E8223" s="8" t="str">
        <f>IFERROR(__xludf.DUMMYFUNCTION("googletranslate(D8223,""id"",""en"")"),"Wah ppkm ends directly jogja gas just huh")</f>
        <v>Wah ppkm ends directly jogja gas just huh</v>
      </c>
    </row>
    <row r="8224" ht="15.75" customHeight="1">
      <c r="A8224" s="2">
        <v>8227.0</v>
      </c>
      <c r="B8224" s="5" t="s">
        <v>15015</v>
      </c>
      <c r="C8224" s="6">
        <v>1.0</v>
      </c>
      <c r="D8224" s="7" t="s">
        <v>15016</v>
      </c>
      <c r="E8224" s="8" t="str">
        <f>IFERROR(__xludf.DUMMYFUNCTION("googletranslate(D8224,""id"",""en"")"),"His dream was already taken away by the PPKM policy that was not exhausted. Punten")</f>
        <v>His dream was already taken away by the PPKM policy that was not exhausted. Punten</v>
      </c>
    </row>
    <row r="8225" ht="15.75" customHeight="1">
      <c r="A8225" s="2">
        <v>8228.0</v>
      </c>
      <c r="B8225" s="5" t="s">
        <v>15017</v>
      </c>
      <c r="C8225" s="6">
        <v>2.0</v>
      </c>
      <c r="D8225" s="7" t="s">
        <v>15018</v>
      </c>
      <c r="E8225" s="8" t="str">
        <f>IFERROR(__xludf.DUMMYFUNCTION("googletranslate(D8225,""id"",""en"")"),"Waah must be a party of Nihh! But PPKM.")</f>
        <v>Waah must be a party of Nihh! But PPKM.</v>
      </c>
    </row>
    <row r="8226" ht="15.75" customHeight="1">
      <c r="A8226" s="2">
        <v>8229.0</v>
      </c>
      <c r="B8226" s="5" t="s">
        <v>15019</v>
      </c>
      <c r="C8226" s="6">
        <v>2.0</v>
      </c>
      <c r="D8226" s="7" t="s">
        <v>15020</v>
      </c>
      <c r="E8226" s="8" t="str">
        <f>IFERROR(__xludf.DUMMYFUNCTION("googletranslate(D8226,""id"",""en"")"),"just extended ppkm, our chat period is not")</f>
        <v>just extended ppkm, our chat period is not</v>
      </c>
    </row>
    <row r="8227" ht="15.75" customHeight="1">
      <c r="A8227" s="2">
        <v>8230.0</v>
      </c>
      <c r="B8227" s="5" t="s">
        <v>15021</v>
      </c>
      <c r="C8227" s="6">
        <v>1.0</v>
      </c>
      <c r="D8227" s="7" t="s">
        <v>15022</v>
      </c>
      <c r="E8227" s="8" t="str">
        <f>IFERROR(__xludf.DUMMYFUNCTION("googletranslate(D8227,""id"",""en"")"),"Just until the PPKM")</f>
        <v>Just until the PPKM</v>
      </c>
    </row>
    <row r="8228" ht="15.75" customHeight="1">
      <c r="A8228" s="2">
        <v>8231.0</v>
      </c>
      <c r="B8228" s="5" t="s">
        <v>15023</v>
      </c>
      <c r="C8228" s="6">
        <v>1.0</v>
      </c>
      <c r="D8228" s="9" t="s">
        <v>15024</v>
      </c>
      <c r="E8228" s="8" t="str">
        <f>IFERROR(__xludf.DUMMYFUNCTION("googletranslate(D8228,""id"",""en"")"),"Indonesia currently has been paralyzed, sovereignty is decencable to awareness, the people are made suffering and dipakinin, imported Lela, domestic production collapsed. The wealth builds up a lot of steel factories ri even collaps.Tka entered every day "&amp;"no matter PPKM. Jancuk Tenan ...")</f>
        <v>Indonesia currently has been paralyzed, sovereignty is decencable to awareness, the people are made suffering and dipakinin, imported Lela, domestic production collapsed. The wealth builds up a lot of steel factories ri even collaps.Tka entered every day no matter PPKM. Jancuk Tenan ...</v>
      </c>
    </row>
    <row r="8229" ht="15.75" customHeight="1">
      <c r="A8229" s="2">
        <v>8232.0</v>
      </c>
      <c r="B8229" s="5" t="s">
        <v>15025</v>
      </c>
      <c r="C8229" s="6">
        <v>2.0</v>
      </c>
      <c r="D8229" s="7" t="s">
        <v>15026</v>
      </c>
      <c r="E8229" s="8" t="str">
        <f>IFERROR(__xludf.DUMMYFUNCTION("googletranslate(D8229,""id"",""en"")"),"yes actually is the normal regarding if the PPKM is extended. For the short PPCM.")</f>
        <v>yes actually is the normal regarding if the PPKM is extended. For the short PPCM.</v>
      </c>
    </row>
    <row r="8230" ht="15.75" customHeight="1">
      <c r="A8230" s="2">
        <v>8233.0</v>
      </c>
      <c r="B8230" s="5" t="s">
        <v>15027</v>
      </c>
      <c r="C8230" s="6">
        <v>1.0</v>
      </c>
      <c r="D8230" s="9" t="s">
        <v>15028</v>
      </c>
      <c r="E8230" s="8" t="str">
        <f>IFERROR(__xludf.DUMMYFUNCTION("googletranslate(D8230,""id"",""en"")"),"Used to ride a bicycle. Now it's hard because it sells the auction of the Corona sedan car. First our enemy war opponents Dutch. Now our enemy is against Covid Corona Virus. Merdeka ... Merdeka .... Hutri to.")</f>
        <v>Used to ride a bicycle. Now it's hard because it sells the auction of the Corona sedan car. First our enemy war opponents Dutch. Now our enemy is against Covid Corona Virus. Merdeka ... Merdeka .... Hutri to.</v>
      </c>
    </row>
    <row r="8231" ht="15.75" customHeight="1">
      <c r="A8231" s="2">
        <v>8234.0</v>
      </c>
      <c r="B8231" s="5" t="s">
        <v>15029</v>
      </c>
      <c r="C8231" s="6">
        <v>1.0</v>
      </c>
      <c r="D8231" s="7" t="s">
        <v>15030</v>
      </c>
      <c r="E8231" s="8" t="str">
        <f>IFERROR(__xludf.DUMMYFUNCTION("googletranslate(D8231,""id"",""en"")"),"Gegara PPKM, Tax Affairs Increases, Want to KPP WHEN CANNOT, TRUS CONSULTATION EH AR REFORMENT ... WANT TO COME TO KPP CANNOT FOR THE HOUSE THERE IS WFH ... truuuusssssss ... if the tax report is troubled later WP also get a fine ... tired ...")</f>
        <v>Gegara PPKM, Tax Affairs Increases, Want to KPP WHEN CANNOT, TRUS CONSULTATION EH AR REFORMENT ... WANT TO COME TO KPP CANNOT FOR THE HOUSE THERE IS WFH ... truuuusssssss ... if the tax report is troubled later WP also get a fine ... tired ...</v>
      </c>
    </row>
    <row r="8232" ht="15.75" customHeight="1">
      <c r="A8232" s="2">
        <v>8235.0</v>
      </c>
      <c r="B8232" s="5" t="s">
        <v>15031</v>
      </c>
      <c r="C8232" s="6">
        <v>2.0</v>
      </c>
      <c r="D8232" s="9" t="s">
        <v>15032</v>
      </c>
      <c r="E8232" s="8" t="str">
        <f>IFERROR(__xludf.DUMMYFUNCTION("googletranslate(D8232,""id"",""en"")"),"During the PPKM from the one who initially plng more quickly, I entered the work of a libeline a day of holidays, trs holiday weekend and weekday, and finally, the work is only hours doang.Lalu per day is normal full day LG $ Number $, lazy. God feels hea"&amp;"vy and long today")</f>
        <v>During the PPKM from the one who initially plng more quickly, I entered the work of a libeline a day of holidays, trs holiday weekend and weekday, and finally, the work is only hours doang.Lalu per day is normal full day LG $ Number $, lazy. God feels heavy and long today</v>
      </c>
    </row>
    <row r="8233" ht="15.75" customHeight="1">
      <c r="A8233" s="2">
        <v>8236.0</v>
      </c>
      <c r="B8233" s="5" t="s">
        <v>15033</v>
      </c>
      <c r="C8233" s="6">
        <v>1.0</v>
      </c>
      <c r="D8233" s="9" t="s">
        <v>15034</v>
      </c>
      <c r="E8233" s="8" t="str">
        <f>IFERROR(__xludf.DUMMYFUNCTION("googletranslate(D8233,""id"",""en"")"),"Severe Bener BRI Min ... Queue from WIB to take the CS queue number. The results cannot be the queue number ... the PPKM is limited to only number. To open the ATM PIN block, it is also strange after replacing the chip card, how come the old pin can not b"&amp;"e used, it will be blocked by an ATM pin.")</f>
        <v>Severe Bener BRI Min ... Queue from WIB to take the CS queue number. The results cannot be the queue number ... the PPKM is limited to only number. To open the ATM PIN block, it is also strange after replacing the chip card, how come the old pin can not be used, it will be blocked by an ATM pin.</v>
      </c>
    </row>
    <row r="8234" ht="15.75" customHeight="1">
      <c r="A8234" s="2">
        <v>8237.0</v>
      </c>
      <c r="B8234" s="5" t="s">
        <v>15035</v>
      </c>
      <c r="C8234" s="6">
        <v>2.0</v>
      </c>
      <c r="D8234" s="7" t="s">
        <v>15035</v>
      </c>
      <c r="E8234" s="8" t="str">
        <f>IFERROR(__xludf.DUMMYFUNCTION("googletranslate(D8234,""id"",""en"")"),"It should be in July or this month to meet, but instead PPKM, it will take back and forth before when")</f>
        <v>It should be in July or this month to meet, but instead PPKM, it will take back and forth before when</v>
      </c>
    </row>
    <row r="8235" ht="15.75" customHeight="1">
      <c r="A8235" s="2">
        <v>8238.0</v>
      </c>
      <c r="B8235" s="5" t="s">
        <v>15036</v>
      </c>
      <c r="C8235" s="6">
        <v>2.0</v>
      </c>
      <c r="D8235" s="9" t="s">
        <v>15037</v>
      </c>
      <c r="E8235" s="8" t="str">
        <f>IFERROR(__xludf.DUMMYFUNCTION("googletranslate(D8235,""id"",""en"")"),"I don't meet if it's fitting for PPKM, it usually just grabs each other")</f>
        <v>I don't meet if it's fitting for PPKM, it usually just grabs each other</v>
      </c>
    </row>
    <row r="8236" ht="15.75" customHeight="1">
      <c r="A8236" s="2">
        <v>8239.0</v>
      </c>
      <c r="B8236" s="5" t="s">
        <v>15038</v>
      </c>
      <c r="C8236" s="6">
        <v>2.0</v>
      </c>
      <c r="D8236" s="12" t="s">
        <v>15039</v>
      </c>
      <c r="E8236" s="8" t="str">
        <f>IFERROR(__xludf.DUMMYFUNCTION("googletranslate(D8236,""id"",""en"")"),"PPKM Mulu.")</f>
        <v>PPKM Mulu.</v>
      </c>
    </row>
    <row r="8237" ht="15.75" customHeight="1">
      <c r="A8237" s="2">
        <v>8240.0</v>
      </c>
      <c r="B8237" s="5" t="s">
        <v>15040</v>
      </c>
      <c r="C8237" s="6">
        <v>2.0</v>
      </c>
      <c r="D8237" s="7" t="s">
        <v>15041</v>
      </c>
      <c r="E8237" s="8" t="str">
        <f>IFERROR(__xludf.DUMMYFUNCTION("googletranslate(D8237,""id"",""en"")"),"I just look at the PPKM news extended again .........")</f>
        <v>I just look at the PPKM news extended again .........</v>
      </c>
    </row>
    <row r="8238" ht="15.75" customHeight="1">
      <c r="A8238" s="2">
        <v>8241.0</v>
      </c>
      <c r="B8238" s="5" t="s">
        <v>15042</v>
      </c>
      <c r="C8238" s="6">
        <v>2.0</v>
      </c>
      <c r="D8238" s="7" t="s">
        <v>15043</v>
      </c>
      <c r="E8238" s="8" t="str">
        <f>IFERROR(__xludf.DUMMYFUNCTION("googletranslate(D8238,""id"",""en"")"),"Ppkm jul so onlen")</f>
        <v>Ppkm jul so onlen</v>
      </c>
    </row>
    <row r="8239" ht="15.75" customHeight="1">
      <c r="A8239" s="2">
        <v>8242.0</v>
      </c>
      <c r="B8239" s="5" t="s">
        <v>15044</v>
      </c>
      <c r="C8239" s="6">
        <v>2.0</v>
      </c>
      <c r="D8239" s="7" t="s">
        <v>15045</v>
      </c>
      <c r="E8239" s="8" t="str">
        <f>IFERROR(__xludf.DUMMYFUNCTION("googletranslate(D8239,""id"",""en"")"),"Wow, it's bad, it's NDER EHEHE, say it is PPKM but the road is the same as another guy")</f>
        <v>Wow, it's bad, it's NDER EHEHE, say it is PPKM but the road is the same as another guy</v>
      </c>
    </row>
    <row r="8240" ht="15.75" customHeight="1">
      <c r="A8240" s="2">
        <v>8243.0</v>
      </c>
      <c r="B8240" s="5" t="s">
        <v>15046</v>
      </c>
      <c r="C8240" s="6">
        <v>2.0</v>
      </c>
      <c r="D8240" s="9" t="s">
        <v>15046</v>
      </c>
      <c r="E8240" s="8" t="str">
        <f>IFERROR(__xludf.DUMMYFUNCTION("googletranslate(D8240,""id"",""en"")"),"Northern Ireland civil servants if the ppkm gini salary is cut if it's huh?")</f>
        <v>Northern Ireland civil servants if the ppkm gini salary is cut if it's huh?</v>
      </c>
    </row>
    <row r="8241" ht="15.75" customHeight="1">
      <c r="A8241" s="2">
        <v>8244.0</v>
      </c>
      <c r="B8241" s="5" t="s">
        <v>15047</v>
      </c>
      <c r="C8241" s="6">
        <v>1.0</v>
      </c>
      <c r="D8241" s="9" t="s">
        <v>15048</v>
      </c>
      <c r="E8241" s="8" t="str">
        <f>IFERROR(__xludf.DUMMYFUNCTION("googletranslate(D8241,""id"",""en"")"),"Until when this pakm ppkm extended mulu ... the people spread the white flag how come it's still extended ... if all the government assistance is right on target, how come the people kg screams")</f>
        <v>Until when this pakm ppkm extended mulu ... the people spread the white flag how come it's still extended ... if all the government assistance is right on target, how come the people kg screams</v>
      </c>
    </row>
    <row r="8242" ht="15.75" customHeight="1">
      <c r="A8242" s="2">
        <v>8245.0</v>
      </c>
      <c r="B8242" s="5" t="s">
        <v>15049</v>
      </c>
      <c r="C8242" s="6">
        <v>1.0</v>
      </c>
      <c r="D8242" s="7" t="s">
        <v>15050</v>
      </c>
      <c r="E8242" s="8" t="str">
        <f>IFERROR(__xludf.DUMMYFUNCTION("googletranslate(D8242,""id"",""en"")"),"PPKM Extends $ NUCER $ YEAR LG")</f>
        <v>PPKM Extends $ NUCER $ YEAR LG</v>
      </c>
    </row>
    <row r="8243" ht="15.75" customHeight="1">
      <c r="A8243" s="2">
        <v>8246.0</v>
      </c>
      <c r="B8243" s="5" t="s">
        <v>15051</v>
      </c>
      <c r="C8243" s="6">
        <v>2.0</v>
      </c>
      <c r="D8243" s="7" t="s">
        <v>15051</v>
      </c>
      <c r="E8243" s="8" t="str">
        <f>IFERROR(__xludf.DUMMYFUNCTION("googletranslate(D8243,""id"",""en"")"),"Extended PPKM, not the message. let alone his feelings.")</f>
        <v>Extended PPKM, not the message. let alone his feelings.</v>
      </c>
    </row>
    <row r="8244" ht="15.75" customHeight="1">
      <c r="A8244" s="2">
        <v>8247.0</v>
      </c>
      <c r="B8244" s="5" t="s">
        <v>15052</v>
      </c>
      <c r="C8244" s="6">
        <v>1.0</v>
      </c>
      <c r="D8244" s="7" t="s">
        <v>15053</v>
      </c>
      <c r="E8244" s="8" t="str">
        <f>IFERROR(__xludf.DUMMYFUNCTION("googletranslate(D8244,""id"",""en"")"),"Apaji Sis, arrived at the pioneer of independence I saw BGituu's rame. What is PPKM?")</f>
        <v>Apaji Sis, arrived at the pioneer of independence I saw BGituu's rame. What is PPKM?</v>
      </c>
    </row>
    <row r="8245" ht="15.75" customHeight="1">
      <c r="A8245" s="2">
        <v>8248.0</v>
      </c>
      <c r="B8245" s="5" t="s">
        <v>15054</v>
      </c>
      <c r="C8245" s="6">
        <v>1.0</v>
      </c>
      <c r="D8245" s="7" t="s">
        <v>15055</v>
      </c>
      <c r="E8245" s="8" t="str">
        <f>IFERROR(__xludf.DUMMYFUNCTION("googletranslate(D8245,""id"",""en"")"),"PPKM Extends, the term of office is extended discourse, if it can be a long level of suffering.")</f>
        <v>PPKM Extends, the term of office is extended discourse, if it can be a long level of suffering.</v>
      </c>
    </row>
    <row r="8246" ht="15.75" customHeight="1">
      <c r="A8246" s="2">
        <v>8249.0</v>
      </c>
      <c r="B8246" s="5" t="s">
        <v>15056</v>
      </c>
      <c r="C8246" s="6">
        <v>2.0</v>
      </c>
      <c r="D8246" s="7" t="s">
        <v>15057</v>
      </c>
      <c r="E8246" s="8" t="str">
        <f>IFERROR(__xludf.DUMMYFUNCTION("googletranslate(D8246,""id"",""en"")"),"Don't have money since the PPKM continues to be extended because my tenant is at the mall until it can not be reopened later, it will be replied to this, right now onlen shop, sell it there. Anyways do you sell at the mall ?? So it's hard. Hemeh.")</f>
        <v>Don't have money since the PPKM continues to be extended because my tenant is at the mall until it can not be reopened later, it will be replied to this, right now onlen shop, sell it there. Anyways do you sell at the mall ?? So it's hard. Hemeh.</v>
      </c>
    </row>
    <row r="8247" ht="15.75" customHeight="1">
      <c r="A8247" s="2">
        <v>8250.0</v>
      </c>
      <c r="B8247" s="5" t="s">
        <v>15058</v>
      </c>
      <c r="C8247" s="6">
        <v>1.0</v>
      </c>
      <c r="D8247" s="7" t="s">
        <v>15058</v>
      </c>
      <c r="E8247" s="8" t="str">
        <f>IFERROR(__xludf.DUMMYFUNCTION("googletranslate(D8247,""id"",""en"")"),"PPKM extends Ajja Teruuussss until it disappears to miss.")</f>
        <v>PPKM extends Ajja Teruuussss until it disappears to miss.</v>
      </c>
    </row>
    <row r="8248" ht="15.75" customHeight="1">
      <c r="A8248" s="2">
        <v>8251.0</v>
      </c>
      <c r="B8248" s="5" t="s">
        <v>15059</v>
      </c>
      <c r="C8248" s="6">
        <v>1.0</v>
      </c>
      <c r="D8248" s="7" t="s">
        <v>15059</v>
      </c>
      <c r="E8248" s="8" t="str">
        <f>IFERROR(__xludf.DUMMYFUNCTION("googletranslate(D8248,""id"",""en"")"),"PPKM extended LG, Mimin Cafe BLM can open. Empang Milkeng Rawa Jg BLM JD Grand Opening. Hadah Gini lived in Wakanda Foreva.")</f>
        <v>PPKM extended LG, Mimin Cafe BLM can open. Empang Milkeng Rawa Jg BLM JD Grand Opening. Hadah Gini lived in Wakanda Foreva.</v>
      </c>
    </row>
    <row r="8249" ht="15.75" customHeight="1">
      <c r="A8249" s="2">
        <v>8252.0</v>
      </c>
      <c r="B8249" s="5" t="s">
        <v>15060</v>
      </c>
      <c r="C8249" s="6">
        <v>1.0</v>
      </c>
      <c r="D8249" s="7" t="s">
        <v>15061</v>
      </c>
      <c r="E8249" s="8" t="str">
        <f>IFERROR(__xludf.DUMMYFUNCTION("googletranslate(D8249,""id"",""en"")"),"Bullshit all the data is the same as the prident of the big zero, the MSME funds just dropped dramatically from SKRG only, it was only made X liquid, but the name and franchise and franchise were skrg and brthan")</f>
        <v>Bullshit all the data is the same as the prident of the big zero, the MSME funds just dropped dramatically from SKRG only, it was only made X liquid, but the name and franchise and franchise were skrg and brthan</v>
      </c>
    </row>
    <row r="8250" ht="15.75" customHeight="1">
      <c r="A8250" s="2">
        <v>8253.0</v>
      </c>
      <c r="B8250" s="5" t="s">
        <v>15062</v>
      </c>
      <c r="C8250" s="6">
        <v>2.0</v>
      </c>
      <c r="D8250" s="7" t="s">
        <v>15063</v>
      </c>
      <c r="E8250" s="8" t="str">
        <f>IFERROR(__xludf.DUMMYFUNCTION("googletranslate(D8250,""id"",""en"")"),"PPKM is extended again")</f>
        <v>PPKM is extended again</v>
      </c>
    </row>
    <row r="8251" ht="15.75" customHeight="1">
      <c r="A8251" s="2">
        <v>8254.0</v>
      </c>
      <c r="B8251" s="5" t="s">
        <v>15064</v>
      </c>
      <c r="C8251" s="6">
        <v>1.0</v>
      </c>
      <c r="D8251" s="7" t="s">
        <v>15065</v>
      </c>
      <c r="E8251" s="8" t="str">
        <f>IFERROR(__xludf.DUMMYFUNCTION("googletranslate(D8251,""id"",""en"")"),"Cebongs deserves to be beaten by restriction rules because of mukidi (PPKM) to mase from the pond so that the country is still there ...")</f>
        <v>Cebongs deserves to be beaten by restriction rules because of mukidi (PPKM) to mase from the pond so that the country is still there ...</v>
      </c>
    </row>
    <row r="8252" ht="15.75" customHeight="1">
      <c r="A8252" s="2">
        <v>8255.0</v>
      </c>
      <c r="B8252" s="5" t="s">
        <v>15066</v>
      </c>
      <c r="C8252" s="6">
        <v>2.0</v>
      </c>
      <c r="D8252" s="9" t="s">
        <v>15067</v>
      </c>
      <c r="E8252" s="8" t="str">
        <f>IFERROR(__xludf.DUMMYFUNCTION("googletranslate(D8252,""id"",""en"")"),"If it's just a ppkm, it's not extended again ..")</f>
        <v>If it's just a ppkm, it's not extended again ..</v>
      </c>
    </row>
    <row r="8253" ht="15.75" customHeight="1">
      <c r="A8253" s="2">
        <v>8256.0</v>
      </c>
      <c r="B8253" s="5" t="s">
        <v>15068</v>
      </c>
      <c r="C8253" s="6">
        <v>2.0</v>
      </c>
      <c r="D8253" s="7" t="s">
        <v>15069</v>
      </c>
      <c r="E8253" s="8" t="str">
        <f>IFERROR(__xludf.DUMMYFUNCTION("googletranslate(D8253,""id"",""en"")"),"That who blurred mostly org2 who worked for America ... Gosah was sad, so that America was responsible. Now continue sad PPKM extended.")</f>
        <v>That who blurred mostly org2 who worked for America ... Gosah was sad, so that America was responsible. Now continue sad PPKM extended.</v>
      </c>
    </row>
    <row r="8254" ht="15.75" customHeight="1">
      <c r="A8254" s="2">
        <v>8257.0</v>
      </c>
      <c r="B8254" s="5" t="s">
        <v>15070</v>
      </c>
      <c r="C8254" s="6">
        <v>1.0</v>
      </c>
      <c r="D8254" s="9" t="s">
        <v>15071</v>
      </c>
      <c r="E8254" s="8" t="str">
        <f>IFERROR(__xludf.DUMMYFUNCTION("googletranslate(D8254,""id"",""en"")"),"What is the meaning of the word pakstep if your community is still a lot to complain and Bibgung with things that are considered to be still floating YABG where there are still many of your people who feel curious with PPKM who have continuously in consta"&amp;"ntly without any efforts")</f>
        <v>What is the meaning of the word pakstep if your community is still a lot to complain and Bibgung with things that are considered to be still floating YABG where there are still many of your people who feel curious with PPKM who have continuously in constantly without any efforts</v>
      </c>
    </row>
    <row r="8255" ht="15.75" customHeight="1">
      <c r="A8255" s="2">
        <v>8258.0</v>
      </c>
      <c r="B8255" s="5" t="s">
        <v>15072</v>
      </c>
      <c r="C8255" s="6">
        <v>1.0</v>
      </c>
      <c r="D8255" s="9" t="s">
        <v>15073</v>
      </c>
      <c r="E8255" s="8" t="str">
        <f>IFERROR(__xludf.DUMMYFUNCTION("googletranslate(D8255,""id"",""en"")"),"After that, it was hit by PPKM stress, it couldn't think, it began to loose my brain again, so the imagination of Lakatat began to arrive. Ryuji Keknya Kak, because he forgot, Omi Salting, my kek was still remembering or conscious when kissing wkwkwkw")</f>
        <v>After that, it was hit by PPKM stress, it couldn't think, it began to loose my brain again, so the imagination of Lakatat began to arrive. Ryuji Keknya Kak, because he forgot, Omi Salting, my kek was still remembering or conscious when kissing wkwkwkw</v>
      </c>
    </row>
    <row r="8256" ht="15.75" customHeight="1">
      <c r="A8256" s="2">
        <v>8259.0</v>
      </c>
      <c r="B8256" s="5" t="s">
        <v>15074</v>
      </c>
      <c r="C8256" s="6">
        <v>1.0</v>
      </c>
      <c r="D8256" s="7" t="s">
        <v>15075</v>
      </c>
      <c r="E8256" s="8" t="str">
        <f>IFERROR(__xludf.DUMMYFUNCTION("googletranslate(D8256,""id"",""en"")"),"Indonesia, Sisean Debt, Kakean Rules for Garai Little Communities, Veries, Income, Mergo PPKM continues to be able to tone later")</f>
        <v>Indonesia, Sisean Debt, Kakean Rules for Garai Little Communities, Veries, Income, Mergo PPKM continues to be able to tone later</v>
      </c>
    </row>
    <row r="8257" ht="15.75" customHeight="1">
      <c r="A8257" s="2">
        <v>8260.0</v>
      </c>
      <c r="B8257" s="5" t="s">
        <v>15076</v>
      </c>
      <c r="C8257" s="6">
        <v>3.0</v>
      </c>
      <c r="D8257" s="7" t="s">
        <v>15077</v>
      </c>
      <c r="E8257" s="8" t="str">
        <f>IFERROR(__xludf.DUMMYFUNCTION("googletranslate(D8257,""id"",""en"")"),"Extended PPKM is not a reason to stop pursuing ideals. Not Trobos E.")</f>
        <v>Extended PPKM is not a reason to stop pursuing ideals. Not Trobos E.</v>
      </c>
    </row>
    <row r="8258" ht="15.75" customHeight="1">
      <c r="A8258" s="2">
        <v>8261.0</v>
      </c>
      <c r="B8258" s="5" t="s">
        <v>15078</v>
      </c>
      <c r="C8258" s="6">
        <v>2.0</v>
      </c>
      <c r="D8258" s="10" t="s">
        <v>10048</v>
      </c>
      <c r="E8258" s="8" t="str">
        <f>IFERROR(__xludf.DUMMYFUNCTION("googletranslate(D8258,""id"",""en"")"),"Kan PPKM.")</f>
        <v>Kan PPKM.</v>
      </c>
    </row>
    <row r="8259" ht="15.75" customHeight="1">
      <c r="A8259" s="2">
        <v>8262.0</v>
      </c>
      <c r="B8259" s="5" t="s">
        <v>15079</v>
      </c>
      <c r="C8259" s="6">
        <v>2.0</v>
      </c>
      <c r="D8259" s="7" t="s">
        <v>15079</v>
      </c>
      <c r="E8259" s="8" t="str">
        <f>IFERROR(__xludf.DUMMYFUNCTION("googletranslate(D8259,""id"",""en"")"),"Already bored inhin playing tp ppkm extended")</f>
        <v>Already bored inhin playing tp ppkm extended</v>
      </c>
    </row>
    <row r="8260" ht="15.75" customHeight="1">
      <c r="A8260" s="2">
        <v>8263.0</v>
      </c>
      <c r="B8260" s="5" t="s">
        <v>15080</v>
      </c>
      <c r="C8260" s="6">
        <v>1.0</v>
      </c>
      <c r="D8260" s="9" t="s">
        <v>15081</v>
      </c>
      <c r="E8260" s="8" t="str">
        <f>IFERROR(__xludf.DUMMYFUNCTION("googletranslate(D8260,""id"",""en"")"),"Benefits of PPKM for the People's Apasih ??? How come you extend it ...")</f>
        <v>Benefits of PPKM for the People's Apasih ??? How come you extend it ...</v>
      </c>
    </row>
    <row r="8261" ht="15.75" customHeight="1">
      <c r="A8261" s="2">
        <v>8264.0</v>
      </c>
      <c r="B8261" s="5" t="s">
        <v>15082</v>
      </c>
      <c r="C8261" s="6">
        <v>2.0</v>
      </c>
      <c r="D8261" s="7" t="s">
        <v>15082</v>
      </c>
      <c r="E8261" s="8" t="str">
        <f>IFERROR(__xludf.DUMMYFUNCTION("googletranslate(D8261,""id"",""en"")"),"PPKM extended this is delicious we are at home, Netflix n Chill, continue while booking")</f>
        <v>PPKM extended this is delicious we are at home, Netflix n Chill, continue while booking</v>
      </c>
    </row>
    <row r="8262" ht="15.75" customHeight="1">
      <c r="A8262" s="2">
        <v>8265.0</v>
      </c>
      <c r="B8262" s="5" t="s">
        <v>15083</v>
      </c>
      <c r="C8262" s="6">
        <v>2.0</v>
      </c>
      <c r="D8262" s="7" t="s">
        <v>15084</v>
      </c>
      <c r="E8262" s="8" t="str">
        <f>IFERROR(__xludf.DUMMYFUNCTION("googletranslate(D8262,""id"",""en"")"),"This seems to go interpotly during the PPKM")</f>
        <v>This seems to go interpotly during the PPKM</v>
      </c>
    </row>
    <row r="8263" ht="15.75" customHeight="1">
      <c r="A8263" s="2">
        <v>8266.0</v>
      </c>
      <c r="B8263" s="5" t="s">
        <v>15085</v>
      </c>
      <c r="C8263" s="6">
        <v>2.0</v>
      </c>
      <c r="D8263" s="7" t="s">
        <v>15085</v>
      </c>
      <c r="E8263" s="8" t="str">
        <f>IFERROR(__xludf.DUMMYFUNCTION("googletranslate(D8263,""id"",""en"")"),"ppkm extended until jamal can get a girlfriend aka me want to have a boyfriend")</f>
        <v>ppkm extended until jamal can get a girlfriend aka me want to have a boyfriend</v>
      </c>
    </row>
    <row r="8264" ht="15.75" customHeight="1">
      <c r="A8264" s="2">
        <v>8267.0</v>
      </c>
      <c r="B8264" s="5" t="s">
        <v>15086</v>
      </c>
      <c r="C8264" s="6">
        <v>1.0</v>
      </c>
      <c r="D8264" s="9" t="s">
        <v>15087</v>
      </c>
      <c r="E8264" s="8" t="str">
        <f>IFERROR(__xludf.DUMMYFUNCTION("googletranslate(D8264,""id"",""en"")"),"Mentang, the money has a lot of Lokdown. the money is contributed to the country of Wakanda for traders who can't sell")</f>
        <v>Mentang, the money has a lot of Lokdown. the money is contributed to the country of Wakanda for traders who can't sell</v>
      </c>
    </row>
    <row r="8265" ht="15.75" customHeight="1">
      <c r="A8265" s="2">
        <v>8268.0</v>
      </c>
      <c r="B8265" s="5" t="s">
        <v>15088</v>
      </c>
      <c r="C8265" s="6">
        <v>1.0</v>
      </c>
      <c r="D8265" s="7" t="s">
        <v>15089</v>
      </c>
      <c r="E8265" s="8" t="str">
        <f>IFERROR(__xludf.DUMMYFUNCTION("googletranslate(D8265,""id"",""en"")"),"Ready for you? Ppkm yr?")</f>
        <v>Ready for you? Ppkm yr?</v>
      </c>
    </row>
    <row r="8266" ht="15.75" customHeight="1">
      <c r="A8266" s="2">
        <v>8269.0</v>
      </c>
      <c r="B8266" s="5" t="s">
        <v>15090</v>
      </c>
      <c r="C8266" s="6">
        <v>2.0</v>
      </c>
      <c r="D8266" s="7" t="s">
        <v>15091</v>
      </c>
      <c r="E8266" s="8" t="str">
        <f>IFERROR(__xludf.DUMMYFUNCTION("googletranslate(D8266,""id"",""en"")"),"Want to write PPKM articles extended to what date. It seems like page one.cuman this contents that ...")</f>
        <v>Want to write PPKM articles extended to what date. It seems like page one.cuman this contents that ...</v>
      </c>
    </row>
    <row r="8267" ht="15.75" customHeight="1">
      <c r="A8267" s="2">
        <v>8270.0</v>
      </c>
      <c r="B8267" s="5" t="s">
        <v>15092</v>
      </c>
      <c r="C8267" s="6">
        <v>1.0</v>
      </c>
      <c r="D8267" s="7" t="s">
        <v>15093</v>
      </c>
      <c r="E8267" s="8" t="str">
        <f>IFERROR(__xludf.DUMMYFUNCTION("googletranslate(D8267,""id"",""en"")"),"Hopefully the ppkm can be dizzy, it doesn't work")</f>
        <v>Hopefully the ppkm can be dizzy, it doesn't work</v>
      </c>
    </row>
    <row r="8268" ht="15.75" customHeight="1">
      <c r="A8268" s="2">
        <v>8271.0</v>
      </c>
      <c r="B8268" s="5" t="s">
        <v>15094</v>
      </c>
      <c r="C8268" s="6">
        <v>2.0</v>
      </c>
      <c r="D8268" s="9" t="s">
        <v>15095</v>
      </c>
      <c r="E8268" s="8" t="str">
        <f>IFERROR(__xludf.DUMMYFUNCTION("googletranslate(D8268,""id"",""en"")"),"Good morning. Where is today? Still PPKM Loh.")</f>
        <v>Good morning. Where is today? Still PPKM Loh.</v>
      </c>
    </row>
    <row r="8269" ht="15.75" customHeight="1">
      <c r="A8269" s="2">
        <v>8272.0</v>
      </c>
      <c r="B8269" s="5" t="s">
        <v>15096</v>
      </c>
      <c r="C8269" s="6">
        <v>2.0</v>
      </c>
      <c r="D8269" s="7" t="s">
        <v>15097</v>
      </c>
      <c r="E8269" s="8" t="str">
        <f>IFERROR(__xludf.DUMMYFUNCTION("googletranslate(D8269,""id"",""en"")"),"Defending champions from the PPKM level period")</f>
        <v>Defending champions from the PPKM level period</v>
      </c>
    </row>
    <row r="8270" ht="15.75" customHeight="1">
      <c r="A8270" s="2">
        <v>8273.0</v>
      </c>
      <c r="B8270" s="5" t="s">
        <v>15098</v>
      </c>
      <c r="C8270" s="6">
        <v>1.0</v>
      </c>
      <c r="D8270" s="7" t="s">
        <v>15099</v>
      </c>
      <c r="E8270" s="8" t="str">
        <f>IFERROR(__xludf.DUMMYFUNCTION("googletranslate(D8270,""id"",""en"")"),"The reason is that PPKM, it can't get clustered, it's a PD Police TNI crowding.")</f>
        <v>The reason is that PPKM, it can't get clustered, it's a PD Police TNI crowding.</v>
      </c>
    </row>
    <row r="8271" ht="15.75" customHeight="1">
      <c r="A8271" s="2">
        <v>8274.0</v>
      </c>
      <c r="B8271" s="5" t="s">
        <v>15100</v>
      </c>
      <c r="C8271" s="6">
        <v>2.0</v>
      </c>
      <c r="D8271" s="7" t="s">
        <v>15101</v>
      </c>
      <c r="E8271" s="8" t="str">
        <f>IFERROR(__xludf.DUMMYFUNCTION("googletranslate(D8271,""id"",""en"")"),"Met PPKM friend")</f>
        <v>Met PPKM friend</v>
      </c>
    </row>
    <row r="8272" ht="15.75" customHeight="1">
      <c r="A8272" s="2">
        <v>8275.0</v>
      </c>
      <c r="B8272" s="5" t="s">
        <v>15102</v>
      </c>
      <c r="C8272" s="6">
        <v>2.0</v>
      </c>
      <c r="D8272" s="7" t="s">
        <v>15102</v>
      </c>
      <c r="E8272" s="8" t="str">
        <f>IFERROR(__xludf.DUMMYFUNCTION("googletranslate(D8272,""id"",""en"")"),"PPKM extended, then today get wfh again, even though Friday is the same Monday JG WFH. I know that it's going home to Magelang until today. Nyesel mah later.")</f>
        <v>PPKM extended, then today get wfh again, even though Friday is the same Monday JG WFH. I know that it's going home to Magelang until today. Nyesel mah later.</v>
      </c>
    </row>
    <row r="8273" ht="15.75" customHeight="1">
      <c r="A8273" s="2">
        <v>8276.0</v>
      </c>
      <c r="B8273" s="5" t="s">
        <v>15103</v>
      </c>
      <c r="C8273" s="6">
        <v>2.0</v>
      </c>
      <c r="D8273" s="9" t="s">
        <v>15104</v>
      </c>
      <c r="E8273" s="8" t="str">
        <f>IFERROR(__xludf.DUMMYFUNCTION("googletranslate(D8273,""id"",""en"")"),"If the ppkm is extended the moon again mah keknya otw setaun ghin wkwk setaun aasatan")</f>
        <v>If the ppkm is extended the moon again mah keknya otw setaun ghin wkwk setaun aasatan</v>
      </c>
    </row>
    <row r="8274" ht="15.75" customHeight="1">
      <c r="A8274" s="2">
        <v>8277.0</v>
      </c>
      <c r="B8274" s="5" t="s">
        <v>15105</v>
      </c>
      <c r="C8274" s="6">
        <v>2.0</v>
      </c>
      <c r="D8274" s="10" t="s">
        <v>15106</v>
      </c>
      <c r="E8274" s="8" t="str">
        <f>IFERROR(__xludf.DUMMYFUNCTION("googletranslate(D8274,""id"",""en"")"),"PPKM because.")</f>
        <v>PPKM because.</v>
      </c>
    </row>
    <row r="8275" ht="15.75" customHeight="1">
      <c r="A8275" s="2">
        <v>8278.0</v>
      </c>
      <c r="B8275" s="5" t="s">
        <v>15107</v>
      </c>
      <c r="C8275" s="6">
        <v>2.0</v>
      </c>
      <c r="D8275" s="9" t="s">
        <v>15108</v>
      </c>
      <c r="E8275" s="8" t="str">
        <f>IFERROR(__xludf.DUMMYFUNCTION("googletranslate(D8275,""id"",""en"")"),"Punten, During the PPKM there are already riding buses continue to find children passengers under the year or not? Maybe it's not if you bring the kids to take a bus skrg2?")</f>
        <v>Punten, During the PPKM there are already riding buses continue to find children passengers under the year or not? Maybe it's not if you bring the kids to take a bus skrg2?</v>
      </c>
    </row>
    <row r="8276" ht="15.75" customHeight="1">
      <c r="A8276" s="2">
        <v>8279.0</v>
      </c>
      <c r="B8276" s="5" t="s">
        <v>15109</v>
      </c>
      <c r="C8276" s="6">
        <v>2.0</v>
      </c>
      <c r="D8276" s="7" t="s">
        <v>15109</v>
      </c>
      <c r="E8276" s="8" t="str">
        <f>IFERROR(__xludf.DUMMYFUNCTION("googletranslate(D8276,""id"",""en"")"),"Since the PPKM Weekend tastes old yakrn not dijarepin and awaited, the activity tastes the same aje weekday.")</f>
        <v>Since the PPKM Weekend tastes old yakrn not dijarepin and awaited, the activity tastes the same aje weekday.</v>
      </c>
    </row>
    <row r="8277" ht="15.75" customHeight="1">
      <c r="A8277" s="2">
        <v>8280.0</v>
      </c>
      <c r="B8277" s="5" t="s">
        <v>15110</v>
      </c>
      <c r="C8277" s="6">
        <v>2.0</v>
      </c>
      <c r="D8277" s="7" t="s">
        <v>15110</v>
      </c>
      <c r="E8277" s="8" t="str">
        <f>IFERROR(__xludf.DUMMYFUNCTION("googletranslate(D8277,""id"",""en"")"),"PPKM extended continuously, when to meet my life ??")</f>
        <v>PPKM extended continuously, when to meet my life ??</v>
      </c>
    </row>
    <row r="8278" ht="15.75" customHeight="1">
      <c r="A8278" s="2">
        <v>8281.0</v>
      </c>
      <c r="B8278" s="5" t="s">
        <v>15111</v>
      </c>
      <c r="C8278" s="6">
        <v>1.0</v>
      </c>
      <c r="D8278" s="7" t="s">
        <v>15112</v>
      </c>
      <c r="E8278" s="8" t="str">
        <f>IFERROR(__xludf.DUMMYFUNCTION("googletranslate(D8278,""id"",""en"")"),"People are affected by PPKM, which is sono spree")</f>
        <v>People are affected by PPKM, which is sono spree</v>
      </c>
    </row>
    <row r="8279" ht="15.75" customHeight="1">
      <c r="A8279" s="2">
        <v>8282.0</v>
      </c>
      <c r="B8279" s="5" t="s">
        <v>15113</v>
      </c>
      <c r="C8279" s="6">
        <v>2.0</v>
      </c>
      <c r="D8279" s="9" t="s">
        <v>15114</v>
      </c>
      <c r="E8279" s="8" t="str">
        <f>IFERROR(__xludf.DUMMYFUNCTION("googletranslate(D8279,""id"",""en"")"),"Klo cm one, maybe it can be done eaten cat rice dl, after that drink ginger herbal medicine, after that just shake the jellyfish, giti lokcdown, just ppkm just, bs extended ...")</f>
        <v>Klo cm one, maybe it can be done eaten cat rice dl, after that drink ginger herbal medicine, after that just shake the jellyfish, giti lokcdown, just ppkm just, bs extended ...</v>
      </c>
    </row>
    <row r="8280" ht="15.75" customHeight="1">
      <c r="A8280" s="2">
        <v>8283.0</v>
      </c>
      <c r="B8280" s="5" t="s">
        <v>15115</v>
      </c>
      <c r="C8280" s="6">
        <v>2.0</v>
      </c>
      <c r="D8280" s="9" t="s">
        <v>15116</v>
      </c>
      <c r="E8280" s="8" t="str">
        <f>IFERROR(__xludf.DUMMYFUNCTION("googletranslate(D8280,""id"",""en"")"),"PPKM: Planga Plongo Less Moneybetul What Betull")</f>
        <v>PPKM: Planga Plongo Less Moneybetul What Betull</v>
      </c>
    </row>
    <row r="8281" ht="15.75" customHeight="1">
      <c r="A8281" s="2">
        <v>8284.0</v>
      </c>
      <c r="B8281" s="5" t="s">
        <v>15117</v>
      </c>
      <c r="C8281" s="6">
        <v>2.0</v>
      </c>
      <c r="D8281" s="7" t="s">
        <v>15118</v>
      </c>
      <c r="E8281" s="8" t="str">
        <f>IFERROR(__xludf.DUMMYFUNCTION("googletranslate(D8281,""id"",""en"")"),"Hehehe iyoo ppkm effect")</f>
        <v>Hehehe iyoo ppkm effect</v>
      </c>
    </row>
    <row r="8282" ht="15.75" customHeight="1">
      <c r="A8282" s="2">
        <v>8285.0</v>
      </c>
      <c r="B8282" s="5" t="s">
        <v>15119</v>
      </c>
      <c r="C8282" s="6">
        <v>2.0</v>
      </c>
      <c r="D8282" s="7" t="s">
        <v>15120</v>
      </c>
      <c r="E8282" s="8" t="str">
        <f>IFERROR(__xludf.DUMMYFUNCTION("googletranslate(D8282,""id"",""en"")"),"Every day opening for service hours during PPKM can try to ask directly at (0341)")</f>
        <v>Every day opening for service hours during PPKM can try to ask directly at (0341)</v>
      </c>
    </row>
    <row r="8283" ht="15.75" customHeight="1">
      <c r="A8283" s="2">
        <v>8286.0</v>
      </c>
      <c r="B8283" s="5" t="s">
        <v>15121</v>
      </c>
      <c r="C8283" s="6">
        <v>2.0</v>
      </c>
      <c r="D8283" s="7" t="s">
        <v>15122</v>
      </c>
      <c r="E8283" s="8" t="str">
        <f>IFERROR(__xludf.DUMMYFUNCTION("googletranslate(D8283,""id"",""en"")"),"Yes, of course. I don't have a PPKM impact. Yes, it's not sad.")</f>
        <v>Yes, of course. I don't have a PPKM impact. Yes, it's not sad.</v>
      </c>
    </row>
    <row r="8284" ht="15.75" customHeight="1">
      <c r="A8284" s="2">
        <v>8287.0</v>
      </c>
      <c r="B8284" s="5" t="s">
        <v>15123</v>
      </c>
      <c r="C8284" s="6">
        <v>1.0</v>
      </c>
      <c r="D8284" s="9" t="s">
        <v>15124</v>
      </c>
      <c r="E8284" s="8" t="str">
        <f>IFERROR(__xludf.DUMMYFUNCTION("googletranslate(D8284,""id"",""en"")"),"This is the way at beautiful corona. I don't even use the PPKM")</f>
        <v>This is the way at beautiful corona. I don't even use the PPKM</v>
      </c>
    </row>
    <row r="8285" ht="15.75" customHeight="1">
      <c r="A8285" s="2">
        <v>8288.0</v>
      </c>
      <c r="B8285" s="5" t="s">
        <v>15125</v>
      </c>
      <c r="C8285" s="6">
        <v>2.0</v>
      </c>
      <c r="D8285" s="7" t="s">
        <v>15126</v>
      </c>
      <c r="E8285" s="8" t="str">
        <f>IFERROR(__xludf.DUMMYFUNCTION("googletranslate(D8285,""id"",""en"")"),"Because of PPKM.")</f>
        <v>Because of PPKM.</v>
      </c>
    </row>
    <row r="8286" ht="15.75" customHeight="1">
      <c r="A8286" s="2">
        <v>8289.0</v>
      </c>
      <c r="B8286" s="5" t="s">
        <v>15127</v>
      </c>
      <c r="C8286" s="6">
        <v>2.0</v>
      </c>
      <c r="D8286" s="7" t="s">
        <v>15128</v>
      </c>
      <c r="E8286" s="8" t="str">
        <f>IFERROR(__xludf.DUMMYFUNCTION("googletranslate(D8286,""id"",""en"")"),"Ppkm extended again?")</f>
        <v>Ppkm extended again?</v>
      </c>
    </row>
    <row r="8287" ht="15.75" customHeight="1">
      <c r="A8287" s="2">
        <v>8290.0</v>
      </c>
      <c r="B8287" s="5" t="s">
        <v>15129</v>
      </c>
      <c r="C8287" s="6">
        <v>2.0</v>
      </c>
      <c r="D8287" s="7" t="s">
        <v>15129</v>
      </c>
      <c r="E8287" s="8" t="str">
        <f>IFERROR(__xludf.DUMMYFUNCTION("googletranslate(D8287,""id"",""en"")"),"WHY PPKM Only in Java and Bali")</f>
        <v>WHY PPKM Only in Java and Bali</v>
      </c>
    </row>
    <row r="8288" ht="15.75" customHeight="1">
      <c r="A8288" s="2">
        <v>8291.0</v>
      </c>
      <c r="B8288" s="5" t="s">
        <v>15130</v>
      </c>
      <c r="C8288" s="6">
        <v>2.0</v>
      </c>
      <c r="D8288" s="9" t="s">
        <v>15131</v>
      </c>
      <c r="E8288" s="8" t="str">
        <f>IFERROR(__xludf.DUMMYFUNCTION("googletranslate(D8288,""id"",""en"")"),"The government is not happy and satisfied with the economy that has returned. Don't forget, the third quarter is accompanied by Emergency PPKM and PPKM Level.")</f>
        <v>The government is not happy and satisfied with the economy that has returned. Don't forget, the third quarter is accompanied by Emergency PPKM and PPKM Level.</v>
      </c>
    </row>
    <row r="8289" ht="15.75" customHeight="1">
      <c r="A8289" s="2">
        <v>8292.0</v>
      </c>
      <c r="B8289" s="5" t="s">
        <v>15132</v>
      </c>
      <c r="C8289" s="6">
        <v>2.0</v>
      </c>
      <c r="D8289" s="9" t="s">
        <v>15132</v>
      </c>
      <c r="E8289" s="8" t="str">
        <f>IFERROR(__xludf.DUMMYFUNCTION("googletranslate(D8289,""id"",""en"")"),"This wakes up time during the PPKM")</f>
        <v>This wakes up time during the PPKM</v>
      </c>
    </row>
    <row r="8290" ht="15.75" customHeight="1">
      <c r="A8290" s="2">
        <v>8293.0</v>
      </c>
      <c r="B8290" s="5" t="s">
        <v>15133</v>
      </c>
      <c r="C8290" s="6">
        <v>1.0</v>
      </c>
      <c r="D8290" s="7" t="s">
        <v>15134</v>
      </c>
      <c r="E8290" s="8" t="str">
        <f>IFERROR(__xludf.DUMMYFUNCTION("googletranslate(D8290,""id"",""en"")"),"Ppkm = police lack of eating")</f>
        <v>Ppkm = police lack of eating</v>
      </c>
    </row>
    <row r="8291" ht="15.75" customHeight="1">
      <c r="A8291" s="2">
        <v>8294.0</v>
      </c>
      <c r="B8291" s="5" t="s">
        <v>15135</v>
      </c>
      <c r="C8291" s="6">
        <v>2.0</v>
      </c>
      <c r="D8291" s="7" t="s">
        <v>15135</v>
      </c>
      <c r="E8291" s="8" t="str">
        <f>IFERROR(__xludf.DUMMYFUNCTION("googletranslate(D8291,""id"",""en"")"),"PPKM actually a year. Just ask for a week-a week")</f>
        <v>PPKM actually a year. Just ask for a week-a week</v>
      </c>
    </row>
    <row r="8292" ht="15.75" customHeight="1">
      <c r="A8292" s="2">
        <v>8295.0</v>
      </c>
      <c r="B8292" s="5" t="s">
        <v>15136</v>
      </c>
      <c r="C8292" s="6">
        <v>2.0</v>
      </c>
      <c r="D8292" s="9" t="s">
        <v>15137</v>
      </c>
      <c r="E8292" s="8" t="str">
        <f>IFERROR(__xludf.DUMMYFUNCTION("googletranslate(D8292,""id"",""en"")"),"Mentai roll first means. finished ppkm new sashimi")</f>
        <v>Mentai roll first means. finished ppkm new sashimi</v>
      </c>
    </row>
    <row r="8293" ht="15.75" customHeight="1">
      <c r="A8293" s="2">
        <v>8296.0</v>
      </c>
      <c r="B8293" s="5" t="s">
        <v>15138</v>
      </c>
      <c r="C8293" s="6">
        <v>1.0</v>
      </c>
      <c r="D8293" s="7" t="s">
        <v>15139</v>
      </c>
      <c r="E8293" s="8" t="str">
        <f>IFERROR(__xludf.DUMMYFUNCTION("googletranslate(D8293,""id"",""en"")"),"It seems like there is a PPKM continuing, so it's been a long time ago")</f>
        <v>It seems like there is a PPKM continuing, so it's been a long time ago</v>
      </c>
    </row>
    <row r="8294" ht="15.75" customHeight="1">
      <c r="A8294" s="2">
        <v>8297.0</v>
      </c>
      <c r="B8294" s="5" t="s">
        <v>15140</v>
      </c>
      <c r="C8294" s="6">
        <v>2.0</v>
      </c>
      <c r="D8294" s="7" t="s">
        <v>15141</v>
      </c>
      <c r="E8294" s="8" t="str">
        <f>IFERROR(__xludf.DUMMYFUNCTION("googletranslate(D8294,""id"",""en"")"),"As a result of PPKM layered ...Asalamualaikum remains a spirit")</f>
        <v>As a result of PPKM layered ...Asalamualaikum remains a spirit</v>
      </c>
    </row>
    <row r="8295" ht="15.75" customHeight="1">
      <c r="A8295" s="2">
        <v>8298.0</v>
      </c>
      <c r="B8295" s="5" t="s">
        <v>15142</v>
      </c>
      <c r="C8295" s="6">
        <v>1.0</v>
      </c>
      <c r="D8295" s="7" t="s">
        <v>15143</v>
      </c>
      <c r="E8295" s="8" t="str">
        <f>IFERROR(__xludf.DUMMYFUNCTION("googletranslate(D8295,""id"",""en"")"),"The ppkmical edition of human rules must be obeyed and the rule of God is indifferent, who is actually what we worship ...")</f>
        <v>The ppkmical edition of human rules must be obeyed and the rule of God is indifferent, who is actually what we worship ...</v>
      </c>
    </row>
    <row r="8296" ht="15.75" customHeight="1">
      <c r="A8296" s="2">
        <v>8299.0</v>
      </c>
      <c r="B8296" s="5" t="s">
        <v>15144</v>
      </c>
      <c r="C8296" s="6">
        <v>3.0</v>
      </c>
      <c r="D8296" s="7" t="s">
        <v>15145</v>
      </c>
      <c r="E8296" s="8" t="str">
        <f>IFERROR(__xludf.DUMMYFUNCTION("googletranslate(D8296,""id"",""en"")"),"I can go through the decisive period and PPKM. And hopefully Indonesia will recover.")</f>
        <v>I can go through the decisive period and PPKM. And hopefully Indonesia will recover.</v>
      </c>
    </row>
    <row r="8297" ht="15.75" customHeight="1">
      <c r="A8297" s="2">
        <v>8300.0</v>
      </c>
      <c r="B8297" s="5" t="s">
        <v>15146</v>
      </c>
      <c r="C8297" s="6">
        <v>2.0</v>
      </c>
      <c r="D8297" s="7" t="s">
        <v>15147</v>
      </c>
      <c r="E8297" s="8" t="str">
        <f>IFERROR(__xludf.DUMMYFUNCTION("googletranslate(D8297,""id"",""en"")"),"Extended PPKM GRGM, the Covid level rises")</f>
        <v>Extended PPKM GRGM, the Covid level rises</v>
      </c>
    </row>
    <row r="8298" ht="15.75" customHeight="1">
      <c r="A8298" s="2">
        <v>8301.0</v>
      </c>
      <c r="B8298" s="5" t="s">
        <v>15148</v>
      </c>
      <c r="C8298" s="6">
        <v>2.0</v>
      </c>
      <c r="D8298" s="7" t="s">
        <v>15149</v>
      </c>
      <c r="E8298" s="8" t="str">
        <f>IFERROR(__xludf.DUMMYFUNCTION("googletranslate(D8298,""id"",""en"")"),"that's true? still still PPKM")</f>
        <v>that's true? still still PPKM</v>
      </c>
    </row>
    <row r="8299" ht="15.75" customHeight="1">
      <c r="A8299" s="2">
        <v>8302.0</v>
      </c>
      <c r="B8299" s="5" t="s">
        <v>15150</v>
      </c>
      <c r="C8299" s="6">
        <v>1.0</v>
      </c>
      <c r="D8299" s="9" t="s">
        <v>15151</v>
      </c>
      <c r="E8299" s="8" t="str">
        <f>IFERROR(__xludf.DUMMYFUNCTION("googletranslate(D8299,""id"",""en"")"),"Ohh Technical, PPKM Make a Ganjick Instual System? Virus Will Choose Lu Number Plate? Pretty at night (yes, if it has been gone this rule is totally fucked up). vaccines are subject to all conditions for ngapa2in (eating, to this place, etc.)")</f>
        <v>Ohh Technical, PPKM Make a Ganjick Instual System? Virus Will Choose Lu Number Plate? Pretty at night (yes, if it has been gone this rule is totally fucked up). vaccines are subject to all conditions for ngapa2in (eating, to this place, etc.)</v>
      </c>
    </row>
    <row r="8300" ht="15.75" customHeight="1">
      <c r="A8300" s="2">
        <v>8303.0</v>
      </c>
      <c r="B8300" s="5" t="s">
        <v>15152</v>
      </c>
      <c r="C8300" s="6">
        <v>2.0</v>
      </c>
      <c r="D8300" s="9" t="s">
        <v>15153</v>
      </c>
      <c r="E8300" s="8" t="str">
        <f>IFERROR(__xludf.DUMMYFUNCTION("googletranslate(D8300,""id"",""en"")"),"PPKM Mulu, when can the virtual one can meet?")</f>
        <v>PPKM Mulu, when can the virtual one can meet?</v>
      </c>
    </row>
    <row r="8301" ht="15.75" customHeight="1">
      <c r="A8301" s="2">
        <v>8304.0</v>
      </c>
      <c r="B8301" s="5" t="s">
        <v>15154</v>
      </c>
      <c r="C8301" s="6">
        <v>3.0</v>
      </c>
      <c r="D8301" s="9" t="s">
        <v>15155</v>
      </c>
      <c r="E8301" s="8" t="str">
        <f>IFERROR(__xludf.DUMMYFUNCTION("googletranslate(D8301,""id"",""en"")"),"be patient, don't complain about PPKM huhuhu")</f>
        <v>be patient, don't complain about PPKM huhuhu</v>
      </c>
    </row>
    <row r="8302" ht="15.75" customHeight="1">
      <c r="A8302" s="2">
        <v>8305.0</v>
      </c>
      <c r="B8302" s="5" t="s">
        <v>15156</v>
      </c>
      <c r="C8302" s="6">
        <v>2.0</v>
      </c>
      <c r="D8302" s="7" t="s">
        <v>15157</v>
      </c>
      <c r="E8302" s="8" t="str">
        <f>IFERROR(__xludf.DUMMYFUNCTION("googletranslate(D8302,""id"",""en"")"),"At that time he wanted to go back to his house. Then his parents were worried that he took a motorbike alone, because at that time PPKM.Trs his mother told him to use a travel or rent a car + personal driver.")</f>
        <v>At that time he wanted to go back to his house. Then his parents were worried that he took a motorbike alone, because at that time PPKM.Trs his mother told him to use a travel or rent a car + personal driver.</v>
      </c>
    </row>
    <row r="8303" ht="15.75" customHeight="1">
      <c r="A8303" s="2">
        <v>8306.0</v>
      </c>
      <c r="B8303" s="5" t="s">
        <v>15158</v>
      </c>
      <c r="C8303" s="6">
        <v>2.0</v>
      </c>
      <c r="D8303" s="7" t="s">
        <v>15159</v>
      </c>
      <c r="E8303" s="8" t="str">
        <f>IFERROR(__xludf.DUMMYFUNCTION("googletranslate(D8303,""id"",""en"")"),"Ngakak until the PPKM extended again")</f>
        <v>Ngakak until the PPKM extended again</v>
      </c>
    </row>
    <row r="8304" ht="15.75" customHeight="1">
      <c r="A8304" s="2">
        <v>8307.0</v>
      </c>
      <c r="B8304" s="5" t="s">
        <v>15160</v>
      </c>
      <c r="C8304" s="6">
        <v>2.0</v>
      </c>
      <c r="D8304" s="7" t="s">
        <v>15161</v>
      </c>
      <c r="E8304" s="8" t="str">
        <f>IFERROR(__xludf.DUMMYFUNCTION("googletranslate(D8304,""id"",""en"")"),"PPKM or PSBB? Free")</f>
        <v>PPKM or PSBB? Free</v>
      </c>
    </row>
    <row r="8305" ht="15.75" customHeight="1">
      <c r="A8305" s="2">
        <v>8308.0</v>
      </c>
      <c r="B8305" s="5" t="s">
        <v>15162</v>
      </c>
      <c r="C8305" s="6">
        <v>1.0</v>
      </c>
      <c r="D8305" s="9" t="s">
        <v>15162</v>
      </c>
      <c r="E8305" s="8" t="str">
        <f>IFERROR(__xludf.DUMMYFUNCTION("googletranslate(D8305,""id"",""en"")"),"ppkm extended trs deh. My clothes are still in Bandung, I don't work")</f>
        <v>ppkm extended trs deh. My clothes are still in Bandung, I don't work</v>
      </c>
    </row>
    <row r="8306" ht="15.75" customHeight="1">
      <c r="A8306" s="2">
        <v>8309.0</v>
      </c>
      <c r="B8306" s="5" t="s">
        <v>15163</v>
      </c>
      <c r="C8306" s="6">
        <v>2.0</v>
      </c>
      <c r="D8306" s="7" t="s">
        <v>15164</v>
      </c>
      <c r="E8306" s="8" t="str">
        <f>IFERROR(__xludf.DUMMYFUNCTION("googletranslate(D8306,""id"",""en"")"),"Thankful for the ppkm still bs muter2")</f>
        <v>Thankful for the ppkm still bs muter2</v>
      </c>
    </row>
    <row r="8307" ht="15.75" customHeight="1">
      <c r="A8307" s="2">
        <v>8310.0</v>
      </c>
      <c r="B8307" s="5" t="s">
        <v>15165</v>
      </c>
      <c r="C8307" s="6">
        <v>2.0</v>
      </c>
      <c r="D8307" s="9" t="s">
        <v>15166</v>
      </c>
      <c r="E8307" s="8" t="str">
        <f>IFERROR(__xludf.DUMMYFUNCTION("googletranslate(D8307,""id"",""en"")"),"Original is happy, this is when the PPKM tried even though I have a list out")</f>
        <v>Original is happy, this is when the PPKM tried even though I have a list out</v>
      </c>
    </row>
    <row r="8308" ht="15.75" customHeight="1">
      <c r="A8308" s="2">
        <v>8311.0</v>
      </c>
      <c r="B8308" s="5" t="s">
        <v>15167</v>
      </c>
      <c r="C8308" s="6">
        <v>2.0</v>
      </c>
      <c r="D8308" s="10" t="s">
        <v>15168</v>
      </c>
      <c r="E8308" s="8" t="str">
        <f>IFERROR(__xludf.DUMMYFUNCTION("googletranslate(D8308,""id"",""en"")"),"PPKM day")</f>
        <v>PPKM day</v>
      </c>
    </row>
    <row r="8309" ht="15.75" customHeight="1">
      <c r="A8309" s="2">
        <v>8312.0</v>
      </c>
      <c r="B8309" s="5" t="s">
        <v>15169</v>
      </c>
      <c r="C8309" s="6">
        <v>2.0</v>
      </c>
      <c r="D8309" s="9" t="s">
        <v>15169</v>
      </c>
      <c r="E8309" s="8" t="str">
        <f>IFERROR(__xludf.DUMMYFUNCTION("googletranslate(D8309,""id"",""en"")"),"LG PPKM Gini Salon Open No Bald")</f>
        <v>LG PPKM Gini Salon Open No Bald</v>
      </c>
    </row>
    <row r="8310" ht="15.75" customHeight="1">
      <c r="A8310" s="2">
        <v>8313.0</v>
      </c>
      <c r="B8310" s="5" t="s">
        <v>15170</v>
      </c>
      <c r="C8310" s="6">
        <v>3.0</v>
      </c>
      <c r="D8310" s="7" t="s">
        <v>15171</v>
      </c>
      <c r="E8310" s="8" t="str">
        <f>IFERROR(__xludf.DUMMYFUNCTION("googletranslate(D8310,""id"",""en"")"),"There are still many nder, but he said I see in the rs of the hospital, it has also been a lot of lonely aka Gegara PPKM, the case is the case, thank God.")</f>
        <v>There are still many nder, but he said I see in the rs of the hospital, it has also been a lot of lonely aka Gegara PPKM, the case is the case, thank God.</v>
      </c>
    </row>
    <row r="8311" ht="15.75" customHeight="1">
      <c r="A8311" s="2">
        <v>8314.0</v>
      </c>
      <c r="B8311" s="5" t="s">
        <v>15172</v>
      </c>
      <c r="C8311" s="6">
        <v>1.0</v>
      </c>
      <c r="D8311" s="7" t="s">
        <v>15173</v>
      </c>
      <c r="E8311" s="8" t="str">
        <f>IFERROR(__xludf.DUMMYFUNCTION("googletranslate(D8311,""id"",""en"")"),"Pandemic hurry up, I want an internship, it's hard to get it received during the PPKM")</f>
        <v>Pandemic hurry up, I want an internship, it's hard to get it received during the PPKM</v>
      </c>
    </row>
    <row r="8312" ht="15.75" customHeight="1">
      <c r="A8312" s="2">
        <v>8315.0</v>
      </c>
      <c r="B8312" s="5" t="s">
        <v>15174</v>
      </c>
      <c r="C8312" s="6">
        <v>1.0</v>
      </c>
      <c r="D8312" s="7" t="s">
        <v>15175</v>
      </c>
      <c r="E8312" s="8" t="str">
        <f>IFERROR(__xludf.DUMMYFUNCTION("googletranslate(D8312,""id"",""en"")"),"Unemployment increases, there is a PPKM")</f>
        <v>Unemployment increases, there is a PPKM</v>
      </c>
    </row>
    <row r="8313" ht="15.75" customHeight="1">
      <c r="A8313" s="2">
        <v>8316.0</v>
      </c>
      <c r="B8313" s="5" t="s">
        <v>15176</v>
      </c>
      <c r="C8313" s="6">
        <v>1.0</v>
      </c>
      <c r="D8313" s="9" t="s">
        <v>15177</v>
      </c>
      <c r="E8313" s="8" t="str">
        <f>IFERROR(__xludf.DUMMYFUNCTION("googletranslate(D8313,""id"",""en"")"),"I was happy to make the rules he broke himself that Sir, PPKM was extended without the solution eh he was for the conditioned area")</f>
        <v>I was happy to make the rules he broke himself that Sir, PPKM was extended without the solution eh he was for the conditioned area</v>
      </c>
    </row>
    <row r="8314" ht="15.75" customHeight="1">
      <c r="A8314" s="2">
        <v>8317.0</v>
      </c>
      <c r="B8314" s="5" t="s">
        <v>15178</v>
      </c>
      <c r="C8314" s="6">
        <v>1.0</v>
      </c>
      <c r="D8314" s="7" t="s">
        <v>15179</v>
      </c>
      <c r="E8314" s="8" t="str">
        <f>IFERROR(__xludf.DUMMYFUNCTION("googletranslate(D8314,""id"",""en"")"),"Spicy lovers to level-levelan, but not lovers of PPKM who are irregular level")</f>
        <v>Spicy lovers to level-levelan, but not lovers of PPKM who are irregular level</v>
      </c>
    </row>
    <row r="8315" ht="15.75" customHeight="1">
      <c r="A8315" s="2">
        <v>8318.0</v>
      </c>
      <c r="B8315" s="5" t="s">
        <v>15180</v>
      </c>
      <c r="C8315" s="6">
        <v>2.0</v>
      </c>
      <c r="D8315" s="7" t="s">
        <v>15181</v>
      </c>
      <c r="E8315" s="8" t="str">
        <f>IFERROR(__xludf.DUMMYFUNCTION("googletranslate(D8315,""id"",""en"")"),"the ppkm is celeesainy when?")</f>
        <v>the ppkm is celeesainy when?</v>
      </c>
    </row>
    <row r="8316" ht="15.75" customHeight="1">
      <c r="A8316" s="2">
        <v>8319.0</v>
      </c>
      <c r="B8316" s="5" t="s">
        <v>15182</v>
      </c>
      <c r="C8316" s="6">
        <v>1.0</v>
      </c>
      <c r="D8316" s="7" t="s">
        <v>15182</v>
      </c>
      <c r="E8316" s="8" t="str">
        <f>IFERROR(__xludf.DUMMYFUNCTION("googletranslate(D8316,""id"",""en"")"),"PPKM Makes Sleep Schedule So Kacoooo")</f>
        <v>PPKM Makes Sleep Schedule So Kacoooo</v>
      </c>
    </row>
    <row r="8317" ht="15.75" customHeight="1">
      <c r="A8317" s="2">
        <v>8320.0</v>
      </c>
      <c r="B8317" s="5" t="s">
        <v>15183</v>
      </c>
      <c r="C8317" s="6">
        <v>1.0</v>
      </c>
      <c r="D8317" s="7" t="s">
        <v>15184</v>
      </c>
      <c r="E8317" s="8" t="str">
        <f>IFERROR(__xludf.DUMMYFUNCTION("googletranslate(D8317,""id"",""en"")"),"DiWakanda, which uses a mask so that it seems to be a dangerous covid, even though he is afraid of being feared by Alsan PPKM")</f>
        <v>DiWakanda, which uses a mask so that it seems to be a dangerous covid, even though he is afraid of being feared by Alsan PPKM</v>
      </c>
    </row>
    <row r="8318" ht="15.75" customHeight="1">
      <c r="A8318" s="2">
        <v>8321.0</v>
      </c>
      <c r="B8318" s="5" t="s">
        <v>15185</v>
      </c>
      <c r="C8318" s="6">
        <v>1.0</v>
      </c>
      <c r="D8318" s="9" t="s">
        <v>15186</v>
      </c>
      <c r="E8318" s="8" t="str">
        <f>IFERROR(__xludf.DUMMYFUNCTION("googletranslate(D8318,""id"",""en"")"),"In the past, you hate a demo of volumes, now, enjoy the ppkm of volumes.")</f>
        <v>In the past, you hate a demo of volumes, now, enjoy the ppkm of volumes.</v>
      </c>
    </row>
    <row r="8319" ht="15.75" customHeight="1">
      <c r="A8319" s="2">
        <v>8322.0</v>
      </c>
      <c r="B8319" s="5" t="s">
        <v>15187</v>
      </c>
      <c r="C8319" s="6">
        <v>2.0</v>
      </c>
      <c r="D8319" s="9" t="s">
        <v>15188</v>
      </c>
      <c r="E8319" s="8" t="str">
        <f>IFERROR(__xludf.DUMMYFUNCTION("googletranslate(D8319,""id"",""en"")"),"There are those who are worried if Thaliban successfully manages his country becomes fair prosperous can motivate other countries to follow in his footsteps. Welcome to the CPKM continuously continuous SHG You can't demo.")</f>
        <v>There are those who are worried if Thaliban successfully manages his country becomes fair prosperous can motivate other countries to follow in his footsteps. Welcome to the CPKM continuously continuous SHG You can't demo.</v>
      </c>
    </row>
    <row r="8320" ht="15.75" customHeight="1">
      <c r="A8320" s="2">
        <v>8323.0</v>
      </c>
      <c r="B8320" s="5" t="s">
        <v>15189</v>
      </c>
      <c r="C8320" s="6">
        <v>2.0</v>
      </c>
      <c r="D8320" s="7" t="s">
        <v>15190</v>
      </c>
      <c r="E8320" s="8" t="str">
        <f>IFERROR(__xludf.DUMMYFUNCTION("googletranslate(D8320,""id"",""en"")"),"Extended NDER RICH PPKM")</f>
        <v>Extended NDER RICH PPKM</v>
      </c>
    </row>
    <row r="8321" ht="15.75" customHeight="1">
      <c r="A8321" s="2">
        <v>8324.0</v>
      </c>
      <c r="B8321" s="5" t="s">
        <v>15191</v>
      </c>
      <c r="C8321" s="6">
        <v>2.0</v>
      </c>
      <c r="D8321" s="7" t="s">
        <v>15192</v>
      </c>
      <c r="E8321" s="8" t="str">
        <f>IFERROR(__xludf.DUMMYFUNCTION("googletranslate(D8321,""id"",""en"")"),"Woh iyo yo ppkm plus week")</f>
        <v>Woh iyo yo ppkm plus week</v>
      </c>
    </row>
    <row r="8322" ht="15.75" customHeight="1">
      <c r="A8322" s="2">
        <v>8325.0</v>
      </c>
      <c r="B8322" s="5" t="s">
        <v>15193</v>
      </c>
      <c r="C8322" s="6">
        <v>1.0</v>
      </c>
      <c r="D8322" s="7" t="s">
        <v>15194</v>
      </c>
      <c r="E8322" s="8" t="str">
        <f>IFERROR(__xludf.DUMMYFUNCTION("googletranslate(D8322,""id"",""en"")"),"Even though my penny could not help from the government but my biggest fear, government assistance was misused to buy a chip because of many org of the streets because of covid and ppkm. Hopefully it was misused, if not the game was immediately stopped, h"&amp;"ahahahah")</f>
        <v>Even though my penny could not help from the government but my biggest fear, government assistance was misused to buy a chip because of many org of the streets because of covid and ppkm. Hopefully it was misused, if not the game was immediately stopped, hahahahah</v>
      </c>
    </row>
    <row r="8323" ht="15.75" customHeight="1">
      <c r="A8323" s="2">
        <v>8326.0</v>
      </c>
      <c r="B8323" s="5" t="s">
        <v>15195</v>
      </c>
      <c r="C8323" s="6">
        <v>2.0</v>
      </c>
      <c r="D8323" s="7" t="s">
        <v>15196</v>
      </c>
      <c r="E8323" s="8" t="str">
        <f>IFERROR(__xludf.DUMMYFUNCTION("googletranslate(D8323,""id"",""en"")"),"Must learn PSBB &amp; amp; ppkm, jeung.")</f>
        <v>Must learn PSBB &amp; amp; ppkm, jeung.</v>
      </c>
    </row>
    <row r="8324" ht="15.75" customHeight="1">
      <c r="A8324" s="2">
        <v>8327.0</v>
      </c>
      <c r="B8324" s="5" t="s">
        <v>15197</v>
      </c>
      <c r="C8324" s="6">
        <v>2.0</v>
      </c>
      <c r="D8324" s="7" t="s">
        <v>15198</v>
      </c>
      <c r="E8324" s="8" t="str">
        <f>IFERROR(__xludf.DUMMYFUNCTION("googletranslate(D8324,""id"",""en"")"),"I'm in Sukabumi darling. Kabarin yaaa please. After ppkm (which is somehow after this) I want to meet")</f>
        <v>I'm in Sukabumi darling. Kabarin yaaa please. After ppkm (which is somehow after this) I want to meet</v>
      </c>
    </row>
    <row r="8325" ht="15.75" customHeight="1">
      <c r="A8325" s="2">
        <v>8328.0</v>
      </c>
      <c r="B8325" s="5" t="s">
        <v>15199</v>
      </c>
      <c r="C8325" s="6">
        <v>2.0</v>
      </c>
      <c r="D8325" s="9" t="s">
        <v>15200</v>
      </c>
      <c r="E8325" s="8" t="str">
        <f>IFERROR(__xludf.DUMMYFUNCTION("googletranslate(D8325,""id"",""en"")"),"Not only the PPKM level, and what the people expected by the President is a leap of thinking in a difficult situation and should imitate leaders of the country who managed to get out of the pandemic.")</f>
        <v>Not only the PPKM level, and what the people expected by the President is a leap of thinking in a difficult situation and should imitate leaders of the country who managed to get out of the pandemic.</v>
      </c>
    </row>
    <row r="8326" ht="15.75" customHeight="1">
      <c r="A8326" s="2">
        <v>8329.0</v>
      </c>
      <c r="B8326" s="5" t="s">
        <v>15201</v>
      </c>
      <c r="C8326" s="6">
        <v>1.0</v>
      </c>
      <c r="D8326" s="7" t="s">
        <v>15202</v>
      </c>
      <c r="E8326" s="8" t="str">
        <f>IFERROR(__xludf.DUMMYFUNCTION("googletranslate(D8326,""id"",""en"")"),"Boro2 investment especially save gold ... LG Pademi PPKM JG Msh Jalan")</f>
        <v>Boro2 investment especially save gold ... LG Pademi PPKM JG Msh Jalan</v>
      </c>
    </row>
    <row r="8327" ht="15.75" customHeight="1">
      <c r="A8327" s="2">
        <v>8330.0</v>
      </c>
      <c r="B8327" s="5" t="s">
        <v>15203</v>
      </c>
      <c r="C8327" s="6">
        <v>2.0</v>
      </c>
      <c r="D8327" s="10" t="s">
        <v>11293</v>
      </c>
      <c r="E8327" s="8" t="str">
        <f>IFERROR(__xludf.DUMMYFUNCTION("googletranslate(D8327,""id"",""en"")"),"KPKM iHHH.")</f>
        <v>KPKM iHHH.</v>
      </c>
    </row>
    <row r="8328" ht="15.75" customHeight="1">
      <c r="A8328" s="2">
        <v>8331.0</v>
      </c>
      <c r="B8328" s="5" t="s">
        <v>15204</v>
      </c>
      <c r="C8328" s="6">
        <v>2.0</v>
      </c>
      <c r="D8328" s="7" t="s">
        <v>15205</v>
      </c>
      <c r="E8328" s="8" t="str">
        <f>IFERROR(__xludf.DUMMYFUNCTION("googletranslate(D8328,""id"",""en"")"),"The longer the PPKM is increasingly playing alone")</f>
        <v>The longer the PPKM is increasingly playing alone</v>
      </c>
    </row>
    <row r="8329" ht="15.75" customHeight="1">
      <c r="A8329" s="2">
        <v>8332.0</v>
      </c>
      <c r="B8329" s="5" t="s">
        <v>15206</v>
      </c>
      <c r="C8329" s="6">
        <v>2.0</v>
      </c>
      <c r="D8329" s="7" t="s">
        <v>15207</v>
      </c>
      <c r="E8329" s="8" t="str">
        <f>IFERROR(__xludf.DUMMYFUNCTION("googletranslate(D8329,""id"",""en"")"),"I want the honorarium to be a PPKM supervisor if it works so, paid for the GPP")</f>
        <v>I want the honorarium to be a PPKM supervisor if it works so, paid for the GPP</v>
      </c>
    </row>
    <row r="8330" ht="15.75" customHeight="1">
      <c r="A8330" s="2">
        <v>8333.0</v>
      </c>
      <c r="B8330" s="5" t="s">
        <v>15208</v>
      </c>
      <c r="C8330" s="6">
        <v>1.0</v>
      </c>
      <c r="D8330" s="9" t="s">
        <v>15209</v>
      </c>
      <c r="E8330" s="8" t="str">
        <f>IFERROR(__xludf.DUMMYFUNCTION("googletranslate(D8330,""id"",""en"")"),"Asem dreams were imprisoned because of the time of the person, woke up the entity, his work was imprisoned for the PPKM vegetate to get out of the prison entering the tipi or at least a lifelong bansos receiver")</f>
        <v>Asem dreams were imprisoned because of the time of the person, woke up the entity, his work was imprisoned for the PPKM vegetate to get out of the prison entering the tipi or at least a lifelong bansos receiver</v>
      </c>
    </row>
    <row r="8331" ht="15.75" customHeight="1">
      <c r="A8331" s="2">
        <v>8334.0</v>
      </c>
      <c r="B8331" s="5" t="s">
        <v>15210</v>
      </c>
      <c r="C8331" s="6">
        <v>2.0</v>
      </c>
      <c r="D8331" s="10" t="s">
        <v>15211</v>
      </c>
      <c r="E8331" s="8" t="str">
        <f>IFERROR(__xludf.DUMMYFUNCTION("googletranslate(D8331,""id"",""en"")"),"PTKM Putu.")</f>
        <v>PTKM Putu.</v>
      </c>
    </row>
    <row r="8332" ht="15.75" customHeight="1">
      <c r="A8332" s="2">
        <v>8335.0</v>
      </c>
      <c r="B8332" s="5" t="s">
        <v>15212</v>
      </c>
      <c r="C8332" s="6">
        <v>2.0</v>
      </c>
      <c r="D8332" s="7" t="s">
        <v>15213</v>
      </c>
      <c r="E8332" s="8" t="str">
        <f>IFERROR(__xludf.DUMMYFUNCTION("googletranslate(D8332,""id"",""en"")"),"ayooo we do if PPKM Kelarr")</f>
        <v>ayooo we do if PPKM Kelarr</v>
      </c>
    </row>
    <row r="8333" ht="15.75" customHeight="1">
      <c r="A8333" s="2">
        <v>8336.0</v>
      </c>
      <c r="B8333" s="5" t="s">
        <v>15214</v>
      </c>
      <c r="C8333" s="6">
        <v>1.0</v>
      </c>
      <c r="D8333" s="7" t="s">
        <v>15215</v>
      </c>
      <c r="E8333" s="8" t="str">
        <f>IFERROR(__xludf.DUMMYFUNCTION("googletranslate(D8333,""id"",""en"")"),"The variant just hasn't finished ... this is again .. bs ni ppkm smp")</f>
        <v>The variant just hasn't finished ... this is again .. bs ni ppkm smp</v>
      </c>
    </row>
    <row r="8334" ht="15.75" customHeight="1">
      <c r="A8334" s="2">
        <v>8337.0</v>
      </c>
      <c r="B8334" s="5" t="s">
        <v>15216</v>
      </c>
      <c r="C8334" s="6">
        <v>2.0</v>
      </c>
      <c r="D8334" s="9" t="s">
        <v>15217</v>
      </c>
      <c r="E8334" s="8" t="str">
        <f>IFERROR(__xludf.DUMMYFUNCTION("googletranslate(D8334,""id"",""en"")"),"I was shocked to see friends again with the cow, yesterday I invited the PPKM")</f>
        <v>I was shocked to see friends again with the cow, yesterday I invited the PPKM</v>
      </c>
    </row>
    <row r="8335" ht="15.75" customHeight="1">
      <c r="A8335" s="2">
        <v>8338.0</v>
      </c>
      <c r="B8335" s="5" t="s">
        <v>15218</v>
      </c>
      <c r="C8335" s="6">
        <v>2.0</v>
      </c>
      <c r="D8335" s="7" t="s">
        <v>15219</v>
      </c>
      <c r="E8335" s="8" t="str">
        <f>IFERROR(__xludf.DUMMYFUNCTION("googletranslate(D8335,""id"",""en"")"),"PPKM extended until the Kalimantan can become president")</f>
        <v>PPKM extended until the Kalimantan can become president</v>
      </c>
    </row>
    <row r="8336" ht="15.75" customHeight="1">
      <c r="A8336" s="2">
        <v>8339.0</v>
      </c>
      <c r="B8336" s="5" t="s">
        <v>15220</v>
      </c>
      <c r="C8336" s="6">
        <v>1.0</v>
      </c>
      <c r="D8336" s="9" t="s">
        <v>15221</v>
      </c>
      <c r="E8336" s="8" t="str">
        <f>IFERROR(__xludf.DUMMYFUNCTION("googletranslate(D8336,""id"",""en"")"),"From the Gedeg, I could see the comment. Luckily there are those who retweet who gave this explanation. Fucked, if all the macemes blame the country Mulu Mintak PPKM GK is extended but the prokes are still miserable.")</f>
        <v>From the Gedeg, I could see the comment. Luckily there are those who retweet who gave this explanation. Fucked, if all the macemes blame the country Mulu Mintak PPKM GK is extended but the prokes are still miserable.</v>
      </c>
    </row>
    <row r="8337" ht="15.75" customHeight="1">
      <c r="A8337" s="2">
        <v>8340.0</v>
      </c>
      <c r="B8337" s="5" t="s">
        <v>15222</v>
      </c>
      <c r="C8337" s="6">
        <v>1.0</v>
      </c>
      <c r="D8337" s="9" t="s">
        <v>15223</v>
      </c>
      <c r="E8337" s="8" t="str">
        <f>IFERROR(__xludf.DUMMYFUNCTION("googletranslate(D8337,""id"",""en"")"),"Loh it turns out that I also diligently follow the Rules of PPKM rarely out of the house, when you see the cafe, the streets are crowded")</f>
        <v>Loh it turns out that I also diligently follow the Rules of PPKM rarely out of the house, when you see the cafe, the streets are crowded</v>
      </c>
    </row>
    <row r="8338" ht="15.75" customHeight="1">
      <c r="A8338" s="2">
        <v>8341.0</v>
      </c>
      <c r="B8338" s="5" t="s">
        <v>15224</v>
      </c>
      <c r="C8338" s="6">
        <v>1.0</v>
      </c>
      <c r="D8338" s="7" t="s">
        <v>15225</v>
      </c>
      <c r="E8338" s="8" t="str">
        <f>IFERROR(__xludf.DUMMYFUNCTION("googletranslate(D8338,""id"",""en"")"),"Just ngaco the apparatus pairs of flags in pik or not with the reason for the ppkm ??? koplak")</f>
        <v>Just ngaco the apparatus pairs of flags in pik or not with the reason for the ppkm ??? koplak</v>
      </c>
    </row>
    <row r="8339" ht="15.75" customHeight="1">
      <c r="A8339" s="2">
        <v>8342.0</v>
      </c>
      <c r="B8339" s="5" t="s">
        <v>15226</v>
      </c>
      <c r="C8339" s="6">
        <v>2.0</v>
      </c>
      <c r="D8339" s="9" t="s">
        <v>15226</v>
      </c>
      <c r="E8339" s="8" t="str">
        <f>IFERROR(__xludf.DUMMYFUNCTION("googletranslate(D8339,""id"",""en"")"),"Fix PPKM finished really want to go to Pluit Village, see him ^ __ ^")</f>
        <v>Fix PPKM finished really want to go to Pluit Village, see him ^ __ ^</v>
      </c>
    </row>
    <row r="8340" ht="15.75" customHeight="1">
      <c r="A8340" s="2">
        <v>8343.0</v>
      </c>
      <c r="B8340" s="5" t="s">
        <v>15227</v>
      </c>
      <c r="C8340" s="6">
        <v>1.0</v>
      </c>
      <c r="D8340" s="9" t="s">
        <v>15228</v>
      </c>
      <c r="E8340" s="8" t="str">
        <f>IFERROR(__xludf.DUMMYFUNCTION("googletranslate(D8340,""id"",""en"")"),"Which people are sir? How come the people of starvation aren't the solution? Gabisa People Work for Gegara PPKM How come there is no solution?")</f>
        <v>Which people are sir? How come the people of starvation aren't the solution? Gabisa People Work for Gegara PPKM How come there is no solution?</v>
      </c>
    </row>
    <row r="8341" ht="15.75" customHeight="1">
      <c r="A8341" s="2">
        <v>8344.0</v>
      </c>
      <c r="B8341" s="5" t="s">
        <v>15229</v>
      </c>
      <c r="C8341" s="6">
        <v>2.0</v>
      </c>
      <c r="D8341" s="9" t="s">
        <v>15230</v>
      </c>
      <c r="E8341" s="8" t="str">
        <f>IFERROR(__xludf.DUMMYFUNCTION("googletranslate(D8341,""id"",""en"")"),"It is not possible for PPKM opened after% vaccinated, now the X is only the X%, which is x%, the average vaccine speed is around JT per day, the end of the year is not necessarily%, ahead of the month, vaccine efficacy starts to decline.")</f>
        <v>It is not possible for PPKM opened after% vaccinated, now the X is only the X%, which is x%, the average vaccine speed is around JT per day, the end of the year is not necessarily%, ahead of the month, vaccine efficacy starts to decline.</v>
      </c>
    </row>
    <row r="8342" ht="15.75" customHeight="1">
      <c r="A8342" s="2">
        <v>8345.0</v>
      </c>
      <c r="B8342" s="5" t="s">
        <v>15231</v>
      </c>
      <c r="C8342" s="6">
        <v>2.0</v>
      </c>
      <c r="D8342" s="7" t="s">
        <v>15232</v>
      </c>
      <c r="E8342" s="8" t="str">
        <f>IFERROR(__xludf.DUMMYFUNCTION("googletranslate(D8342,""id"",""en"")"),"No ppkm in afghanistan ngab")</f>
        <v>No ppkm in afghanistan ngab</v>
      </c>
    </row>
    <row r="8343" ht="15.75" customHeight="1">
      <c r="A8343" s="2">
        <v>8346.0</v>
      </c>
      <c r="B8343" s="5" t="s">
        <v>15233</v>
      </c>
      <c r="C8343" s="6">
        <v>1.0</v>
      </c>
      <c r="D8343" s="9" t="s">
        <v>15234</v>
      </c>
      <c r="E8343" s="8" t="str">
        <f>IFERROR(__xludf.DUMMYFUNCTION("googletranslate(D8343,""id"",""en"")"),"Covid19 is a virus right? The name is the virus, there will be forever ... that's not ... the PPKM GA PPKM virus will always be there.")</f>
        <v>Covid19 is a virus right? The name is the virus, there will be forever ... that's not ... the PPKM GA PPKM virus will always be there.</v>
      </c>
    </row>
    <row r="8344" ht="15.75" customHeight="1">
      <c r="A8344" s="2">
        <v>8347.0</v>
      </c>
      <c r="B8344" s="5" t="s">
        <v>15235</v>
      </c>
      <c r="C8344" s="6">
        <v>2.0</v>
      </c>
      <c r="D8344" s="7" t="s">
        <v>15236</v>
      </c>
      <c r="E8344" s="8" t="str">
        <f>IFERROR(__xludf.DUMMYFUNCTION("googletranslate(D8344,""id"",""en"")"),"Why is PPKM a reason? Is it wrong with the PIK IS still the NKRI region ???")</f>
        <v>Why is PPKM a reason? Is it wrong with the PIK IS still the NKRI region ???</v>
      </c>
    </row>
    <row r="8345" ht="15.75" customHeight="1">
      <c r="A8345" s="2">
        <v>8348.0</v>
      </c>
      <c r="B8345" s="5" t="s">
        <v>15237</v>
      </c>
      <c r="C8345" s="6">
        <v>2.0</v>
      </c>
      <c r="D8345" s="7" t="s">
        <v>15238</v>
      </c>
      <c r="E8345" s="8" t="str">
        <f>IFERROR(__xludf.DUMMYFUNCTION("googletranslate(D8345,""id"",""en"")"),"Beware of PP Pol Sir, this is still PPKM. Eh in Belgium what is PPKM ????")</f>
        <v>Beware of PP Pol Sir, this is still PPKM. Eh in Belgium what is PPKM ????</v>
      </c>
    </row>
    <row r="8346" ht="15.75" customHeight="1">
      <c r="A8346" s="2">
        <v>8349.0</v>
      </c>
      <c r="B8346" s="5" t="s">
        <v>15239</v>
      </c>
      <c r="C8346" s="6">
        <v>2.0</v>
      </c>
      <c r="D8346" s="7" t="s">
        <v>15240</v>
      </c>
      <c r="E8346" s="8" t="str">
        <f>IFERROR(__xludf.DUMMYFUNCTION("googletranslate(D8346,""id"",""en"")"),"I'm hanging out so it feels like it's lonely especially the frequency of the PPKM at work. It's just right at home, you just have maghrib, just afternoon. So if the house is huhu: '(")</f>
        <v>I'm hanging out so it feels like it's lonely especially the frequency of the PPKM at work. It's just right at home, you just have maghrib, just afternoon. So if the house is huhu: '(</v>
      </c>
    </row>
    <row r="8347" ht="15.75" customHeight="1">
      <c r="A8347" s="2">
        <v>8350.0</v>
      </c>
      <c r="B8347" s="5" t="s">
        <v>15241</v>
      </c>
      <c r="C8347" s="6">
        <v>2.0</v>
      </c>
      <c r="D8347" s="7" t="s">
        <v>15241</v>
      </c>
      <c r="E8347" s="8" t="str">
        <f>IFERROR(__xludf.DUMMYFUNCTION("googletranslate(D8347,""id"",""en"")"),"Abis PPKM Join Motoran Yu")</f>
        <v>Abis PPKM Join Motoran Yu</v>
      </c>
    </row>
    <row r="8348" ht="15.75" customHeight="1">
      <c r="A8348" s="2">
        <v>8351.0</v>
      </c>
      <c r="B8348" s="5" t="s">
        <v>15242</v>
      </c>
      <c r="C8348" s="6">
        <v>2.0</v>
      </c>
      <c r="D8348" s="7" t="s">
        <v>15243</v>
      </c>
      <c r="E8348" s="8" t="str">
        <f>IFERROR(__xludf.DUMMYFUNCTION("googletranslate(D8348,""id"",""en"")"),"PPKM effect possible")</f>
        <v>PPKM effect possible</v>
      </c>
    </row>
    <row r="8349" ht="15.75" customHeight="1">
      <c r="A8349" s="2">
        <v>8352.0</v>
      </c>
      <c r="B8349" s="5" t="s">
        <v>15244</v>
      </c>
      <c r="C8349" s="6">
        <v>2.0</v>
      </c>
      <c r="D8349" s="7" t="s">
        <v>15244</v>
      </c>
      <c r="E8349" s="8" t="str">
        <f>IFERROR(__xludf.DUMMYFUNCTION("googletranslate(D8349,""id"",""en"")"),"Ppkm extended again Gaes ... after being credited with Mak Erot")</f>
        <v>Ppkm extended again Gaes ... after being credited with Mak Erot</v>
      </c>
    </row>
    <row r="8350" ht="15.75" customHeight="1">
      <c r="A8350" s="2">
        <v>8353.0</v>
      </c>
      <c r="B8350" s="5" t="s">
        <v>15245</v>
      </c>
      <c r="C8350" s="6">
        <v>2.0</v>
      </c>
      <c r="D8350" s="9" t="s">
        <v>15245</v>
      </c>
      <c r="E8350" s="8" t="str">
        <f>IFERROR(__xludf.DUMMYFUNCTION("googletranslate(D8350,""id"",""en"")"),"BISMILLAH Hopefully today will get Bigwinnn news, you want to be close to the validation of huhuhu ppkm extended again, hopefully the campus will not close ...")</f>
        <v>BISMILLAH Hopefully today will get Bigwinnn news, you want to be close to the validation of huhuhu ppkm extended again, hopefully the campus will not close ...</v>
      </c>
    </row>
    <row r="8351" ht="15.75" customHeight="1">
      <c r="A8351" s="2">
        <v>8354.0</v>
      </c>
      <c r="B8351" s="5" t="s">
        <v>15246</v>
      </c>
      <c r="C8351" s="6">
        <v>2.0</v>
      </c>
      <c r="D8351" s="9" t="s">
        <v>15247</v>
      </c>
      <c r="E8351" s="8" t="str">
        <f>IFERROR(__xludf.DUMMYFUNCTION("googletranslate(D8351,""id"",""en"")"),"Ppkm can't hug")</f>
        <v>Ppkm can't hug</v>
      </c>
    </row>
    <row r="8352" ht="15.75" customHeight="1">
      <c r="A8352" s="2">
        <v>8355.0</v>
      </c>
      <c r="B8352" s="5" t="s">
        <v>15248</v>
      </c>
      <c r="C8352" s="6">
        <v>1.0</v>
      </c>
      <c r="D8352" s="7" t="s">
        <v>15249</v>
      </c>
      <c r="E8352" s="8" t="str">
        <f>IFERROR(__xludf.DUMMYFUNCTION("googletranslate(D8352,""id"",""en"")"),"Gara Gara PPKM, COP certification &amp; amp; COC AYE, I've not published, PPKM When did it finish? Extend continuously")</f>
        <v>Gara Gara PPKM, COP certification &amp; amp; COC AYE, I've not published, PPKM When did it finish? Extend continuously</v>
      </c>
    </row>
    <row r="8353" ht="15.75" customHeight="1">
      <c r="A8353" s="2">
        <v>8356.0</v>
      </c>
      <c r="B8353" s="5" t="s">
        <v>15250</v>
      </c>
      <c r="C8353" s="6">
        <v>2.0</v>
      </c>
      <c r="D8353" s="7" t="s">
        <v>15251</v>
      </c>
      <c r="E8353" s="8" t="str">
        <f>IFERROR(__xludf.DUMMYFUNCTION("googletranslate(D8353,""id"",""en"")"),"Don't have a crowd ... PPKM is extended")</f>
        <v>Don't have a crowd ... PPKM is extended</v>
      </c>
    </row>
    <row r="8354" ht="15.75" customHeight="1">
      <c r="A8354" s="2">
        <v>8357.0</v>
      </c>
      <c r="B8354" s="5" t="s">
        <v>15252</v>
      </c>
      <c r="C8354" s="6">
        <v>1.0</v>
      </c>
      <c r="D8354" s="7" t="s">
        <v>15253</v>
      </c>
      <c r="E8354" s="8" t="str">
        <f>IFERROR(__xludf.DUMMYFUNCTION("googletranslate(D8354,""id"",""en"")"),"There was only, yesterday casually watched love bonds in the PPKM period. Now apparently Covid-19 changed the status of being covid-29. Lack of sunbathing seems, atok this")</f>
        <v>There was only, yesterday casually watched love bonds in the PPKM period. Now apparently Covid-19 changed the status of being covid-29. Lack of sunbathing seems, atok this</v>
      </c>
    </row>
    <row r="8355" ht="15.75" customHeight="1">
      <c r="A8355" s="2">
        <v>8358.0</v>
      </c>
      <c r="B8355" s="5" t="s">
        <v>15254</v>
      </c>
      <c r="C8355" s="6">
        <v>1.0</v>
      </c>
      <c r="D8355" s="7" t="s">
        <v>15255</v>
      </c>
      <c r="E8355" s="8" t="str">
        <f>IFERROR(__xludf.DUMMYFUNCTION("googletranslate(D8355,""id"",""en"")"),"There is something more like making it hurt more than staying right when I want it again, which is a hope for the PPKM who already want to finish eh in fact D extend the lagisakit or not? Pain or not? It hurts")</f>
        <v>There is something more like making it hurt more than staying right when I want it again, which is a hope for the PPKM who already want to finish eh in fact D extend the lagisakit or not? Pain or not? It hurts</v>
      </c>
    </row>
    <row r="8356" ht="15.75" customHeight="1">
      <c r="A8356" s="2">
        <v>8359.0</v>
      </c>
      <c r="B8356" s="5" t="s">
        <v>15256</v>
      </c>
      <c r="C8356" s="6">
        <v>2.0</v>
      </c>
      <c r="D8356" s="7" t="s">
        <v>15257</v>
      </c>
      <c r="E8356" s="8" t="str">
        <f>IFERROR(__xludf.DUMMYFUNCTION("googletranslate(D8356,""id"",""en"")"),"Dear Brand, the PPKM is extended by our contract, EKHM")</f>
        <v>Dear Brand, the PPKM is extended by our contract, EKHM</v>
      </c>
    </row>
    <row r="8357" ht="15.75" customHeight="1">
      <c r="A8357" s="2">
        <v>8360.0</v>
      </c>
      <c r="B8357" s="5" t="s">
        <v>15258</v>
      </c>
      <c r="C8357" s="6">
        <v>2.0</v>
      </c>
      <c r="D8357" s="7" t="s">
        <v>15259</v>
      </c>
      <c r="E8357" s="8" t="str">
        <f>IFERROR(__xludf.DUMMYFUNCTION("googletranslate(D8357,""id"",""en"")"),"Don't pass there, just at home. PPKM because.")</f>
        <v>Don't pass there, just at home. PPKM because.</v>
      </c>
    </row>
    <row r="8358" ht="15.75" customHeight="1">
      <c r="A8358" s="2">
        <v>8361.0</v>
      </c>
      <c r="B8358" s="5" t="s">
        <v>15260</v>
      </c>
      <c r="C8358" s="6">
        <v>2.0</v>
      </c>
      <c r="D8358" s="7" t="s">
        <v>15261</v>
      </c>
      <c r="E8358" s="8" t="str">
        <f>IFERROR(__xludf.DUMMYFUNCTION("googletranslate(D8358,""id"",""en"")"),"Confession of sin, Mo to Church is still PPKM")</f>
        <v>Confession of sin, Mo to Church is still PPKM</v>
      </c>
    </row>
    <row r="8359" ht="15.75" customHeight="1">
      <c r="A8359" s="2">
        <v>8362.0</v>
      </c>
      <c r="B8359" s="5" t="s">
        <v>15262</v>
      </c>
      <c r="C8359" s="6">
        <v>2.0</v>
      </c>
      <c r="D8359" s="7" t="s">
        <v>15262</v>
      </c>
      <c r="E8359" s="8" t="str">
        <f>IFERROR(__xludf.DUMMYFUNCTION("googletranslate(D8359,""id"",""en"")"),"Yu can make a vacation after PPKM")</f>
        <v>Yu can make a vacation after PPKM</v>
      </c>
    </row>
    <row r="8360" ht="15.75" customHeight="1">
      <c r="A8360" s="2">
        <v>8363.0</v>
      </c>
      <c r="B8360" s="5" t="s">
        <v>15263</v>
      </c>
      <c r="C8360" s="6">
        <v>1.0</v>
      </c>
      <c r="D8360" s="9" t="s">
        <v>15264</v>
      </c>
      <c r="E8360" s="8" t="str">
        <f>IFERROR(__xludf.DUMMYFUNCTION("googletranslate(D8360,""id"",""en"")"),"Since my package ppkm on all come !!!")</f>
        <v>Since my package ppkm on all come !!!</v>
      </c>
    </row>
    <row r="8361" ht="15.75" customHeight="1">
      <c r="A8361" s="2">
        <v>8364.0</v>
      </c>
      <c r="B8361" s="5" t="s">
        <v>15265</v>
      </c>
      <c r="C8361" s="6">
        <v>2.0</v>
      </c>
      <c r="D8361" s="7" t="s">
        <v>15266</v>
      </c>
      <c r="E8361" s="8" t="str">
        <f>IFERROR(__xludf.DUMMYFUNCTION("googletranslate(D8361,""id"",""en"")"),"Lomma survives in a state of PPKM")</f>
        <v>Lomma survives in a state of PPKM</v>
      </c>
    </row>
    <row r="8362" ht="15.75" customHeight="1">
      <c r="A8362" s="2">
        <v>8365.0</v>
      </c>
      <c r="B8362" s="5" t="s">
        <v>15267</v>
      </c>
      <c r="C8362" s="6">
        <v>1.0</v>
      </c>
      <c r="D8362" s="9" t="s">
        <v>15267</v>
      </c>
      <c r="E8362" s="8" t="str">
        <f>IFERROR(__xludf.DUMMYFUNCTION("googletranslate(D8362,""id"",""en"")"),"Mumet Bat this nutmeg feels like it wants to break into my broken, PPKM when it's just aaaaargh")</f>
        <v>Mumet Bat this nutmeg feels like it wants to break into my broken, PPKM when it's just aaaaargh</v>
      </c>
    </row>
    <row r="8363" ht="15.75" customHeight="1">
      <c r="A8363" s="2">
        <v>8366.0</v>
      </c>
      <c r="B8363" s="5" t="s">
        <v>15268</v>
      </c>
      <c r="C8363" s="6">
        <v>1.0</v>
      </c>
      <c r="D8363" s="9" t="s">
        <v>15269</v>
      </c>
      <c r="E8363" s="8" t="str">
        <f>IFERROR(__xludf.DUMMYFUNCTION("googletranslate(D8363,""id"",""en"")"),"Because if the government lockdown must be under the needs of his people during the lockdown and it is in the Act ... and the government does not want to carry out the UU, so the UN term is chosen until the PPKM is told because the obligation is not under"&amp;" the people. UNDERSTAND?")</f>
        <v>Because if the government lockdown must be under the needs of his people during the lockdown and it is in the Act ... and the government does not want to carry out the UU, so the UN term is chosen until the PPKM is told because the obligation is not under the people. UNDERSTAND?</v>
      </c>
    </row>
    <row r="8364" ht="15.75" customHeight="1">
      <c r="A8364" s="2">
        <v>8367.0</v>
      </c>
      <c r="B8364" s="5" t="s">
        <v>15270</v>
      </c>
      <c r="C8364" s="6">
        <v>2.0</v>
      </c>
      <c r="D8364" s="7" t="s">
        <v>15270</v>
      </c>
      <c r="E8364" s="8" t="str">
        <f>IFERROR(__xludf.DUMMYFUNCTION("googletranslate(D8364,""id"",""en"")"),"PPKM Kyk Spotify Premium, extended every week")</f>
        <v>PPKM Kyk Spotify Premium, extended every week</v>
      </c>
    </row>
    <row r="8365" ht="15.75" customHeight="1">
      <c r="A8365" s="2">
        <v>8368.0</v>
      </c>
      <c r="B8365" s="5" t="s">
        <v>15271</v>
      </c>
      <c r="C8365" s="6">
        <v>2.0</v>
      </c>
      <c r="D8365" s="7" t="s">
        <v>15272</v>
      </c>
      <c r="E8365" s="8" t="str">
        <f>IFERROR(__xludf.DUMMYFUNCTION("googletranslate(D8365,""id"",""en"")"),"God: There is NIH, Virtual. The face to face is still hit by a PPKM extension")</f>
        <v>God: There is NIH, Virtual. The face to face is still hit by a PPKM extension</v>
      </c>
    </row>
    <row r="8366" ht="15.75" customHeight="1">
      <c r="A8366" s="2">
        <v>8369.0</v>
      </c>
      <c r="B8366" s="5" t="s">
        <v>15273</v>
      </c>
      <c r="C8366" s="6">
        <v>1.0</v>
      </c>
      <c r="D8366" s="7" t="s">
        <v>15273</v>
      </c>
      <c r="E8366" s="8" t="str">
        <f>IFERROR(__xludf.DUMMYFUNCTION("googletranslate(D8366,""id"",""en"")"),"PPKM Paswortnya? The young man again unemployed")</f>
        <v>PPKM Paswortnya? The young man again unemployed</v>
      </c>
    </row>
    <row r="8367" ht="15.75" customHeight="1">
      <c r="A8367" s="2">
        <v>8370.0</v>
      </c>
      <c r="B8367" s="5" t="s">
        <v>15274</v>
      </c>
      <c r="C8367" s="6">
        <v>2.0</v>
      </c>
      <c r="D8367" s="9" t="s">
        <v>15275</v>
      </c>
      <c r="E8367" s="8" t="str">
        <f>IFERROR(__xludf.DUMMYFUNCTION("googletranslate(D8367,""id"",""en"")"),"Hsewkwkwk aladin ppkm ka lip doesn't open the order first")</f>
        <v>Hsewkwkwk aladin ppkm ka lip doesn't open the order first</v>
      </c>
    </row>
    <row r="8368" ht="15.75" customHeight="1">
      <c r="A8368" s="2">
        <v>8371.0</v>
      </c>
      <c r="B8368" s="5" t="s">
        <v>15276</v>
      </c>
      <c r="C8368" s="6">
        <v>2.0</v>
      </c>
      <c r="D8368" s="7" t="s">
        <v>15277</v>
      </c>
      <c r="E8368" s="8" t="str">
        <f>IFERROR(__xludf.DUMMYFUNCTION("googletranslate(D8368,""id"",""en"")"),"Don't provoke it so. PPKM with the Tanjung Priok case is clearly different from the root of the problem.")</f>
        <v>Don't provoke it so. PPKM with the Tanjung Priok case is clearly different from the root of the problem.</v>
      </c>
    </row>
    <row r="8369" ht="15.75" customHeight="1">
      <c r="A8369" s="2">
        <v>8372.0</v>
      </c>
      <c r="B8369" s="5" t="s">
        <v>15278</v>
      </c>
      <c r="C8369" s="6">
        <v>1.0</v>
      </c>
      <c r="D8369" s="7" t="s">
        <v>15279</v>
      </c>
      <c r="E8369" s="8" t="str">
        <f>IFERROR(__xludf.DUMMYFUNCTION("googletranslate(D8369,""id"",""en"")"),"Kan government effects of PPKM or PSBB GK impact. whole salary intact benefits even though at home only. if you like food traders. hike. angkot driver. How do you do it ??")</f>
        <v>Kan government effects of PPKM or PSBB GK impact. whole salary intact benefits even though at home only. if you like food traders. hike. angkot driver. How do you do it ??</v>
      </c>
    </row>
    <row r="8370" ht="15.75" customHeight="1">
      <c r="A8370" s="2">
        <v>8373.0</v>
      </c>
      <c r="B8370" s="5" t="s">
        <v>15280</v>
      </c>
      <c r="C8370" s="6">
        <v>1.0</v>
      </c>
      <c r="D8370" s="9" t="s">
        <v>15281</v>
      </c>
      <c r="E8370" s="8" t="str">
        <f>IFERROR(__xludf.DUMMYFUNCTION("googletranslate(D8370,""id"",""en"")"),"Iss Iss Iss Iss Isis ... Mulu'talban Ga Isstaliban Ga Ruling Isstaliban Issjangan PPKM Until This Carrier Look Bi Say ISIS JG Ya Min ...")</f>
        <v>Iss Iss Iss Iss Isis ... Mulu'talban Ga Isstaliban Ga Ruling Isstaliban Issjangan PPKM Until This Carrier Look Bi Say ISIS JG Ya Min ...</v>
      </c>
    </row>
    <row r="8371" ht="15.75" customHeight="1">
      <c r="A8371" s="2">
        <v>8374.0</v>
      </c>
      <c r="B8371" s="5" t="s">
        <v>15282</v>
      </c>
      <c r="C8371" s="6">
        <v>2.0</v>
      </c>
      <c r="D8371" s="9" t="s">
        <v>15283</v>
      </c>
      <c r="E8371" s="8" t="str">
        <f>IFERROR(__xludf.DUMMYFUNCTION("googletranslate(D8371,""id"",""en"")"),"tomorrow if you don't have a ppkm")</f>
        <v>tomorrow if you don't have a ppkm</v>
      </c>
    </row>
    <row r="8372" ht="15.75" customHeight="1">
      <c r="A8372" s="2">
        <v>8375.0</v>
      </c>
      <c r="B8372" s="5" t="s">
        <v>15284</v>
      </c>
      <c r="C8372" s="6">
        <v>2.0</v>
      </c>
      <c r="D8372" s="7" t="s">
        <v>15285</v>
      </c>
      <c r="E8372" s="8" t="str">
        <f>IFERROR(__xludf.DUMMYFUNCTION("googletranslate(D8372,""id"",""en"")"),"Right at the time of PPKM")</f>
        <v>Right at the time of PPKM</v>
      </c>
    </row>
    <row r="8373" ht="15.75" customHeight="1">
      <c r="A8373" s="2">
        <v>8376.0</v>
      </c>
      <c r="B8373" s="5" t="s">
        <v>15286</v>
      </c>
      <c r="C8373" s="6">
        <v>1.0</v>
      </c>
      <c r="D8373" s="9" t="s">
        <v>15287</v>
      </c>
      <c r="E8373" s="8" t="str">
        <f>IFERROR(__xludf.DUMMYFUNCTION("googletranslate(D8373,""id"",""en"")"),"Not yet prepared material, haven't learned yet. PPKM BNGKE.")</f>
        <v>Not yet prepared material, haven't learned yet. PPKM BNGKE.</v>
      </c>
    </row>
    <row r="8374" ht="15.75" customHeight="1">
      <c r="A8374" s="2">
        <v>8377.0</v>
      </c>
      <c r="B8374" s="5" t="s">
        <v>15288</v>
      </c>
      <c r="C8374" s="6">
        <v>2.0</v>
      </c>
      <c r="D8374" s="7" t="s">
        <v>15289</v>
      </c>
      <c r="E8374" s="8" t="str">
        <f>IFERROR(__xludf.DUMMYFUNCTION("googletranslate(D8374,""id"",""en"")"),"Ppkm bro gaoba..")</f>
        <v>Ppkm bro gaoba..</v>
      </c>
    </row>
    <row r="8375" ht="15.75" customHeight="1">
      <c r="A8375" s="2">
        <v>8378.0</v>
      </c>
      <c r="B8375" s="5" t="s">
        <v>15290</v>
      </c>
      <c r="C8375" s="6">
        <v>3.0</v>
      </c>
      <c r="D8375" s="7" t="s">
        <v>15291</v>
      </c>
      <c r="E8375" s="8" t="str">
        <f>IFERROR(__xludf.DUMMYFUNCTION("googletranslate(D8375,""id"",""en"")"),"Smart people are people who respect the pahaterawan symbol of the country and the flag")</f>
        <v>Smart people are people who respect the pahaterawan symbol of the country and the flag</v>
      </c>
    </row>
    <row r="8376" ht="15.75" customHeight="1">
      <c r="A8376" s="2">
        <v>8379.0</v>
      </c>
      <c r="B8376" s="5" t="s">
        <v>15292</v>
      </c>
      <c r="C8376" s="6">
        <v>3.0</v>
      </c>
      <c r="D8376" s="7" t="s">
        <v>15293</v>
      </c>
      <c r="E8376" s="8" t="str">
        <f>IFERROR(__xludf.DUMMYFUNCTION("googletranslate(D8376,""id"",""en"")"),"But remember yes, if the PPKM will be stopped because the Covid case starts to decline, because we are still a pandemic, all must remain obey the health protocol.")</f>
        <v>But remember yes, if the PPKM will be stopped because the Covid case starts to decline, because we are still a pandemic, all must remain obey the health protocol.</v>
      </c>
    </row>
    <row r="8377" ht="15.75" customHeight="1">
      <c r="A8377" s="2">
        <v>8380.0</v>
      </c>
      <c r="B8377" s="5" t="s">
        <v>15294</v>
      </c>
      <c r="C8377" s="6">
        <v>1.0</v>
      </c>
      <c r="D8377" s="9" t="s">
        <v>15295</v>
      </c>
      <c r="E8377" s="8" t="str">
        <f>IFERROR(__xludf.DUMMYFUNCTION("googletranslate(D8377,""id"",""en"")"),"Think of the folk of the country that will carry out sustainable PPKM without a clear solution because it is not able to carry out the perpres itself TT quarantine due to his balance")</f>
        <v>Think of the folk of the country that will carry out sustainable PPKM without a clear solution because it is not able to carry out the perpres itself TT quarantine due to his balance</v>
      </c>
    </row>
    <row r="8378" ht="15.75" customHeight="1">
      <c r="A8378" s="2">
        <v>8381.0</v>
      </c>
      <c r="B8378" s="5" t="s">
        <v>15296</v>
      </c>
      <c r="C8378" s="6">
        <v>2.0</v>
      </c>
      <c r="D8378" s="7" t="s">
        <v>15296</v>
      </c>
      <c r="E8378" s="8" t="str">
        <f>IFERROR(__xludf.DUMMYFUNCTION("googletranslate(D8378,""id"",""en"")"),"Any East Java Emergency PPKM")</f>
        <v>Any East Java Emergency PPKM</v>
      </c>
    </row>
    <row r="8379" ht="15.75" customHeight="1">
      <c r="A8379" s="2">
        <v>8382.0</v>
      </c>
      <c r="B8379" s="5" t="s">
        <v>15297</v>
      </c>
      <c r="C8379" s="6">
        <v>1.0</v>
      </c>
      <c r="D8379" s="7" t="s">
        <v>15298</v>
      </c>
      <c r="E8379" s="8" t="str">
        <f>IFERROR(__xludf.DUMMYFUNCTION("googletranslate(D8379,""id"",""en"")"),"Ppkm = slowly we die")</f>
        <v>Ppkm = slowly we die</v>
      </c>
    </row>
    <row r="8380" ht="15.75" customHeight="1">
      <c r="A8380" s="2">
        <v>8383.0</v>
      </c>
      <c r="B8380" s="5" t="s">
        <v>15299</v>
      </c>
      <c r="C8380" s="6">
        <v>3.0</v>
      </c>
      <c r="D8380" s="9" t="s">
        <v>15300</v>
      </c>
      <c r="E8380" s="8" t="str">
        <f>IFERROR(__xludf.DUMMYFUNCTION("googletranslate(D8380,""id"",""en"")"),"No one expects PPKM to continue to be extended, but if we don't obey, the PPKM will continue to extend. So, let's obey the Gais proces. Let me immediately finish the pandemic. So you can drink and gather again")</f>
        <v>No one expects PPKM to continue to be extended, but if we don't obey, the PPKM will continue to extend. So, let's obey the Gais proces. Let me immediately finish the pandemic. So you can drink and gather again</v>
      </c>
    </row>
    <row r="8381" ht="15.75" customHeight="1">
      <c r="A8381" s="2">
        <v>8384.0</v>
      </c>
      <c r="B8381" s="5" t="s">
        <v>15301</v>
      </c>
      <c r="C8381" s="6">
        <v>1.0</v>
      </c>
      <c r="D8381" s="7" t="s">
        <v>15302</v>
      </c>
      <c r="E8381" s="8" t="str">
        <f>IFERROR(__xludf.DUMMYFUNCTION("googletranslate(D8381,""id"",""en"")"),"just wait, maybe because it's a little ppkm, so it's a little late")</f>
        <v>just wait, maybe because it's a little ppkm, so it's a little late</v>
      </c>
    </row>
    <row r="8382" ht="15.75" customHeight="1">
      <c r="A8382" s="2">
        <v>8385.0</v>
      </c>
      <c r="B8382" s="5" t="s">
        <v>15303</v>
      </c>
      <c r="C8382" s="6">
        <v>2.0</v>
      </c>
      <c r="D8382" s="9" t="s">
        <v>15304</v>
      </c>
      <c r="E8382" s="8" t="str">
        <f>IFERROR(__xludf.DUMMYFUNCTION("googletranslate(D8382,""id"",""en"")"),"The status of the PPKM extension in various regions depends on ourselves. If we all participate in collaboration to immediately reduce the Covid case. PPKM can be completed.")</f>
        <v>The status of the PPKM extension in various regions depends on ourselves. If we all participate in collaboration to immediately reduce the Covid case. PPKM can be completed.</v>
      </c>
    </row>
    <row r="8383" ht="15.75" customHeight="1">
      <c r="A8383" s="2">
        <v>8386.0</v>
      </c>
      <c r="B8383" s="5" t="s">
        <v>15305</v>
      </c>
      <c r="C8383" s="6">
        <v>1.0</v>
      </c>
      <c r="D8383" s="7" t="s">
        <v>15306</v>
      </c>
      <c r="E8383" s="8" t="str">
        <f>IFERROR(__xludf.DUMMYFUNCTION("googletranslate(D8383,""id"",""en"")"),"Ppkm = slowly getting mentally")</f>
        <v>Ppkm = slowly getting mentally</v>
      </c>
    </row>
    <row r="8384" ht="15.75" customHeight="1">
      <c r="A8384" s="2">
        <v>8387.0</v>
      </c>
      <c r="B8384" s="5" t="s">
        <v>15307</v>
      </c>
      <c r="C8384" s="6">
        <v>3.0</v>
      </c>
      <c r="D8384" s="7" t="s">
        <v>15307</v>
      </c>
      <c r="E8384" s="8" t="str">
        <f>IFERROR(__xludf.DUMMYFUNCTION("googletranslate(D8384,""id"",""en"")"),"The impact of the application of PPKM also lowered the Bed Occupancy Rate in the hospital. Many patients begin to recover from Covid.")</f>
        <v>The impact of the application of PPKM also lowered the Bed Occupancy Rate in the hospital. Many patients begin to recover from Covid.</v>
      </c>
    </row>
    <row r="8385" ht="15.75" customHeight="1">
      <c r="A8385" s="2">
        <v>8388.0</v>
      </c>
      <c r="B8385" s="5" t="s">
        <v>15308</v>
      </c>
      <c r="C8385" s="6">
        <v>3.0</v>
      </c>
      <c r="D8385" s="7" t="s">
        <v>15309</v>
      </c>
      <c r="E8385" s="8" t="str">
        <f>IFERROR(__xludf.DUMMYFUNCTION("googletranslate(D8385,""id"",""en"")"),"Since PPKM applies, there is a region on the island of Java which managed to decline level status to the level of the Covid-19 case.")</f>
        <v>Since PPKM applies, there is a region on the island of Java which managed to decline level status to the level of the Covid-19 case.</v>
      </c>
    </row>
    <row r="8386" ht="15.75" customHeight="1">
      <c r="A8386" s="2">
        <v>8389.0</v>
      </c>
      <c r="B8386" s="5" t="s">
        <v>15310</v>
      </c>
      <c r="C8386" s="6">
        <v>1.0</v>
      </c>
      <c r="D8386" s="7" t="s">
        <v>15311</v>
      </c>
      <c r="E8386" s="8" t="str">
        <f>IFERROR(__xludf.DUMMYFUNCTION("googletranslate(D8386,""id"",""en"")"),"The enactment of PPKM but select, open your eyes O")</f>
        <v>The enactment of PPKM but select, open your eyes O</v>
      </c>
    </row>
    <row r="8387" ht="15.75" customHeight="1">
      <c r="A8387" s="2">
        <v>8390.0</v>
      </c>
      <c r="B8387" s="5" t="s">
        <v>15312</v>
      </c>
      <c r="C8387" s="6">
        <v>2.0</v>
      </c>
      <c r="D8387" s="7" t="s">
        <v>15313</v>
      </c>
      <c r="E8387" s="8" t="str">
        <f>IFERROR(__xludf.DUMMYFUNCTION("googletranslate(D8387,""id"",""en"")"),"So the pandemal is divided. PPKM ulcer ...")</f>
        <v>So the pandemal is divided. PPKM ulcer ...</v>
      </c>
    </row>
    <row r="8388" ht="15.75" customHeight="1">
      <c r="A8388" s="2">
        <v>8391.0</v>
      </c>
      <c r="B8388" s="5" t="s">
        <v>15314</v>
      </c>
      <c r="C8388" s="6">
        <v>2.0</v>
      </c>
      <c r="D8388" s="7" t="s">
        <v>15314</v>
      </c>
      <c r="E8388" s="8" t="str">
        <f>IFERROR(__xludf.DUMMYFUNCTION("googletranslate(D8388,""id"",""en"")"),"Want to go on a way but the money of PPKM is ahahahah")</f>
        <v>Want to go on a way but the money of PPKM is ahahahah</v>
      </c>
    </row>
    <row r="8389" ht="15.75" customHeight="1">
      <c r="A8389" s="2">
        <v>8392.0</v>
      </c>
      <c r="B8389" s="5" t="s">
        <v>15315</v>
      </c>
      <c r="C8389" s="6">
        <v>1.0</v>
      </c>
      <c r="D8389" s="7" t="s">
        <v>15316</v>
      </c>
      <c r="E8389" s="8" t="str">
        <f>IFERROR(__xludf.DUMMYFUNCTION("googletranslate(D8389,""id"",""en"")"),"Extended PPKM, Gabisa Balkkk")</f>
        <v>Extended PPKM, Gabisa Balkkk</v>
      </c>
    </row>
    <row r="8390" ht="15.75" customHeight="1">
      <c r="A8390" s="2">
        <v>8393.0</v>
      </c>
      <c r="B8390" s="5" t="s">
        <v>15317</v>
      </c>
      <c r="C8390" s="6">
        <v>2.0</v>
      </c>
      <c r="D8390" s="7" t="s">
        <v>15318</v>
      </c>
      <c r="E8390" s="8" t="str">
        <f>IFERROR(__xludf.DUMMYFUNCTION("googletranslate(D8390,""id"",""en"")"),"His ppkm is extended, his relationship is not")</f>
        <v>His ppkm is extended, his relationship is not</v>
      </c>
    </row>
    <row r="8391" ht="15.75" customHeight="1">
      <c r="A8391" s="2">
        <v>8394.0</v>
      </c>
      <c r="B8391" s="5" t="s">
        <v>15319</v>
      </c>
      <c r="C8391" s="6">
        <v>1.0</v>
      </c>
      <c r="D8391" s="7" t="s">
        <v>15320</v>
      </c>
      <c r="E8391" s="8" t="str">
        <f>IFERROR(__xludf.DUMMYFUNCTION("googletranslate(D8391,""id"",""en"")"),"Yes, pity Bet, Mending told you to retreat, but I think it will be extended again or not?")</f>
        <v>Yes, pity Bet, Mending told you to retreat, but I think it will be extended again or not?</v>
      </c>
    </row>
    <row r="8392" ht="15.75" customHeight="1">
      <c r="A8392" s="2">
        <v>8395.0</v>
      </c>
      <c r="B8392" s="5" t="s">
        <v>15321</v>
      </c>
      <c r="C8392" s="6">
        <v>1.0</v>
      </c>
      <c r="D8392" s="9" t="s">
        <v>15322</v>
      </c>
      <c r="E8392" s="8" t="str">
        <f>IFERROR(__xludf.DUMMYFUNCTION("googletranslate(D8392,""id"",""en"")"),"the difference is our president now can't be a leader ... it can be supposed to be ppkm until now it doesn't need to be ... can't make a decision")</f>
        <v>the difference is our president now can't be a leader ... it can be supposed to be ppkm until now it doesn't need to be ... can't make a decision</v>
      </c>
    </row>
    <row r="8393" ht="15.75" customHeight="1">
      <c r="A8393" s="2">
        <v>8396.0</v>
      </c>
      <c r="B8393" s="5" t="s">
        <v>15323</v>
      </c>
      <c r="C8393" s="6">
        <v>2.0</v>
      </c>
      <c r="D8393" s="7" t="s">
        <v>15324</v>
      </c>
      <c r="E8393" s="8" t="str">
        <f>IFERROR(__xludf.DUMMYFUNCTION("googletranslate(D8393,""id"",""en"")"),"Kangenn, last Dine in SBLM PPKM")</f>
        <v>Kangenn, last Dine in SBLM PPKM</v>
      </c>
    </row>
    <row r="8394" ht="15.75" customHeight="1">
      <c r="A8394" s="2">
        <v>8397.0</v>
      </c>
      <c r="B8394" s="5" t="s">
        <v>15325</v>
      </c>
      <c r="C8394" s="6">
        <v>3.0</v>
      </c>
      <c r="D8394" s="7" t="s">
        <v>15326</v>
      </c>
      <c r="E8394" s="8" t="str">
        <f>IFERROR(__xludf.DUMMYFUNCTION("googletranslate(D8394,""id"",""en"")"),"Mornewng bree ... the spirit of obeying the PPKM level which was again extended by President Jokowi right? But it's good, the PPKM proved to be effective in controlling this climper pandemic")</f>
        <v>Mornewng bree ... the spirit of obeying the PPKM level which was again extended by President Jokowi right? But it's good, the PPKM proved to be effective in controlling this climper pandemic</v>
      </c>
    </row>
    <row r="8395" ht="15.75" customHeight="1">
      <c r="A8395" s="2">
        <v>8398.0</v>
      </c>
      <c r="B8395" s="5" t="s">
        <v>15327</v>
      </c>
      <c r="C8395" s="6">
        <v>2.0</v>
      </c>
      <c r="D8395" s="9" t="s">
        <v>15328</v>
      </c>
      <c r="E8395" s="8" t="str">
        <f>IFERROR(__xludf.DUMMYFUNCTION("googletranslate(D8395,""id"",""en"")"),"uniqlo ppkm open or not")</f>
        <v>uniqlo ppkm open or not</v>
      </c>
    </row>
    <row r="8396" ht="15.75" customHeight="1">
      <c r="A8396" s="2">
        <v>8399.0</v>
      </c>
      <c r="B8396" s="5" t="s">
        <v>15329</v>
      </c>
      <c r="C8396" s="6">
        <v>2.0</v>
      </c>
      <c r="D8396" s="7" t="s">
        <v>15330</v>
      </c>
      <c r="E8396" s="8" t="str">
        <f>IFERROR(__xludf.DUMMYFUNCTION("googletranslate(D8396,""id"",""en"")"),"After the PPKM ends, there must be many who work, work the work of Haahahaha work work works Hahahaha.")</f>
        <v>After the PPKM ends, there must be many who work, work the work of Haahahaha work work works Hahahaha.</v>
      </c>
    </row>
    <row r="8397" ht="15.75" customHeight="1">
      <c r="A8397" s="2">
        <v>8400.0</v>
      </c>
      <c r="B8397" s="5" t="s">
        <v>15331</v>
      </c>
      <c r="C8397" s="6">
        <v>2.0</v>
      </c>
      <c r="D8397" s="7" t="s">
        <v>15332</v>
      </c>
      <c r="E8397" s="8" t="str">
        <f>IFERROR(__xludf.DUMMYFUNCTION("googletranslate(D8397,""id"",""en"")"),"Ppkm until August")</f>
        <v>Ppkm until August</v>
      </c>
    </row>
    <row r="8398" ht="15.75" customHeight="1">
      <c r="A8398" s="2">
        <v>8401.0</v>
      </c>
      <c r="B8398" s="5" t="s">
        <v>15333</v>
      </c>
      <c r="C8398" s="6">
        <v>2.0</v>
      </c>
      <c r="D8398" s="7" t="s">
        <v>15333</v>
      </c>
      <c r="E8398" s="8" t="str">
        <f>IFERROR(__xludf.DUMMYFUNCTION("googletranslate(D8398,""id"",""en"")"),"/ LT PPKM extended to bookmail from bookdepo on to all")</f>
        <v>/ LT PPKM extended to bookmail from bookdepo on to all</v>
      </c>
    </row>
    <row r="8399" ht="15.75" customHeight="1">
      <c r="A8399" s="2">
        <v>8402.0</v>
      </c>
      <c r="B8399" s="5" t="s">
        <v>15334</v>
      </c>
      <c r="C8399" s="6">
        <v>2.0</v>
      </c>
      <c r="D8399" s="9" t="s">
        <v>15335</v>
      </c>
      <c r="E8399" s="8" t="str">
        <f>IFERROR(__xludf.DUMMYFUNCTION("googletranslate(D8399,""id"",""en"")"),"Cuk, I think I have to buy this, the UNIQLO PPKM is open?")</f>
        <v>Cuk, I think I have to buy this, the UNIQLO PPKM is open?</v>
      </c>
    </row>
    <row r="8400" ht="15.75" customHeight="1">
      <c r="A8400" s="2">
        <v>8403.0</v>
      </c>
      <c r="B8400" s="5" t="s">
        <v>15336</v>
      </c>
      <c r="C8400" s="6">
        <v>2.0</v>
      </c>
      <c r="D8400" s="7" t="s">
        <v>15337</v>
      </c>
      <c r="E8400" s="8" t="str">
        <f>IFERROR(__xludf.DUMMYFUNCTION("googletranslate(D8400,""id"",""en"")"),"And as far as I know the extension of the PPKM is not only in Java-Bali, TP in several other cities also apply the same rules.")</f>
        <v>And as far as I know the extension of the PPKM is not only in Java-Bali, TP in several other cities also apply the same rules.</v>
      </c>
    </row>
    <row r="8401" ht="15.75" customHeight="1">
      <c r="A8401" s="2">
        <v>8404.0</v>
      </c>
      <c r="B8401" s="5" t="s">
        <v>15338</v>
      </c>
      <c r="C8401" s="6">
        <v>3.0</v>
      </c>
      <c r="D8401" s="9" t="s">
        <v>15339</v>
      </c>
      <c r="E8401" s="8" t="str">
        <f>IFERROR(__xludf.DUMMYFUNCTION("googletranslate(D8401,""id"",""en"")"),"Good morning kang ..... always healthy &amp; amp; Tegar faces any level PPKM. Greetings")</f>
        <v>Good morning kang ..... always healthy &amp; amp; Tegar faces any level PPKM. Greetings</v>
      </c>
    </row>
    <row r="8402" ht="15.75" customHeight="1">
      <c r="A8402" s="2">
        <v>8405.0</v>
      </c>
      <c r="B8402" s="5" t="s">
        <v>15340</v>
      </c>
      <c r="C8402" s="6">
        <v>2.0</v>
      </c>
      <c r="D8402" s="9" t="s">
        <v>15341</v>
      </c>
      <c r="E8402" s="8" t="str">
        <f>IFERROR(__xludf.DUMMYFUNCTION("googletranslate(D8402,""id"",""en"")"),"If the angel can be? Want Negotiations, I know, I can be extended by the Kayak PPKM")</f>
        <v>If the angel can be? Want Negotiations, I know, I can be extended by the Kayak PPKM</v>
      </c>
    </row>
    <row r="8403" ht="15.75" customHeight="1">
      <c r="A8403" s="2">
        <v>8406.0</v>
      </c>
      <c r="B8403" s="5" t="s">
        <v>15342</v>
      </c>
      <c r="C8403" s="6">
        <v>1.0</v>
      </c>
      <c r="D8403" s="9" t="s">
        <v>15343</v>
      </c>
      <c r="E8403" s="8" t="str">
        <f>IFERROR(__xludf.DUMMYFUNCTION("googletranslate(D8403,""id"",""en"")"),"Until the skin is dry looking for a solution so that the people don't demo to depose Jokowi ... the PPKM is extended continuously")</f>
        <v>Until the skin is dry looking for a solution so that the people don't demo to depose Jokowi ... the PPKM is extended continuously</v>
      </c>
    </row>
    <row r="8404" ht="15.75" customHeight="1">
      <c r="A8404" s="2">
        <v>8407.0</v>
      </c>
      <c r="B8404" s="5" t="s">
        <v>15344</v>
      </c>
      <c r="C8404" s="6">
        <v>1.0</v>
      </c>
      <c r="D8404" s="7" t="s">
        <v>15345</v>
      </c>
      <c r="E8404" s="8" t="str">
        <f>IFERROR(__xludf.DUMMYFUNCTION("googletranslate(D8404,""id"",""en"")"),"The inferior to Malaysia, the country is lockdown but its football remains a way, we are just PPKM, but ??? You know Laahhh")</f>
        <v>The inferior to Malaysia, the country is lockdown but its football remains a way, we are just PPKM, but ??? You know Laahhh</v>
      </c>
    </row>
    <row r="8405" ht="15.75" customHeight="1">
      <c r="A8405" s="2">
        <v>8408.0</v>
      </c>
      <c r="B8405" s="5" t="s">
        <v>15346</v>
      </c>
      <c r="C8405" s="6">
        <v>3.0</v>
      </c>
      <c r="D8405" s="9" t="s">
        <v>15347</v>
      </c>
      <c r="E8405" s="8" t="str">
        <f>IFERROR(__xludf.DUMMYFUNCTION("googletranslate(D8405,""id"",""en"")"),"Yes, you want a long pandemic to continue. So obey the Rules of PPKM huh. Don't naughty wandering if there is no interest. Remember, everyone has the right to come out of this pandemic.")</f>
        <v>Yes, you want a long pandemic to continue. So obey the Rules of PPKM huh. Don't naughty wandering if there is no interest. Remember, everyone has the right to come out of this pandemic.</v>
      </c>
    </row>
    <row r="8406" ht="15.75" customHeight="1">
      <c r="A8406" s="2">
        <v>8409.0</v>
      </c>
      <c r="B8406" s="5" t="s">
        <v>15348</v>
      </c>
      <c r="C8406" s="6">
        <v>2.0</v>
      </c>
      <c r="D8406" s="9" t="s">
        <v>15349</v>
      </c>
      <c r="E8406" s="8" t="str">
        <f>IFERROR(__xludf.DUMMYFUNCTION("googletranslate(D8406,""id"",""en"")"),"PPKM Banjarmasin who had an umpteenth extension, just last night out the policy of entering Banjarmasin must be PCR or show a vaccine card. While in its own city there is no tightening of regulations, still normal there is no drastic change.")</f>
        <v>PPKM Banjarmasin who had an umpteenth extension, just last night out the policy of entering Banjarmasin must be PCR or show a vaccine card. While in its own city there is no tightening of regulations, still normal there is no drastic change.</v>
      </c>
    </row>
    <row r="8407" ht="15.75" customHeight="1">
      <c r="A8407" s="2">
        <v>8410.0</v>
      </c>
      <c r="B8407" s="5" t="s">
        <v>15350</v>
      </c>
      <c r="C8407" s="6">
        <v>2.0</v>
      </c>
      <c r="D8407" s="7" t="s">
        <v>15351</v>
      </c>
      <c r="E8407" s="8" t="str">
        <f>IFERROR(__xludf.DUMMYFUNCTION("googletranslate(D8407,""id"",""en"")"),"Here is still PPKM")</f>
        <v>Here is still PPKM</v>
      </c>
    </row>
    <row r="8408" ht="15.75" customHeight="1">
      <c r="A8408" s="2">
        <v>8411.0</v>
      </c>
      <c r="B8408" s="5" t="s">
        <v>15352</v>
      </c>
      <c r="C8408" s="6">
        <v>2.0</v>
      </c>
      <c r="D8408" s="7" t="s">
        <v>15353</v>
      </c>
      <c r="E8408" s="8" t="str">
        <f>IFERROR(__xludf.DUMMYFUNCTION("googletranslate(D8408,""id"",""en"")"),"Real PPKM Impact")</f>
        <v>Real PPKM Impact</v>
      </c>
    </row>
    <row r="8409" ht="15.75" customHeight="1">
      <c r="A8409" s="2">
        <v>8412.0</v>
      </c>
      <c r="B8409" s="5" t="s">
        <v>15354</v>
      </c>
      <c r="C8409" s="6">
        <v>2.0</v>
      </c>
      <c r="D8409" s="7" t="s">
        <v>15355</v>
      </c>
      <c r="E8409" s="8" t="str">
        <f>IFERROR(__xludf.DUMMYFUNCTION("googletranslate(D8409,""id"",""en"")"),"Smnjak ppkm den often open my infop dr twiter, ppkm must update info around the road and the gang2 narrow")</f>
        <v>Smnjak ppkm den often open my infop dr twiter, ppkm must update info around the road and the gang2 narrow</v>
      </c>
    </row>
    <row r="8410" ht="15.75" customHeight="1">
      <c r="A8410" s="2">
        <v>8413.0</v>
      </c>
      <c r="B8410" s="5" t="s">
        <v>15356</v>
      </c>
      <c r="C8410" s="6">
        <v>2.0</v>
      </c>
      <c r="D8410" s="7" t="s">
        <v>15357</v>
      </c>
      <c r="E8410" s="8" t="str">
        <f>IFERROR(__xludf.DUMMYFUNCTION("googletranslate(D8410,""id"",""en"")"),"Shipping PPKM late old or not?")</f>
        <v>Shipping PPKM late old or not?</v>
      </c>
    </row>
    <row r="8411" ht="15.75" customHeight="1">
      <c r="A8411" s="2">
        <v>8414.0</v>
      </c>
      <c r="B8411" s="5" t="s">
        <v>15358</v>
      </c>
      <c r="C8411" s="6">
        <v>3.0</v>
      </c>
      <c r="D8411" s="9" t="s">
        <v>15359</v>
      </c>
      <c r="E8411" s="8" t="str">
        <f>IFERROR(__xludf.DUMMYFUNCTION("googletranslate(D8411,""id"",""en"")"),"The PPKM which was applied from the beginning of last July turned out to have a positive impact to reduce the active case of Covid-19. Patients in hospitals began many who healed too.")</f>
        <v>The PPKM which was applied from the beginning of last July turned out to have a positive impact to reduce the active case of Covid-19. Patients in hospitals began many who healed too.</v>
      </c>
    </row>
    <row r="8412" ht="15.75" customHeight="1">
      <c r="A8412" s="2">
        <v>8415.0</v>
      </c>
      <c r="B8412" s="5" t="s">
        <v>15360</v>
      </c>
      <c r="C8412" s="6">
        <v>3.0</v>
      </c>
      <c r="D8412" s="9" t="s">
        <v>15361</v>
      </c>
      <c r="E8412" s="8" t="str">
        <f>IFERROR(__xludf.DUMMYFUNCTION("googletranslate(D8412,""id"",""en"")"),"This means that the Covid spread rate decreases and will continue to fall if we obey the rules. Calo on obedient rules, the Covid number falls, the PPKM will be stopped. Pandemic can also end")</f>
        <v>This means that the Covid spread rate decreases and will continue to fall if we obey the rules. Calo on obedient rules, the Covid number falls, the PPKM will be stopped. Pandemic can also end</v>
      </c>
    </row>
    <row r="8413" ht="15.75" customHeight="1">
      <c r="A8413" s="2">
        <v>8416.0</v>
      </c>
      <c r="B8413" s="5" t="s">
        <v>15362</v>
      </c>
      <c r="C8413" s="6">
        <v>1.0</v>
      </c>
      <c r="D8413" s="9" t="s">
        <v>15363</v>
      </c>
      <c r="E8413" s="8" t="str">
        <f>IFERROR(__xludf.DUMMYFUNCTION("googletranslate(D8413,""id"",""en"")"),"Don't, Bambang. There is a new virus, you have a bother. The insecure is not covid. But Elu because the Betulan PPKM extended until anytime.")</f>
        <v>Don't, Bambang. There is a new virus, you have a bother. The insecure is not covid. But Elu because the Betulan PPKM extended until anytime.</v>
      </c>
    </row>
    <row r="8414" ht="15.75" customHeight="1">
      <c r="A8414" s="2">
        <v>8417.0</v>
      </c>
      <c r="B8414" s="5" t="s">
        <v>15364</v>
      </c>
      <c r="C8414" s="6">
        <v>2.0</v>
      </c>
      <c r="D8414" s="9" t="s">
        <v>15365</v>
      </c>
      <c r="E8414" s="8" t="str">
        <f>IFERROR(__xludf.DUMMYFUNCTION("googletranslate(D8414,""id"",""en"")"),"... first when I didn't want to play to the house, he was both - the three of them wanted to do it, it wouldn't be permeated by your mother.")</f>
        <v>... first when I didn't want to play to the house, he was both - the three of them wanted to do it, it wouldn't be permeated by your mother.</v>
      </c>
    </row>
    <row r="8415" ht="15.75" customHeight="1">
      <c r="A8415" s="2">
        <v>8418.0</v>
      </c>
      <c r="B8415" s="5" t="s">
        <v>15366</v>
      </c>
      <c r="C8415" s="6">
        <v>2.0</v>
      </c>
      <c r="D8415" s="7" t="s">
        <v>15367</v>
      </c>
      <c r="E8415" s="8" t="str">
        <f>IFERROR(__xludf.DUMMYFUNCTION("googletranslate(D8415,""id"",""en"")"),"Well, bali okeh, but still a PPKM pedes level")</f>
        <v>Well, bali okeh, but still a PPKM pedes level</v>
      </c>
    </row>
    <row r="8416" ht="15.75" customHeight="1">
      <c r="A8416" s="2">
        <v>8419.0</v>
      </c>
      <c r="B8416" s="5" t="s">
        <v>15368</v>
      </c>
      <c r="C8416" s="6">
        <v>2.0</v>
      </c>
      <c r="D8416" s="7" t="s">
        <v>15369</v>
      </c>
      <c r="E8416" s="8" t="str">
        <f>IFERROR(__xludf.DUMMYFUNCTION("googletranslate(D8416,""id"",""en"")"),"What is the length of the ppkm?")</f>
        <v>What is the length of the ppkm?</v>
      </c>
    </row>
    <row r="8417" ht="15.75" customHeight="1">
      <c r="A8417" s="2">
        <v>8420.0</v>
      </c>
      <c r="B8417" s="5" t="s">
        <v>15370</v>
      </c>
      <c r="C8417" s="6">
        <v>1.0</v>
      </c>
      <c r="D8417" s="7" t="s">
        <v>15371</v>
      </c>
      <c r="E8417" s="8" t="str">
        <f>IFERROR(__xludf.DUMMYFUNCTION("googletranslate(D8417,""id"",""en"")"),"But it's not sad, there are many people who are corrupt, there are bansos funds again. FED UP")</f>
        <v>But it's not sad, there are many people who are corrupt, there are bansos funds again. FED UP</v>
      </c>
    </row>
    <row r="8418" ht="15.75" customHeight="1">
      <c r="A8418" s="2">
        <v>8421.0</v>
      </c>
      <c r="B8418" s="5" t="s">
        <v>15372</v>
      </c>
      <c r="C8418" s="6">
        <v>2.0</v>
      </c>
      <c r="D8418" s="7" t="s">
        <v>15372</v>
      </c>
      <c r="E8418" s="8" t="str">
        <f>IFERROR(__xludf.DUMMYFUNCTION("googletranslate(D8418,""id"",""en"")"),"Yok Ngahah Yok PPKM")</f>
        <v>Yok Ngahah Yok PPKM</v>
      </c>
    </row>
    <row r="8419" ht="15.75" customHeight="1">
      <c r="A8419" s="2">
        <v>8422.0</v>
      </c>
      <c r="B8419" s="5" t="s">
        <v>15373</v>
      </c>
      <c r="C8419" s="6">
        <v>1.0</v>
      </c>
      <c r="D8419" s="9" t="s">
        <v>15374</v>
      </c>
      <c r="E8419" s="8" t="str">
        <f>IFERROR(__xludf.DUMMYFUNCTION("googletranslate(D8419,""id"",""en"")"),"Please ... I'm just a wide range of ppkm, instead on the crowd")</f>
        <v>Please ... I'm just a wide range of ppkm, instead on the crowd</v>
      </c>
    </row>
    <row r="8420" ht="15.75" customHeight="1">
      <c r="A8420" s="2">
        <v>8423.0</v>
      </c>
      <c r="B8420" s="5" t="s">
        <v>15375</v>
      </c>
      <c r="C8420" s="6">
        <v>2.0</v>
      </c>
      <c r="D8420" s="7" t="s">
        <v>15376</v>
      </c>
      <c r="E8420" s="8" t="str">
        <f>IFERROR(__xludf.DUMMYFUNCTION("googletranslate(D8420,""id"",""en"")"),"During this time I used a statement of RT / RW Sis ... the statement was filled with working GT. From the beginning of the PPKM until Extend Gatau when this can still be used by the letter (making X)")</f>
        <v>During this time I used a statement of RT / RW Sis ... the statement was filled with working GT. From the beginning of the PPKM until Extend Gatau when this can still be used by the letter (making X)</v>
      </c>
    </row>
    <row r="8421" ht="15.75" customHeight="1">
      <c r="A8421" s="2">
        <v>8424.0</v>
      </c>
      <c r="B8421" s="5" t="s">
        <v>15377</v>
      </c>
      <c r="C8421" s="6">
        <v>2.0</v>
      </c>
      <c r="D8421" s="9" t="s">
        <v>15378</v>
      </c>
      <c r="E8421" s="8" t="str">
        <f>IFERROR(__xludf.DUMMYFUNCTION("googletranslate(D8421,""id"",""en"")"),"It turned out that since the PPKM at this time there were still many people who hadn't slept, OT from Malem until the morning stayed up late, it was a lot. Kirain I doang.")</f>
        <v>It turned out that since the PPKM at this time there were still many people who hadn't slept, OT from Malem until the morning stayed up late, it was a lot. Kirain I doang.</v>
      </c>
    </row>
    <row r="8422" ht="15.75" customHeight="1">
      <c r="A8422" s="2">
        <v>8425.0</v>
      </c>
      <c r="B8422" s="5" t="s">
        <v>15379</v>
      </c>
      <c r="C8422" s="6">
        <v>2.0</v>
      </c>
      <c r="D8422" s="9" t="s">
        <v>15380</v>
      </c>
      <c r="E8422" s="8" t="str">
        <f>IFERROR(__xludf.DUMMYFUNCTION("googletranslate(D8422,""id"",""en"")"),"Hello min, please answer, how to change the location of the test location? Please be assisted because SKRG is currently PPKM, of course, can change the location of the test will greatly help us participants. thank you")</f>
        <v>Hello min, please answer, how to change the location of the test location? Please be assisted because SKRG is currently PPKM, of course, can change the location of the test will greatly help us participants. thank you</v>
      </c>
    </row>
    <row r="8423" ht="15.75" customHeight="1">
      <c r="A8423" s="2">
        <v>8426.0</v>
      </c>
      <c r="B8423" s="5" t="s">
        <v>15381</v>
      </c>
      <c r="C8423" s="6">
        <v>1.0</v>
      </c>
      <c r="D8423" s="7" t="s">
        <v>15382</v>
      </c>
      <c r="E8423" s="8" t="str">
        <f>IFERROR(__xludf.DUMMYFUNCTION("googletranslate(D8423,""id"",""en"")"),"PPKM = Implementation of Worldwide Communist Programs")</f>
        <v>PPKM = Implementation of Worldwide Communist Programs</v>
      </c>
    </row>
    <row r="8424" ht="15.75" customHeight="1">
      <c r="A8424" s="2">
        <v>8427.0</v>
      </c>
      <c r="B8424" s="5" t="s">
        <v>15383</v>
      </c>
      <c r="C8424" s="6">
        <v>1.0</v>
      </c>
      <c r="D8424" s="9" t="s">
        <v>15384</v>
      </c>
      <c r="E8424" s="8" t="str">
        <f>IFERROR(__xludf.DUMMYFUNCTION("googletranslate(D8424,""id"",""en"")"),"Oath is really hard vaccine here huh. Different ID card. Want to return to Zjakarta Really PPKM. Later to be told to muter, it's not even a toll. Very Wasse I have not vaccinated.")</f>
        <v>Oath is really hard vaccine here huh. Different ID card. Want to return to Zjakarta Really PPKM. Later to be told to muter, it's not even a toll. Very Wasse I have not vaccinated.</v>
      </c>
    </row>
    <row r="8425" ht="15.75" customHeight="1">
      <c r="A8425" s="2">
        <v>8428.0</v>
      </c>
      <c r="B8425" s="5" t="s">
        <v>15385</v>
      </c>
      <c r="C8425" s="6">
        <v>2.0</v>
      </c>
      <c r="D8425" s="7" t="s">
        <v>15385</v>
      </c>
      <c r="E8425" s="8" t="str">
        <f>IFERROR(__xludf.DUMMYFUNCTION("googletranslate(D8425,""id"",""en"")"),"The KPKM is not renewed because the Yunabi is aware")</f>
        <v>The KPKM is not renewed because the Yunabi is aware</v>
      </c>
    </row>
    <row r="8426" ht="15.75" customHeight="1">
      <c r="A8426" s="2">
        <v>8429.0</v>
      </c>
      <c r="B8426" s="5" t="s">
        <v>15386</v>
      </c>
      <c r="C8426" s="6">
        <v>3.0</v>
      </c>
      <c r="D8426" s="7" t="s">
        <v>15387</v>
      </c>
      <c r="E8426" s="8" t="str">
        <f>IFERROR(__xludf.DUMMYFUNCTION("googletranslate(D8426,""id"",""en"")"),"PPKM Compliance must continue to be fertilized. If there are more districts / cities that also go down status. We continue to support the PPKM so that Hospital is empty. Thank you for those of us who obey the rules.")</f>
        <v>PPKM Compliance must continue to be fertilized. If there are more districts / cities that also go down status. We continue to support the PPKM so that Hospital is empty. Thank you for those of us who obey the rules.</v>
      </c>
    </row>
    <row r="8427" ht="15.75" customHeight="1">
      <c r="A8427" s="2">
        <v>8430.0</v>
      </c>
      <c r="B8427" s="5" t="s">
        <v>15388</v>
      </c>
      <c r="C8427" s="6">
        <v>2.0</v>
      </c>
      <c r="D8427" s="7" t="s">
        <v>15389</v>
      </c>
      <c r="E8427" s="8" t="str">
        <f>IFERROR(__xludf.DUMMYFUNCTION("googletranslate(D8427,""id"",""en"")"),"Steady. When PPKM ends. I've missed Jogja")</f>
        <v>Steady. When PPKM ends. I've missed Jogja</v>
      </c>
    </row>
    <row r="8428" ht="15.75" customHeight="1">
      <c r="A8428" s="2">
        <v>8431.0</v>
      </c>
      <c r="B8428" s="5" t="s">
        <v>15390</v>
      </c>
      <c r="C8428" s="6">
        <v>3.0</v>
      </c>
      <c r="D8428" s="7" t="s">
        <v>15391</v>
      </c>
      <c r="E8428" s="8" t="str">
        <f>IFERROR(__xludf.DUMMYFUNCTION("googletranslate(D8428,""id"",""en"")"),"The mortality rate and a positive case will determine the status of the PPKM extension. The city is still at level, let's push the rank so that it will go down to the level, and.")</f>
        <v>The mortality rate and a positive case will determine the status of the PPKM extension. The city is still at level, let's push the rank so that it will go down to the level, and.</v>
      </c>
    </row>
    <row r="8429" ht="15.75" customHeight="1">
      <c r="A8429" s="2">
        <v>8432.0</v>
      </c>
      <c r="B8429" s="5" t="s">
        <v>15392</v>
      </c>
      <c r="C8429" s="6">
        <v>3.0</v>
      </c>
      <c r="D8429" s="7" t="s">
        <v>15393</v>
      </c>
      <c r="E8429" s="8" t="str">
        <f>IFERROR(__xludf.DUMMYFUNCTION("googletranslate(D8429,""id"",""en"")"),"The total number of Covid-19 patients who recover today is increasing reaching people. If the results continue to improve, meaning that this PPKM is successful. Don't be off guard the process and complete the vaccine as our double protection.")</f>
        <v>The total number of Covid-19 patients who recover today is increasing reaching people. If the results continue to improve, meaning that this PPKM is successful. Don't be off guard the process and complete the vaccine as our double protection.</v>
      </c>
    </row>
    <row r="8430" ht="15.75" customHeight="1">
      <c r="A8430" s="2">
        <v>8433.0</v>
      </c>
      <c r="B8430" s="5" t="s">
        <v>15394</v>
      </c>
      <c r="C8430" s="6">
        <v>1.0</v>
      </c>
      <c r="D8430" s="7" t="s">
        <v>15395</v>
      </c>
      <c r="E8430" s="8" t="str">
        <f>IFERROR(__xludf.DUMMYFUNCTION("googletranslate(D8430,""id"",""en"")"),"For now, so the weapon is and maintenance ... ppkmmmuau school ... PPKmmmmu Demo ... PPKIndinnya is silencing the people so that the government that is in power to be free")</f>
        <v>For now, so the weapon is and maintenance ... ppkmmmuau school ... PPKmmmmu Demo ... PPKIndinnya is silencing the people so that the government that is in power to be free</v>
      </c>
    </row>
    <row r="8431" ht="15.75" customHeight="1">
      <c r="A8431" s="2">
        <v>8434.0</v>
      </c>
      <c r="B8431" s="5" t="s">
        <v>15396</v>
      </c>
      <c r="C8431" s="6">
        <v>1.0</v>
      </c>
      <c r="D8431" s="7" t="s">
        <v>15397</v>
      </c>
      <c r="E8431" s="8" t="str">
        <f>IFERROR(__xludf.DUMMYFUNCTION("googletranslate(D8431,""id"",""en"")"),"Hit PPKM level also hell?")</f>
        <v>Hit PPKM level also hell?</v>
      </c>
    </row>
    <row r="8432" ht="15.75" customHeight="1">
      <c r="A8432" s="2">
        <v>8435.0</v>
      </c>
      <c r="B8432" s="5" t="s">
        <v>15398</v>
      </c>
      <c r="C8432" s="6">
        <v>2.0</v>
      </c>
      <c r="D8432" s="7" t="s">
        <v>15399</v>
      </c>
      <c r="E8432" s="8" t="str">
        <f>IFERROR(__xludf.DUMMYFUNCTION("googletranslate(D8432,""id"",""en"")"),"How come it's still still still PPKM?")</f>
        <v>How come it's still still still PPKM?</v>
      </c>
    </row>
    <row r="8433" ht="15.75" customHeight="1">
      <c r="A8433" s="2">
        <v>8436.0</v>
      </c>
      <c r="B8433" s="5" t="s">
        <v>15400</v>
      </c>
      <c r="C8433" s="6">
        <v>2.0</v>
      </c>
      <c r="D8433" s="9" t="s">
        <v>15401</v>
      </c>
      <c r="E8433" s="8" t="str">
        <f>IFERROR(__xludf.DUMMYFUNCTION("googletranslate(D8433,""id"",""en"")"),"Time in Palangka, because it is still PPKM, so just lazy to eat in place, be a thru drive in KFC ... Pressant who promo chicken rice, with Mocca float .. too pay, not given a receipt ..")</f>
        <v>Time in Palangka, because it is still PPKM, so just lazy to eat in place, be a thru drive in KFC ... Pressant who promo chicken rice, with Mocca float .. too pay, not given a receipt ..</v>
      </c>
    </row>
    <row r="8434" ht="15.75" customHeight="1">
      <c r="A8434" s="2">
        <v>8437.0</v>
      </c>
      <c r="B8434" s="5" t="s">
        <v>15402</v>
      </c>
      <c r="C8434" s="6">
        <v>2.0</v>
      </c>
      <c r="D8434" s="7" t="s">
        <v>15403</v>
      </c>
      <c r="E8434" s="8" t="str">
        <f>IFERROR(__xludf.DUMMYFUNCTION("googletranslate(D8434,""id"",""en"")"),"Ppkm for age")</f>
        <v>Ppkm for age</v>
      </c>
    </row>
    <row r="8435" ht="15.75" customHeight="1">
      <c r="A8435" s="2">
        <v>8438.0</v>
      </c>
      <c r="B8435" s="5" t="s">
        <v>15404</v>
      </c>
      <c r="C8435" s="6">
        <v>1.0</v>
      </c>
      <c r="D8435" s="7" t="s">
        <v>15405</v>
      </c>
      <c r="E8435" s="8" t="str">
        <f>IFERROR(__xludf.DUMMYFUNCTION("googletranslate(D8435,""id"",""en"")"),"Get an invitation again, because the PPKM will not be: ')")</f>
        <v>Get an invitation again, because the PPKM will not be: ')</v>
      </c>
    </row>
    <row r="8436" ht="15.75" customHeight="1">
      <c r="A8436" s="2">
        <v>8439.0</v>
      </c>
      <c r="B8436" s="5" t="s">
        <v>15406</v>
      </c>
      <c r="C8436" s="6">
        <v>1.0</v>
      </c>
      <c r="D8436" s="9" t="s">
        <v>15407</v>
      </c>
      <c r="E8436" s="8" t="str">
        <f>IFERROR(__xludf.DUMMYFUNCTION("googletranslate(D8436,""id"",""en"")"),"So that school children can freely, eliminate school fees for example, or quota assistance. I yesterday got GB but only a few. The end still let us nyame the money itself with the rules of the PPKM rule that made the turnover drop dramatically right?")</f>
        <v>So that school children can freely, eliminate school fees for example, or quota assistance. I yesterday got GB but only a few. The end still let us nyame the money itself with the rules of the PPKM rule that made the turnover drop dramatically right?</v>
      </c>
    </row>
    <row r="8437" ht="15.75" customHeight="1">
      <c r="A8437" s="2">
        <v>8440.0</v>
      </c>
      <c r="B8437" s="5" t="s">
        <v>15408</v>
      </c>
      <c r="C8437" s="6">
        <v>1.0</v>
      </c>
      <c r="D8437" s="7" t="s">
        <v>15408</v>
      </c>
      <c r="E8437" s="8" t="str">
        <f>IFERROR(__xludf.DUMMYFUNCTION("googletranslate(D8437,""id"",""en"")"),"The drama is discharged with the Ijo airline, let the ppkm finish so that the drama is gini")</f>
        <v>The drama is discharged with the Ijo airline, let the ppkm finish so that the drama is gini</v>
      </c>
    </row>
    <row r="8438" ht="15.75" customHeight="1">
      <c r="A8438" s="2">
        <v>8441.0</v>
      </c>
      <c r="B8438" s="5" t="s">
        <v>15409</v>
      </c>
      <c r="C8438" s="6">
        <v>2.0</v>
      </c>
      <c r="D8438" s="7" t="s">
        <v>15410</v>
      </c>
      <c r="E8438" s="8" t="str">
        <f>IFERROR(__xludf.DUMMYFUNCTION("googletranslate(D8438,""id"",""en"")"),"Transferan experiences the obstacle of the PPKMWKWKWKWKWKWKWKWKWREQUEST")</f>
        <v>Transferan experiences the obstacle of the PPKMWKWKWKWKWKWKWKWKWREQUEST</v>
      </c>
    </row>
    <row r="8439" ht="15.75" customHeight="1">
      <c r="A8439" s="2">
        <v>8442.0</v>
      </c>
      <c r="B8439" s="5" t="s">
        <v>15411</v>
      </c>
      <c r="C8439" s="6">
        <v>2.0</v>
      </c>
      <c r="D8439" s="7" t="s">
        <v>15412</v>
      </c>
      <c r="E8439" s="8" t="str">
        <f>IFERROR(__xludf.DUMMYFUNCTION("googletranslate(D8439,""id"",""en"")"),"Patient still ppkm wkwk")</f>
        <v>Patient still ppkm wkwk</v>
      </c>
    </row>
    <row r="8440" ht="15.75" customHeight="1">
      <c r="A8440" s="2">
        <v>8443.0</v>
      </c>
      <c r="B8440" s="5" t="s">
        <v>15413</v>
      </c>
      <c r="C8440" s="6">
        <v>1.0</v>
      </c>
      <c r="D8440" s="7" t="s">
        <v>15414</v>
      </c>
      <c r="E8440" s="8" t="str">
        <f>IFERROR(__xludf.DUMMYFUNCTION("googletranslate(D8440,""id"",""en"")"),"Hmmm, the one who lives has been guaranteed that the country has only used it. Laah, apakabar the poor, hunger and all-round of his life, especially many who have been affected by PPKM, have layoffs, after the buag survive ... just caught up too ??")</f>
        <v>Hmmm, the one who lives has been guaranteed that the country has only used it. Laah, apakabar the poor, hunger and all-round of his life, especially many who have been affected by PPKM, have layoffs, after the buag survive ... just caught up too ??</v>
      </c>
    </row>
    <row r="8441" ht="15.75" customHeight="1">
      <c r="A8441" s="2">
        <v>8444.0</v>
      </c>
      <c r="B8441" s="5" t="s">
        <v>15415</v>
      </c>
      <c r="C8441" s="6">
        <v>3.0</v>
      </c>
      <c r="D8441" s="7" t="s">
        <v>15416</v>
      </c>
      <c r="E8441" s="8" t="str">
        <f>IFERROR(__xludf.DUMMYFUNCTION("googletranslate(D8441,""id"",""en"")"),"Actually, the government's move to extend the PPKM was to reduce Covid numbers in Indonesia. With the existence of our PPKM demanded to be at home. The impact, the Covid number will drop significantly")</f>
        <v>Actually, the government's move to extend the PPKM was to reduce Covid numbers in Indonesia. With the existence of our PPKM demanded to be at home. The impact, the Covid number will drop significantly</v>
      </c>
    </row>
    <row r="8442" ht="15.75" customHeight="1">
      <c r="A8442" s="2">
        <v>8445.0</v>
      </c>
      <c r="B8442" s="5" t="s">
        <v>15417</v>
      </c>
      <c r="C8442" s="6">
        <v>2.0</v>
      </c>
      <c r="D8442" s="7" t="s">
        <v>15418</v>
      </c>
      <c r="E8442" s="8" t="str">
        <f>IFERROR(__xludf.DUMMYFUNCTION("googletranslate(D8442,""id"",""en"")"),"Who is not diligent in the morning just Jo Altair at BI PPKM")</f>
        <v>Who is not diligent in the morning just Jo Altair at BI PPKM</v>
      </c>
    </row>
    <row r="8443" ht="15.75" customHeight="1">
      <c r="A8443" s="2">
        <v>8446.0</v>
      </c>
      <c r="B8443" s="5" t="s">
        <v>15419</v>
      </c>
      <c r="C8443" s="6">
        <v>2.0</v>
      </c>
      <c r="D8443" s="7" t="s">
        <v>15419</v>
      </c>
      <c r="E8443" s="8" t="str">
        <f>IFERROR(__xludf.DUMMYFUNCTION("googletranslate(D8443,""id"",""en"")"),"I think the ppkm will be cool, it turns out xixixi")</f>
        <v>I think the ppkm will be cool, it turns out xixixi</v>
      </c>
    </row>
    <row r="8444" ht="15.75" customHeight="1">
      <c r="A8444" s="2">
        <v>8447.0</v>
      </c>
      <c r="B8444" s="5" t="s">
        <v>15420</v>
      </c>
      <c r="C8444" s="6">
        <v>2.0</v>
      </c>
      <c r="D8444" s="9" t="s">
        <v>15420</v>
      </c>
      <c r="E8444" s="8" t="str">
        <f>IFERROR(__xludf.DUMMYFUNCTION("googletranslate(D8444,""id"",""en"")"),"Jends Graha Open Any Day until what time is it if it's PPKM again? Thank you for the info")</f>
        <v>Jends Graha Open Any Day until what time is it if it's PPKM again? Thank you for the info</v>
      </c>
    </row>
    <row r="8445" ht="15.75" customHeight="1">
      <c r="A8445" s="2">
        <v>8448.0</v>
      </c>
      <c r="B8445" s="5" t="s">
        <v>15421</v>
      </c>
      <c r="C8445" s="6">
        <v>2.0</v>
      </c>
      <c r="D8445" s="9" t="s">
        <v>15421</v>
      </c>
      <c r="E8445" s="8" t="str">
        <f>IFERROR(__xludf.DUMMYFUNCTION("googletranslate(D8445,""id"",""en"")"),"Aeon tanjung barat already opened yet a ppkm gini ???")</f>
        <v>Aeon tanjung barat already opened yet a ppkm gini ???</v>
      </c>
    </row>
    <row r="8446" ht="15.75" customHeight="1">
      <c r="A8446" s="2">
        <v>8449.0</v>
      </c>
      <c r="B8446" s="5" t="s">
        <v>15422</v>
      </c>
      <c r="C8446" s="6">
        <v>2.0</v>
      </c>
      <c r="D8446" s="7" t="s">
        <v>15423</v>
      </c>
      <c r="E8446" s="8" t="str">
        <f>IFERROR(__xludf.DUMMYFUNCTION("googletranslate(D8446,""id"",""en"")"),"While there is an opportunity, after all, Mash PPKM")</f>
        <v>While there is an opportunity, after all, Mash PPKM</v>
      </c>
    </row>
    <row r="8447" ht="15.75" customHeight="1">
      <c r="A8447" s="2">
        <v>8450.0</v>
      </c>
      <c r="B8447" s="5" t="s">
        <v>15424</v>
      </c>
      <c r="C8447" s="6">
        <v>2.0</v>
      </c>
      <c r="D8447" s="7" t="s">
        <v>15424</v>
      </c>
      <c r="E8447" s="8" t="str">
        <f>IFERROR(__xludf.DUMMYFUNCTION("googletranslate(D8447,""id"",""en"")"),"The original PPKM a year is only paid in installments so that gapada shock")</f>
        <v>The original PPKM a year is only paid in installments so that gapada shock</v>
      </c>
    </row>
    <row r="8448" ht="15.75" customHeight="1">
      <c r="A8448" s="2">
        <v>8451.0</v>
      </c>
      <c r="B8448" s="5" t="s">
        <v>15425</v>
      </c>
      <c r="C8448" s="6">
        <v>2.0</v>
      </c>
      <c r="D8448" s="9" t="s">
        <v>15426</v>
      </c>
      <c r="E8448" s="8" t="str">
        <f>IFERROR(__xludf.DUMMYFUNCTION("googletranslate(D8448,""id"",""en"")"),"PPKM Lev does not deter for lazy sports, yes, my young man who is young is busy")</f>
        <v>PPKM Lev does not deter for lazy sports, yes, my young man who is young is busy</v>
      </c>
    </row>
    <row r="8449" ht="15.75" customHeight="1">
      <c r="A8449" s="2">
        <v>8452.0</v>
      </c>
      <c r="B8449" s="5" t="s">
        <v>15427</v>
      </c>
      <c r="C8449" s="6">
        <v>1.0</v>
      </c>
      <c r="D8449" s="7" t="s">
        <v>15428</v>
      </c>
      <c r="E8449" s="8" t="str">
        <f>IFERROR(__xludf.DUMMYFUNCTION("googletranslate(D8449,""id"",""en"")"),"PPKM Bodo Amat")</f>
        <v>PPKM Bodo Amat</v>
      </c>
    </row>
    <row r="8450" ht="15.75" customHeight="1">
      <c r="A8450" s="2">
        <v>8453.0</v>
      </c>
      <c r="B8450" s="5" t="s">
        <v>15429</v>
      </c>
      <c r="C8450" s="6">
        <v>2.0</v>
      </c>
      <c r="D8450" s="10" t="s">
        <v>15430</v>
      </c>
      <c r="E8450" s="8" t="str">
        <f>IFERROR(__xludf.DUMMYFUNCTION("googletranslate(D8450,""id"",""en"")"),"Emergency PPKM")</f>
        <v>Emergency PPKM</v>
      </c>
    </row>
    <row r="8451" ht="15.75" customHeight="1">
      <c r="A8451" s="2">
        <v>8454.0</v>
      </c>
      <c r="B8451" s="5" t="s">
        <v>15431</v>
      </c>
      <c r="C8451" s="6">
        <v>2.0</v>
      </c>
      <c r="D8451" s="7" t="s">
        <v>15432</v>
      </c>
      <c r="E8451" s="8" t="str">
        <f>IFERROR(__xludf.DUMMYFUNCTION("googletranslate(D8451,""id"",""en"")"),"yak yak yak yak ... ppkm duls hahaha")</f>
        <v>yak yak yak yak ... ppkm duls hahaha</v>
      </c>
    </row>
    <row r="8452" ht="15.75" customHeight="1">
      <c r="A8452" s="2">
        <v>8455.0</v>
      </c>
      <c r="B8452" s="5" t="s">
        <v>15433</v>
      </c>
      <c r="C8452" s="6">
        <v>1.0</v>
      </c>
      <c r="D8452" s="7" t="s">
        <v>15434</v>
      </c>
      <c r="E8452" s="8" t="str">
        <f>IFERROR(__xludf.DUMMYFUNCTION("googletranslate(D8452,""id"",""en"")"),"Miskinkan the people through the system (communist doctrine). Ppkm maybe ... ??? One way.")</f>
        <v>Miskinkan the people through the system (communist doctrine). Ppkm maybe ... ??? One way.</v>
      </c>
    </row>
    <row r="8453" ht="15.75" customHeight="1">
      <c r="A8453" s="2">
        <v>8456.0</v>
      </c>
      <c r="B8453" s="5" t="s">
        <v>15435</v>
      </c>
      <c r="C8453" s="6">
        <v>2.0</v>
      </c>
      <c r="D8453" s="7" t="s">
        <v>15435</v>
      </c>
      <c r="E8453" s="8" t="str">
        <f>IFERROR(__xludf.DUMMYFUNCTION("googletranslate(D8453,""id"",""en"")"),"What goes for PPKM, so I miss other humans hahaha. But Gosh I Miss My Friends &amp; Lt; 3")</f>
        <v>What goes for PPKM, so I miss other humans hahaha. But Gosh I Miss My Friends &amp; Lt; 3</v>
      </c>
    </row>
    <row r="8454" ht="15.75" customHeight="1">
      <c r="A8454" s="2">
        <v>8457.0</v>
      </c>
      <c r="B8454" s="5" t="s">
        <v>15436</v>
      </c>
      <c r="C8454" s="6">
        <v>1.0</v>
      </c>
      <c r="D8454" s="9" t="s">
        <v>15437</v>
      </c>
      <c r="E8454" s="8" t="str">
        <f>IFERROR(__xludf.DUMMYFUNCTION("googletranslate(D8454,""id"",""en"")"),"It seems like Sampeyan is less sensitive, this crucial problem is not a cultural attack ..., the people are hungry, because the actions of the ruler lock without feeding. Ppkm (PLANA PLONGO Kayak 'Mukidi)")</f>
        <v>It seems like Sampeyan is less sensitive, this crucial problem is not a cultural attack ..., the people are hungry, because the actions of the ruler lock without feeding. Ppkm (PLANA PLONGO Kayak 'Mukidi)</v>
      </c>
    </row>
    <row r="8455" ht="15.75" customHeight="1">
      <c r="A8455" s="2">
        <v>8458.0</v>
      </c>
      <c r="B8455" s="5" t="s">
        <v>15438</v>
      </c>
      <c r="C8455" s="6">
        <v>2.0</v>
      </c>
      <c r="D8455" s="7" t="s">
        <v>15439</v>
      </c>
      <c r="E8455" s="8" t="str">
        <f>IFERROR(__xludf.DUMMYFUNCTION("googletranslate(D8455,""id"",""en"")"),"This prohibition was carried out by officers from the TNI-Polri and Satpol PP Penjaringan, arguing that it was considered to be able to cause a crowd in the midst of the implementation of the limitation of community activities (PPKM) level.")</f>
        <v>This prohibition was carried out by officers from the TNI-Polri and Satpol PP Penjaringan, arguing that it was considered to be able to cause a crowd in the midst of the implementation of the limitation of community activities (PPKM) level.</v>
      </c>
    </row>
    <row r="8456" ht="15.75" customHeight="1">
      <c r="A8456" s="2">
        <v>8459.0</v>
      </c>
      <c r="B8456" s="5" t="s">
        <v>15440</v>
      </c>
      <c r="C8456" s="6">
        <v>2.0</v>
      </c>
      <c r="D8456" s="7" t="s">
        <v>15441</v>
      </c>
      <c r="E8456" s="8" t="str">
        <f>IFERROR(__xludf.DUMMYFUNCTION("googletranslate(D8456,""id"",""en"")"),"Gokill Om, we just watched the timeline at Cokrotv ""Jokowi's strategy behind the name PPKM"". MANTEP BGT analysis of us.")</f>
        <v>Gokill Om, we just watched the timeline at Cokrotv "Jokowi's strategy behind the name PPKM". MANTEP BGT analysis of us.</v>
      </c>
    </row>
    <row r="8457" ht="15.75" customHeight="1">
      <c r="A8457" s="2">
        <v>8460.0</v>
      </c>
      <c r="B8457" s="5" t="s">
        <v>15442</v>
      </c>
      <c r="C8457" s="6">
        <v>2.0</v>
      </c>
      <c r="D8457" s="7" t="s">
        <v>15443</v>
      </c>
      <c r="E8457" s="8" t="str">
        <f>IFERROR(__xludf.DUMMYFUNCTION("googletranslate(D8457,""id"",""en"")"),"Gosh ... ppkm, you know ... how dare you do it.")</f>
        <v>Gosh ... ppkm, you know ... how dare you do it.</v>
      </c>
    </row>
    <row r="8458" ht="15.75" customHeight="1">
      <c r="A8458" s="2">
        <v>8461.0</v>
      </c>
      <c r="B8458" s="5" t="s">
        <v>15444</v>
      </c>
      <c r="C8458" s="6">
        <v>2.0</v>
      </c>
      <c r="D8458" s="7" t="s">
        <v>15445</v>
      </c>
      <c r="E8458" s="8" t="str">
        <f>IFERROR(__xludf.DUMMYFUNCTION("googletranslate(D8458,""id"",""en"")"),"The lesson that can be picked is any sepulus, if the next day WFO don't buy Americano. zombie amay on the first day of hanging since PPKM")</f>
        <v>The lesson that can be picked is any sepulus, if the next day WFO don't buy Americano. zombie amay on the first day of hanging since PPKM</v>
      </c>
    </row>
    <row r="8459" ht="15.75" customHeight="1">
      <c r="A8459" s="2">
        <v>8462.0</v>
      </c>
      <c r="B8459" s="5" t="s">
        <v>15446</v>
      </c>
      <c r="C8459" s="6">
        <v>2.0</v>
      </c>
      <c r="D8459" s="7" t="s">
        <v>15447</v>
      </c>
      <c r="E8459" s="8" t="str">
        <f>IFERROR(__xludf.DUMMYFUNCTION("googletranslate(D8459,""id"",""en"")"),"Have you done the ppkm sus?")</f>
        <v>Have you done the ppkm sus?</v>
      </c>
    </row>
    <row r="8460" ht="15.75" customHeight="1">
      <c r="A8460" s="2">
        <v>8463.0</v>
      </c>
      <c r="B8460" s="5" t="s">
        <v>15448</v>
      </c>
      <c r="C8460" s="6">
        <v>2.0</v>
      </c>
      <c r="D8460" s="10" t="s">
        <v>15449</v>
      </c>
      <c r="E8460" s="8" t="str">
        <f>IFERROR(__xludf.DUMMYFUNCTION("googletranslate(D8460,""id"",""en"")"),"Bsk msh ppkm.")</f>
        <v>Bsk msh ppkm.</v>
      </c>
    </row>
    <row r="8461" ht="15.75" customHeight="1">
      <c r="A8461" s="2">
        <v>8464.0</v>
      </c>
      <c r="B8461" s="5" t="s">
        <v>15450</v>
      </c>
      <c r="C8461" s="6">
        <v>2.0</v>
      </c>
      <c r="D8461" s="7" t="s">
        <v>15451</v>
      </c>
      <c r="E8461" s="8" t="str">
        <f>IFERROR(__xludf.DUMMYFUNCTION("googletranslate(D8461,""id"",""en"")"),"We slowly get married")</f>
        <v>We slowly get married</v>
      </c>
    </row>
    <row r="8462" ht="15.75" customHeight="1">
      <c r="A8462" s="2">
        <v>8465.0</v>
      </c>
      <c r="B8462" s="5" t="s">
        <v>15452</v>
      </c>
      <c r="C8462" s="6">
        <v>3.0</v>
      </c>
      <c r="D8462" s="9" t="s">
        <v>15452</v>
      </c>
      <c r="E8462" s="8" t="str">
        <f>IFERROR(__xludf.DUMMYFUNCTION("googletranslate(D8462,""id"",""en"")"),"If Covid is all able to return to normal !! So still saying if the ppkm is wrong ?? Try to see the different viewing sudit, Jan just look at your point of view! The future of Indonesia is also important ... what time is you wanting to know the Indonesian "&amp;"people to become covid ??")</f>
        <v>If Covid is all able to return to normal !! So still saying if the ppkm is wrong ?? Try to see the different viewing sudit, Jan just look at your point of view! The future of Indonesia is also important ... what time is you wanting to know the Indonesian people to become covid ??</v>
      </c>
    </row>
    <row r="8463" ht="15.75" customHeight="1">
      <c r="A8463" s="2">
        <v>8466.0</v>
      </c>
      <c r="B8463" s="5" t="s">
        <v>15453</v>
      </c>
      <c r="C8463" s="6">
        <v>2.0</v>
      </c>
      <c r="D8463" s="7" t="s">
        <v>15454</v>
      </c>
      <c r="E8463" s="8" t="str">
        <f>IFERROR(__xludf.DUMMYFUNCTION("googletranslate(D8463,""id"",""en"")"),"PPKM vacation 'go home not to meet food'")</f>
        <v>PPKM vacation 'go home not to meet food'</v>
      </c>
    </row>
    <row r="8464" ht="15.75" customHeight="1">
      <c r="A8464" s="2">
        <v>8467.0</v>
      </c>
      <c r="B8464" s="5" t="s">
        <v>15455</v>
      </c>
      <c r="C8464" s="6">
        <v>2.0</v>
      </c>
      <c r="D8464" s="7" t="s">
        <v>15455</v>
      </c>
      <c r="E8464" s="8" t="str">
        <f>IFERROR(__xludf.DUMMYFUNCTION("googletranslate(D8464,""id"",""en"")"),"If climbing in Java is closed because it is still PPKM, it's already an alternative to Rinjani, Kerinci or Latimojang")</f>
        <v>If climbing in Java is closed because it is still PPKM, it's already an alternative to Rinjani, Kerinci or Latimojang</v>
      </c>
    </row>
    <row r="8465" ht="15.75" customHeight="1">
      <c r="A8465" s="2">
        <v>8468.0</v>
      </c>
      <c r="B8465" s="5" t="s">
        <v>15456</v>
      </c>
      <c r="C8465" s="6">
        <v>2.0</v>
      </c>
      <c r="D8465" s="7" t="s">
        <v>15457</v>
      </c>
      <c r="E8465" s="8" t="str">
        <f>IFERROR(__xludf.DUMMYFUNCTION("googletranslate(D8465,""id"",""en"")"),"SIM Extended Sekal CEWSCK Extended the Moon EVERYPKM Extended A Week Allends")</f>
        <v>SIM Extended Sekal CEWSCK Extended the Moon EVERYPKM Extended A Week Allends</v>
      </c>
    </row>
    <row r="8466" ht="15.75" customHeight="1">
      <c r="A8466" s="2">
        <v>8469.0</v>
      </c>
      <c r="B8466" s="5" t="s">
        <v>15458</v>
      </c>
      <c r="C8466" s="6">
        <v>2.0</v>
      </c>
      <c r="D8466" s="7" t="s">
        <v>15459</v>
      </c>
      <c r="E8466" s="8" t="str">
        <f>IFERROR(__xludf.DUMMYFUNCTION("googletranslate(D8466,""id"",""en"")"),"Eatny also jd ngukikan ppkm, minutes")</f>
        <v>Eatny also jd ngukikan ppkm, minutes</v>
      </c>
    </row>
    <row r="8467" ht="15.75" customHeight="1">
      <c r="A8467" s="2">
        <v>8470.0</v>
      </c>
      <c r="B8467" s="5" t="s">
        <v>15460</v>
      </c>
      <c r="C8467" s="6">
        <v>2.0</v>
      </c>
      <c r="D8467" s="7" t="s">
        <v>15461</v>
      </c>
      <c r="E8467" s="8" t="str">
        <f>IFERROR(__xludf.DUMMYFUNCTION("googletranslate(D8467,""id"",""en"")"),"What is the connection with PPKM with the installation of the Saka Merah Putih?")</f>
        <v>What is the connection with PPKM with the installation of the Saka Merah Putih?</v>
      </c>
    </row>
    <row r="8468" ht="15.75" customHeight="1">
      <c r="A8468" s="2">
        <v>8471.0</v>
      </c>
      <c r="B8468" s="5" t="s">
        <v>15462</v>
      </c>
      <c r="C8468" s="6">
        <v>1.0</v>
      </c>
      <c r="D8468" s="7" t="s">
        <v>15463</v>
      </c>
      <c r="E8468" s="8" t="str">
        <f>IFERROR(__xludf.DUMMYFUNCTION("googletranslate(D8468,""id"",""en"")"),"Even though this week &amp; amp; Then the schedules are getting clumped, ntahh courses, deposit runs there are events, etc.")</f>
        <v>Even though this week &amp; amp; Then the schedules are getting clumped, ntahh courses, deposit runs there are events, etc.</v>
      </c>
    </row>
    <row r="8469" ht="15.75" customHeight="1">
      <c r="A8469" s="2">
        <v>8472.0</v>
      </c>
      <c r="B8469" s="5" t="s">
        <v>15464</v>
      </c>
      <c r="C8469" s="6">
        <v>2.0</v>
      </c>
      <c r="D8469" s="9" t="s">
        <v>15465</v>
      </c>
      <c r="E8469" s="8" t="str">
        <f>IFERROR(__xludf.DUMMYFUNCTION("googletranslate(D8469,""id"",""en"")"),"Wkwkwk..virus klo bobo night, there is also in the area if the PPKM night applies.")</f>
        <v>Wkwkwk..virus klo bobo night, there is also in the area if the PPKM night applies.</v>
      </c>
    </row>
    <row r="8470" ht="15.75" customHeight="1">
      <c r="A8470" s="2">
        <v>8473.0</v>
      </c>
      <c r="B8470" s="5" t="s">
        <v>15466</v>
      </c>
      <c r="C8470" s="6">
        <v>2.0</v>
      </c>
      <c r="D8470" s="7" t="s">
        <v>15467</v>
      </c>
      <c r="E8470" s="8" t="str">
        <f>IFERROR(__xludf.DUMMYFUNCTION("googletranslate(D8470,""id"",""en"")"),"Hbs ppkm in hug bernan")</f>
        <v>Hbs ppkm in hug bernan</v>
      </c>
    </row>
    <row r="8471" ht="15.75" customHeight="1">
      <c r="A8471" s="2">
        <v>8474.0</v>
      </c>
      <c r="B8471" s="5" t="s">
        <v>15468</v>
      </c>
      <c r="C8471" s="6">
        <v>2.0</v>
      </c>
      <c r="D8471" s="7" t="s">
        <v>15469</v>
      </c>
      <c r="E8471" s="8" t="str">
        <f>IFERROR(__xludf.DUMMYFUNCTION("googletranslate(D8471,""id"",""en"")"),"While PPKM, Later, if it doesn't just ppkm")</f>
        <v>While PPKM, Later, if it doesn't just ppkm</v>
      </c>
    </row>
    <row r="8472" ht="15.75" customHeight="1">
      <c r="A8472" s="2">
        <v>8475.0</v>
      </c>
      <c r="B8472" s="5" t="s">
        <v>15470</v>
      </c>
      <c r="C8472" s="6">
        <v>2.0</v>
      </c>
      <c r="D8472" s="9" t="s">
        <v>15470</v>
      </c>
      <c r="E8472" s="8" t="str">
        <f>IFERROR(__xludf.DUMMYFUNCTION("googletranslate(D8472,""id"",""en"")"),"September ppkm has been reduced so calm down hfttt remember if you have noisy gabole wakwkwkwk")</f>
        <v>September ppkm has been reduced so calm down hfttt remember if you have noisy gabole wakwkwkwk</v>
      </c>
    </row>
    <row r="8473" ht="15.75" customHeight="1">
      <c r="A8473" s="2">
        <v>8476.0</v>
      </c>
      <c r="B8473" s="5" t="s">
        <v>15471</v>
      </c>
      <c r="C8473" s="6">
        <v>1.0</v>
      </c>
      <c r="D8473" s="9" t="s">
        <v>15472</v>
      </c>
      <c r="E8473" s="8" t="str">
        <f>IFERROR(__xludf.DUMMYFUNCTION("googletranslate(D8473,""id"",""en"")"),"Alay is really bang, ppkm is so like the people can't be the same as this is like this, eh but it's the opinion of Elu, too.")</f>
        <v>Alay is really bang, ppkm is so like the people can't be the same as this is like this, eh but it's the opinion of Elu, too.</v>
      </c>
    </row>
    <row r="8474" ht="15.75" customHeight="1">
      <c r="A8474" s="2">
        <v>8477.0</v>
      </c>
      <c r="B8474" s="5" t="s">
        <v>15473</v>
      </c>
      <c r="C8474" s="6">
        <v>2.0</v>
      </c>
      <c r="D8474" s="7" t="s">
        <v>15473</v>
      </c>
      <c r="E8474" s="8" t="str">
        <f>IFERROR(__xludf.DUMMYFUNCTION("googletranslate(D8474,""id"",""en"")"),"KPN PPKM ends?")</f>
        <v>KPN PPKM ends?</v>
      </c>
    </row>
    <row r="8475" ht="15.75" customHeight="1">
      <c r="A8475" s="2">
        <v>8478.0</v>
      </c>
      <c r="B8475" s="5" t="s">
        <v>15474</v>
      </c>
      <c r="C8475" s="6">
        <v>2.0</v>
      </c>
      <c r="D8475" s="9" t="s">
        <v>15475</v>
      </c>
      <c r="E8475" s="8" t="str">
        <f>IFERROR(__xludf.DUMMYFUNCTION("googletranslate(D8475,""id"",""en"")"),"Joking him, here is still a red zone. Since when changed to a green zone? If it's green, maybe the application of the PPKM turns into a $ number LVL $, it's not like now")</f>
        <v>Joking him, here is still a red zone. Since when changed to a green zone? If it's green, maybe the application of the PPKM turns into a $ number LVL $, it's not like now</v>
      </c>
    </row>
    <row r="8476" ht="15.75" customHeight="1">
      <c r="A8476" s="2">
        <v>8479.0</v>
      </c>
      <c r="B8476" s="5" t="s">
        <v>15476</v>
      </c>
      <c r="C8476" s="6">
        <v>2.0</v>
      </c>
      <c r="D8476" s="7" t="s">
        <v>15477</v>
      </c>
      <c r="E8476" s="8" t="str">
        <f>IFERROR(__xludf.DUMMYFUNCTION("googletranslate(D8476,""id"",""en"")"),"Not run out of PPKM")</f>
        <v>Not run out of PPKM</v>
      </c>
    </row>
    <row r="8477" ht="15.75" customHeight="1">
      <c r="A8477" s="2">
        <v>8480.0</v>
      </c>
      <c r="B8477" s="5" t="s">
        <v>15478</v>
      </c>
      <c r="C8477" s="6">
        <v>2.0</v>
      </c>
      <c r="D8477" s="7" t="s">
        <v>15479</v>
      </c>
      <c r="E8477" s="8" t="str">
        <f>IFERROR(__xludf.DUMMYFUNCTION("googletranslate(D8477,""id"",""en"")"),"Ppkm already like a magic data package ... every week it must be extended ....")</f>
        <v>Ppkm already like a magic data package ... every week it must be extended ....</v>
      </c>
    </row>
    <row r="8478" ht="15.75" customHeight="1">
      <c r="A8478" s="2">
        <v>8481.0</v>
      </c>
      <c r="B8478" s="5" t="s">
        <v>15480</v>
      </c>
      <c r="C8478" s="6">
        <v>1.0</v>
      </c>
      <c r="D8478" s="9" t="s">
        <v>15481</v>
      </c>
      <c r="E8478" s="8" t="str">
        <f>IFERROR(__xludf.DUMMYFUNCTION("googletranslate(D8478,""id"",""en"")"),"I'm if crying must also be denied. Try to see Many people cry in trouble when PPKM ulcerics. The road was closed forced to play another way, until it was jammed in the small road. The policy that Msih was questioned. many people who are ssah and cry.")</f>
        <v>I'm if crying must also be denied. Try to see Many people cry in trouble when PPKM ulcerics. The road was closed forced to play another way, until it was jammed in the small road. The policy that Msih was questioned. many people who are ssah and cry.</v>
      </c>
    </row>
    <row r="8479" ht="15.75" customHeight="1">
      <c r="A8479" s="2">
        <v>8482.0</v>
      </c>
      <c r="B8479" s="5" t="s">
        <v>15482</v>
      </c>
      <c r="C8479" s="6">
        <v>2.0</v>
      </c>
      <c r="D8479" s="7" t="s">
        <v>15483</v>
      </c>
      <c r="E8479" s="8" t="str">
        <f>IFERROR(__xludf.DUMMYFUNCTION("googletranslate(D8479,""id"",""en"")"),"PPKM is extended eh our relationship is gajadi gajadi see you again it won't even see it anymore")</f>
        <v>PPKM is extended eh our relationship is gajadi gajadi see you again it won't even see it anymore</v>
      </c>
    </row>
    <row r="8480" ht="15.75" customHeight="1">
      <c r="A8480" s="2">
        <v>8483.0</v>
      </c>
      <c r="B8480" s="5" t="s">
        <v>15484</v>
      </c>
      <c r="C8480" s="6">
        <v>1.0</v>
      </c>
      <c r="D8480" s="9" t="s">
        <v>15485</v>
      </c>
      <c r="E8480" s="8" t="str">
        <f>IFERROR(__xludf.DUMMYFUNCTION("googletranslate(D8480,""id"",""en"")"),"Crazy, there is a red and white flag Want to be installed on independence day can't because of PPKM, what's really crazy? Don't have Mr. Loe there, the meter flag is good, anyways if my eyes are pelototh, many are guarding the flags. Paid how much for thi"&amp;"s redan you")</f>
        <v>Crazy, there is a red and white flag Want to be installed on independence day can't because of PPKM, what's really crazy? Don't have Mr. Loe there, the meter flag is good, anyways if my eyes are pelototh, many are guarding the flags. Paid how much for this redan you</v>
      </c>
    </row>
    <row r="8481" ht="15.75" customHeight="1">
      <c r="A8481" s="2">
        <v>8484.0</v>
      </c>
      <c r="B8481" s="5" t="s">
        <v>15486</v>
      </c>
      <c r="C8481" s="6">
        <v>1.0</v>
      </c>
      <c r="D8481" s="10" t="s">
        <v>15487</v>
      </c>
      <c r="E8481" s="8" t="str">
        <f>IFERROR(__xludf.DUMMYFUNCTION("googletranslate(D8481,""id"",""en"")"),"Damn PPKM.")</f>
        <v>Damn PPKM.</v>
      </c>
    </row>
    <row r="8482" ht="15.75" customHeight="1">
      <c r="A8482" s="2">
        <v>8485.0</v>
      </c>
      <c r="B8482" s="5" t="s">
        <v>15488</v>
      </c>
      <c r="C8482" s="6">
        <v>2.0</v>
      </c>
      <c r="D8482" s="7" t="s">
        <v>15488</v>
      </c>
      <c r="E8482" s="8" t="str">
        <f>IFERROR(__xludf.DUMMYFUNCTION("googletranslate(D8482,""id"",""en"")"),"kpn ppkm bres")</f>
        <v>kpn ppkm bres</v>
      </c>
    </row>
    <row r="8483" ht="15.75" customHeight="1">
      <c r="A8483" s="2">
        <v>8486.0</v>
      </c>
      <c r="B8483" s="5" t="s">
        <v>15489</v>
      </c>
      <c r="C8483" s="6">
        <v>2.0</v>
      </c>
      <c r="D8483" s="9" t="s">
        <v>15489</v>
      </c>
      <c r="E8483" s="8" t="str">
        <f>IFERROR(__xludf.DUMMYFUNCTION("googletranslate(D8483,""id"",""en"")"),"Thankfully the case of the addition of Covid daily in Kulon Progo down. But still has no appreciation for the affected PPKM community and just stay at home")</f>
        <v>Thankfully the case of the addition of Covid daily in Kulon Progo down. But still has no appreciation for the affected PPKM community and just stay at home</v>
      </c>
    </row>
    <row r="8484" ht="15.75" customHeight="1">
      <c r="A8484" s="2">
        <v>8487.0</v>
      </c>
      <c r="B8484" s="5" t="s">
        <v>15490</v>
      </c>
      <c r="C8484" s="6">
        <v>3.0</v>
      </c>
      <c r="D8484" s="9" t="s">
        <v>15491</v>
      </c>
      <c r="E8484" s="8" t="str">
        <f>IFERROR(__xludf.DUMMYFUNCTION("googletranslate(D8484,""id"",""en"")"),"Be patient, mang ... I understand this weight, hrs LDR and amp; Just can lovestagram kyk gni. Believe me ... thispkm will end soon, we will be able to meet.")</f>
        <v>Be patient, mang ... I understand this weight, hrs LDR and amp; Just can lovestagram kyk gni. Believe me ... thispkm will end soon, we will be able to meet.</v>
      </c>
    </row>
    <row r="8485" ht="15.75" customHeight="1">
      <c r="A8485" s="2">
        <v>8488.0</v>
      </c>
      <c r="B8485" s="5" t="s">
        <v>15492</v>
      </c>
      <c r="C8485" s="6">
        <v>2.0</v>
      </c>
      <c r="D8485" s="9" t="s">
        <v>15492</v>
      </c>
      <c r="E8485" s="8" t="str">
        <f>IFERROR(__xludf.DUMMYFUNCTION("googletranslate(D8485,""id"",""en"")"),"tangmentang psbb / ppkm mulu ... hadeuh")</f>
        <v>tangmentang psbb / ppkm mulu ... hadeuh</v>
      </c>
    </row>
    <row r="8486" ht="15.75" customHeight="1">
      <c r="A8486" s="2">
        <v>8489.0</v>
      </c>
      <c r="B8486" s="5" t="s">
        <v>15493</v>
      </c>
      <c r="C8486" s="6">
        <v>1.0</v>
      </c>
      <c r="D8486" s="9" t="s">
        <v>15494</v>
      </c>
      <c r="E8486" s="8" t="str">
        <f>IFERROR(__xludf.DUMMYFUNCTION("googletranslate(D8486,""id"",""en"")"),"Anjg, emang ppkm extended mulu")</f>
        <v>Anjg, emang ppkm extended mulu</v>
      </c>
    </row>
    <row r="8487" ht="15.75" customHeight="1">
      <c r="A8487" s="2">
        <v>8490.0</v>
      </c>
      <c r="B8487" s="5" t="s">
        <v>15495</v>
      </c>
      <c r="C8487" s="6">
        <v>2.0</v>
      </c>
      <c r="D8487" s="7" t="s">
        <v>15495</v>
      </c>
      <c r="E8487" s="8" t="str">
        <f>IFERROR(__xludf.DUMMYFUNCTION("googletranslate(D8487,""id"",""en"")"),"PPKM stands for restrictions")</f>
        <v>PPKM stands for restrictions</v>
      </c>
    </row>
    <row r="8488" ht="15.75" customHeight="1">
      <c r="A8488" s="2">
        <v>8491.0</v>
      </c>
      <c r="B8488" s="5" t="s">
        <v>15496</v>
      </c>
      <c r="C8488" s="6">
        <v>1.0</v>
      </c>
      <c r="D8488" s="7" t="s">
        <v>15496</v>
      </c>
      <c r="E8488" s="8" t="str">
        <f>IFERROR(__xludf.DUMMYFUNCTION("googletranslate(D8488,""id"",""en"")"),"PPKM firmly against the crowd but Memble against the Ahmadiyya mosque sealing, maybe because of the sealing apparatus")</f>
        <v>PPKM firmly against the crowd but Memble against the Ahmadiyya mosque sealing, maybe because of the sealing apparatus</v>
      </c>
    </row>
    <row r="8489" ht="15.75" customHeight="1">
      <c r="A8489" s="2">
        <v>8492.0</v>
      </c>
      <c r="B8489" s="5" t="s">
        <v>15497</v>
      </c>
      <c r="C8489" s="6">
        <v>2.0</v>
      </c>
      <c r="D8489" s="7" t="s">
        <v>15498</v>
      </c>
      <c r="E8489" s="8" t="str">
        <f>IFERROR(__xludf.DUMMYFUNCTION("googletranslate(D8489,""id"",""en"")"),"If there is no PPKM, yeah maybe now it's home")</f>
        <v>If there is no PPKM, yeah maybe now it's home</v>
      </c>
    </row>
    <row r="8490" ht="15.75" customHeight="1">
      <c r="A8490" s="2">
        <v>8493.0</v>
      </c>
      <c r="B8490" s="5" t="s">
        <v>15499</v>
      </c>
      <c r="C8490" s="6">
        <v>2.0</v>
      </c>
      <c r="D8490" s="7" t="s">
        <v>15500</v>
      </c>
      <c r="E8490" s="8" t="str">
        <f>IFERROR(__xludf.DUMMYFUNCTION("googletranslate(D8490,""id"",""en"")"),"Hiatus. The last ppkm album also has no concert")</f>
        <v>Hiatus. The last ppkm album also has no concert</v>
      </c>
    </row>
    <row r="8491" ht="15.75" customHeight="1">
      <c r="A8491" s="2">
        <v>8494.0</v>
      </c>
      <c r="B8491" s="5" t="s">
        <v>15501</v>
      </c>
      <c r="C8491" s="6">
        <v>2.0</v>
      </c>
      <c r="D8491" s="10" t="s">
        <v>15502</v>
      </c>
      <c r="E8491" s="8" t="str">
        <f>IFERROR(__xludf.DUMMYFUNCTION("googletranslate(D8491,""id"",""en"")"),"Kan LG PPKM.")</f>
        <v>Kan LG PPKM.</v>
      </c>
    </row>
    <row r="8492" ht="15.75" customHeight="1">
      <c r="A8492" s="2">
        <v>8495.0</v>
      </c>
      <c r="B8492" s="5" t="s">
        <v>15503</v>
      </c>
      <c r="C8492" s="6">
        <v>2.0</v>
      </c>
      <c r="D8492" s="7" t="s">
        <v>15504</v>
      </c>
      <c r="E8492" s="8" t="str">
        <f>IFERROR(__xludf.DUMMYFUNCTION("googletranslate(D8492,""id"",""en"")"),"Kangen but .... PPKM")</f>
        <v>Kangen but .... PPKM</v>
      </c>
    </row>
    <row r="8493" ht="15.75" customHeight="1">
      <c r="A8493" s="2">
        <v>8496.0</v>
      </c>
      <c r="B8493" s="5" t="s">
        <v>15505</v>
      </c>
      <c r="C8493" s="6">
        <v>2.0</v>
      </c>
      <c r="D8493" s="7" t="s">
        <v>15506</v>
      </c>
      <c r="E8493" s="8" t="str">
        <f>IFERROR(__xludf.DUMMYFUNCTION("googletranslate(D8493,""id"",""en"")"),"MRK is guaranteed by the state. Ppkm guaranteed ga ??")</f>
        <v>MRK is guaranteed by the state. Ppkm guaranteed ga ??</v>
      </c>
    </row>
    <row r="8494" ht="15.75" customHeight="1">
      <c r="A8494" s="2">
        <v>8497.0</v>
      </c>
      <c r="B8494" s="5" t="s">
        <v>15507</v>
      </c>
      <c r="C8494" s="6">
        <v>2.0</v>
      </c>
      <c r="D8494" s="7" t="s">
        <v>15508</v>
      </c>
      <c r="E8494" s="8" t="str">
        <f>IFERROR(__xludf.DUMMYFUNCTION("googletranslate(D8494,""id"",""en"")"),"samperin daddy nom, tp ppkm")</f>
        <v>samperin daddy nom, tp ppkm</v>
      </c>
    </row>
    <row r="8495" ht="15.75" customHeight="1">
      <c r="A8495" s="2">
        <v>8498.0</v>
      </c>
      <c r="B8495" s="5" t="s">
        <v>15509</v>
      </c>
      <c r="C8495" s="6">
        <v>2.0</v>
      </c>
      <c r="D8495" s="7" t="s">
        <v>15510</v>
      </c>
      <c r="E8495" s="8" t="str">
        <f>IFERROR(__xludf.DUMMYFUNCTION("googletranslate(D8495,""id"",""en"")"),"Ppkm ko operation to Singapore?")</f>
        <v>Ppkm ko operation to Singapore?</v>
      </c>
    </row>
    <row r="8496" ht="15.75" customHeight="1">
      <c r="A8496" s="2">
        <v>8499.0</v>
      </c>
      <c r="B8496" s="5" t="s">
        <v>15511</v>
      </c>
      <c r="C8496" s="6">
        <v>1.0</v>
      </c>
      <c r="D8496" s="7" t="s">
        <v>15512</v>
      </c>
      <c r="E8496" s="8" t="str">
        <f>IFERROR(__xludf.DUMMYFUNCTION("googletranslate(D8496,""id"",""en"")"),"Kadrun ""skrng lg hobby collection of foreign flag. Maybe due to the effects of the deserted PPKM demo, so he can get a collection of nasbung rubber.")</f>
        <v>Kadrun "skrng lg hobby collection of foreign flag. Maybe due to the effects of the deserted PPKM demo, so he can get a collection of nasbung rubber.</v>
      </c>
    </row>
    <row r="8497" ht="15.75" customHeight="1">
      <c r="A8497" s="2">
        <v>8500.0</v>
      </c>
      <c r="B8497" s="5" t="s">
        <v>15513</v>
      </c>
      <c r="C8497" s="6">
        <v>1.0</v>
      </c>
      <c r="D8497" s="7" t="s">
        <v>15513</v>
      </c>
      <c r="E8497" s="8" t="str">
        <f>IFERROR(__xludf.DUMMYFUNCTION("googletranslate(D8497,""id"",""en"")"),"The PPKM extended the people can't eat, the economy fell, I didn't take a takerkupi, jumbin the oenguran increased, the immune down, this is the name of his controlled ??")</f>
        <v>The PPKM extended the people can't eat, the economy fell, I didn't take a takerkupi, jumbin the oenguran increased, the immune down, this is the name of his controlled ??</v>
      </c>
    </row>
    <row r="8498" ht="15.75" customHeight="1">
      <c r="A8498" s="2">
        <v>8501.0</v>
      </c>
      <c r="B8498" s="5" t="s">
        <v>15514</v>
      </c>
      <c r="C8498" s="6">
        <v>1.0</v>
      </c>
      <c r="D8498" s="7" t="s">
        <v>15514</v>
      </c>
      <c r="E8498" s="8" t="str">
        <f>IFERROR(__xludf.DUMMYFUNCTION("googletranslate(D8498,""id"",""en"")"),"Ppkm tp ttp ad party")</f>
        <v>Ppkm tp ttp ad party</v>
      </c>
    </row>
    <row r="8499" ht="15.75" customHeight="1">
      <c r="A8499" s="2">
        <v>8502.0</v>
      </c>
      <c r="B8499" s="5" t="s">
        <v>15515</v>
      </c>
      <c r="C8499" s="6">
        <v>2.0</v>
      </c>
      <c r="D8499" s="7" t="s">
        <v>15516</v>
      </c>
      <c r="E8499" s="8" t="str">
        <f>IFERROR(__xludf.DUMMYFUNCTION("googletranslate(D8499,""id"",""en"")"),"Can be great because the chrit itself is great. Thank you PPKM's girlfriend. Don't speak.")</f>
        <v>Can be great because the chrit itself is great. Thank you PPKM's girlfriend. Don't speak.</v>
      </c>
    </row>
    <row r="8500" ht="15.75" customHeight="1">
      <c r="A8500" s="2">
        <v>8503.0</v>
      </c>
      <c r="B8500" s="5" t="s">
        <v>15517</v>
      </c>
      <c r="C8500" s="6">
        <v>1.0</v>
      </c>
      <c r="D8500" s="9" t="s">
        <v>15518</v>
      </c>
      <c r="E8500" s="8" t="str">
        <f>IFERROR(__xludf.DUMMYFUNCTION("googletranslate(D8500,""id"",""en"")"),"The reason for the ppkm ?? funny ... what's the difficulty of just having to put it by some people and then disband ... if it's prohibited from banting this, there will be suspicion so far there are countries in the country, and we are silent?")</f>
        <v>The reason for the ppkm ?? funny ... what's the difficulty of just having to put it by some people and then disband ... if it's prohibited from banting this, there will be suspicion so far there are countries in the country, and we are silent?</v>
      </c>
    </row>
    <row r="8501" ht="15.75" customHeight="1">
      <c r="A8501" s="2">
        <v>8504.0</v>
      </c>
      <c r="B8501" s="5" t="s">
        <v>15519</v>
      </c>
      <c r="C8501" s="6">
        <v>3.0</v>
      </c>
      <c r="D8501" s="7" t="s">
        <v>15520</v>
      </c>
      <c r="E8501" s="8" t="str">
        <f>IFERROR(__xludf.DUMMYFUNCTION("googletranslate(D8501,""id"",""en"")"),"But still have masks, prokes, ppkm, remain at home")</f>
        <v>But still have masks, prokes, ppkm, remain at home</v>
      </c>
    </row>
    <row r="8502" ht="15.75" customHeight="1">
      <c r="A8502" s="2">
        <v>8505.0</v>
      </c>
      <c r="B8502" s="5" t="s">
        <v>15521</v>
      </c>
      <c r="C8502" s="6">
        <v>1.0</v>
      </c>
      <c r="D8502" s="7" t="s">
        <v>15522</v>
      </c>
      <c r="E8502" s="8" t="str">
        <f>IFERROR(__xludf.DUMMYFUNCTION("googletranslate(D8502,""id"",""en"")"),"It's the most lazy to take care of something to CS Bank, especially PPKM, this is a quota per day. So I'm willing to leave the hours set.5 to take the queue number")</f>
        <v>It's the most lazy to take care of something to CS Bank, especially PPKM, this is a quota per day. So I'm willing to leave the hours set.5 to take the queue number</v>
      </c>
    </row>
    <row r="8503" ht="15.75" customHeight="1">
      <c r="A8503" s="2">
        <v>8506.0</v>
      </c>
      <c r="B8503" s="5" t="s">
        <v>15523</v>
      </c>
      <c r="C8503" s="6">
        <v>2.0</v>
      </c>
      <c r="D8503" s="7" t="s">
        <v>15524</v>
      </c>
      <c r="E8503" s="8" t="str">
        <f>IFERROR(__xludf.DUMMYFUNCTION("googletranslate(D8503,""id"",""en"")"),"PPKM will end as soon as possible")</f>
        <v>PPKM will end as soon as possible</v>
      </c>
    </row>
    <row r="8504" ht="15.75" customHeight="1">
      <c r="A8504" s="2">
        <v>8507.0</v>
      </c>
      <c r="B8504" s="5" t="s">
        <v>15525</v>
      </c>
      <c r="C8504" s="6">
        <v>1.0</v>
      </c>
      <c r="D8504" s="9" t="s">
        <v>15526</v>
      </c>
      <c r="E8504" s="8" t="str">
        <f>IFERROR(__xludf.DUMMYFUNCTION("googletranslate(D8504,""id"",""en"")"),"My partner text me using the phrase ""so that this jobdesc is clearer"" Crazy apaya, PPKM, Die.")</f>
        <v>My partner text me using the phrase "so that this jobdesc is clearer" Crazy apaya, PPKM, Die.</v>
      </c>
    </row>
    <row r="8505" ht="15.75" customHeight="1">
      <c r="A8505" s="2">
        <v>8508.0</v>
      </c>
      <c r="B8505" s="5" t="s">
        <v>15527</v>
      </c>
      <c r="C8505" s="6">
        <v>1.0</v>
      </c>
      <c r="D8505" s="7" t="s">
        <v>15528</v>
      </c>
      <c r="E8505" s="8" t="str">
        <f>IFERROR(__xludf.DUMMYFUNCTION("googletranslate(D8505,""id"",""en"")"),"Wkwkwk, yuuukkk, but the fear of his PPKM is extended then we will get online again,")</f>
        <v>Wkwkwk, yuuukkk, but the fear of his PPKM is extended then we will get online again,</v>
      </c>
    </row>
    <row r="8506" ht="15.75" customHeight="1">
      <c r="A8506" s="2">
        <v>8509.0</v>
      </c>
      <c r="B8506" s="5" t="s">
        <v>15529</v>
      </c>
      <c r="C8506" s="6">
        <v>2.0</v>
      </c>
      <c r="D8506" s="7" t="s">
        <v>15530</v>
      </c>
      <c r="E8506" s="8" t="str">
        <f>IFERROR(__xludf.DUMMYFUNCTION("googletranslate(D8506,""id"",""en"")"),"He said PPKM !!!")</f>
        <v>He said PPKM !!!</v>
      </c>
    </row>
    <row r="8507" ht="15.75" customHeight="1">
      <c r="A8507" s="2">
        <v>8510.0</v>
      </c>
      <c r="B8507" s="5" t="s">
        <v>15531</v>
      </c>
      <c r="C8507" s="6">
        <v>2.0</v>
      </c>
      <c r="D8507" s="7" t="s">
        <v>15532</v>
      </c>
      <c r="E8507" s="8" t="str">
        <f>IFERROR(__xludf.DUMMYFUNCTION("googletranslate(D8507,""id"",""en"")"),"Yuk, October Inshaallah Gaada PPKM")</f>
        <v>Yuk, October Inshaallah Gaada PPKM</v>
      </c>
    </row>
    <row r="8508" ht="15.75" customHeight="1">
      <c r="A8508" s="2">
        <v>8511.0</v>
      </c>
      <c r="B8508" s="5" t="s">
        <v>15533</v>
      </c>
      <c r="C8508" s="6">
        <v>1.0</v>
      </c>
      <c r="D8508" s="10" t="s">
        <v>15534</v>
      </c>
      <c r="E8508" s="8" t="str">
        <f>IFERROR(__xludf.DUMMYFUNCTION("googletranslate(D8508,""id"",""en"")"),"Bosen PPKM.")</f>
        <v>Bosen PPKM.</v>
      </c>
    </row>
    <row r="8509" ht="15.75" customHeight="1">
      <c r="A8509" s="2">
        <v>8512.0</v>
      </c>
      <c r="B8509" s="5" t="s">
        <v>15535</v>
      </c>
      <c r="C8509" s="6">
        <v>2.0</v>
      </c>
      <c r="D8509" s="7" t="s">
        <v>15536</v>
      </c>
      <c r="E8509" s="8" t="str">
        <f>IFERROR(__xludf.DUMMYFUNCTION("googletranslate(D8509,""id"",""en"")"),"The PSBB effect, PPKM to there too. Most wFH will be a lot of creative.")</f>
        <v>The PSBB effect, PPKM to there too. Most wFH will be a lot of creative.</v>
      </c>
    </row>
    <row r="8510" ht="15.75" customHeight="1">
      <c r="A8510" s="2">
        <v>8513.0</v>
      </c>
      <c r="B8510" s="5" t="s">
        <v>15537</v>
      </c>
      <c r="C8510" s="6">
        <v>2.0</v>
      </c>
      <c r="D8510" s="10" t="s">
        <v>15538</v>
      </c>
      <c r="E8510" s="8" t="str">
        <f>IFERROR(__xludf.DUMMYFUNCTION("googletranslate(D8510,""id"",""en"")"),"Here PPKM.")</f>
        <v>Here PPKM.</v>
      </c>
    </row>
    <row r="8511" ht="15.75" customHeight="1">
      <c r="A8511" s="2">
        <v>8514.0</v>
      </c>
      <c r="B8511" s="5" t="s">
        <v>15539</v>
      </c>
      <c r="C8511" s="6">
        <v>2.0</v>
      </c>
      <c r="D8511" s="7" t="s">
        <v>15540</v>
      </c>
      <c r="E8511" s="8" t="str">
        <f>IFERROR(__xludf.DUMMYFUNCTION("googletranslate(D8511,""id"",""en"")"),"Dine-in simulation when PPKM level is a minute sahur")</f>
        <v>Dine-in simulation when PPKM level is a minute sahur</v>
      </c>
    </row>
    <row r="8512" ht="15.75" customHeight="1">
      <c r="A8512" s="2">
        <v>8515.0</v>
      </c>
      <c r="B8512" s="5" t="s">
        <v>15541</v>
      </c>
      <c r="C8512" s="6">
        <v>1.0</v>
      </c>
      <c r="D8512" s="7" t="s">
        <v>15542</v>
      </c>
      <c r="E8512" s="8" t="str">
        <f>IFERROR(__xludf.DUMMYFUNCTION("googletranslate(D8512,""id"",""en"")"),"Why Mrs Who Di Tangisin Cuman Pak Jokowi Thousands of Thousands of Indonesian People whose situation is difficult to find income especially now that the PPKM continues to extend it is not in tears")</f>
        <v>Why Mrs Who Di Tangisin Cuman Pak Jokowi Thousands of Thousands of Indonesian People whose situation is difficult to find income especially now that the PPKM continues to extend it is not in tears</v>
      </c>
    </row>
    <row r="8513" ht="15.75" customHeight="1">
      <c r="A8513" s="2">
        <v>8516.0</v>
      </c>
      <c r="B8513" s="5" t="s">
        <v>15543</v>
      </c>
      <c r="C8513" s="6">
        <v>3.0</v>
      </c>
      <c r="D8513" s="7" t="s">
        <v>15544</v>
      </c>
      <c r="E8513" s="8" t="str">
        <f>IFERROR(__xludf.DUMMYFUNCTION("googletranslate(D8513,""id"",""en"")"),"WL. I want to read the one who is worth while waiting for the PPKM to be completed ~")</f>
        <v>WL. I want to read the one who is worth while waiting for the PPKM to be completed ~</v>
      </c>
    </row>
    <row r="8514" ht="15.75" customHeight="1">
      <c r="A8514" s="2">
        <v>8517.0</v>
      </c>
      <c r="B8514" s="5" t="s">
        <v>15545</v>
      </c>
      <c r="C8514" s="6">
        <v>2.0</v>
      </c>
      <c r="D8514" s="7" t="s">
        <v>15546</v>
      </c>
      <c r="E8514" s="8" t="str">
        <f>IFERROR(__xludf.DUMMYFUNCTION("googletranslate(D8514,""id"",""en"")"),"Pas Pandemi Sis Abis Lebaran yesterday but maybe since the PPKM closes the clock")</f>
        <v>Pas Pandemi Sis Abis Lebaran yesterday but maybe since the PPKM closes the clock</v>
      </c>
    </row>
    <row r="8515" ht="15.75" customHeight="1">
      <c r="A8515" s="2">
        <v>8518.0</v>
      </c>
      <c r="B8515" s="5" t="s">
        <v>15547</v>
      </c>
      <c r="C8515" s="6">
        <v>2.0</v>
      </c>
      <c r="D8515" s="7" t="s">
        <v>15548</v>
      </c>
      <c r="E8515" s="8" t="str">
        <f>IFERROR(__xludf.DUMMYFUNCTION("googletranslate(D8515,""id"",""en"")"),"TU EXTENDED EXTENDED EFFECT YAK ??")</f>
        <v>TU EXTENDED EXTENDED EFFECT YAK ??</v>
      </c>
    </row>
    <row r="8516" ht="15.75" customHeight="1">
      <c r="A8516" s="2">
        <v>8519.0</v>
      </c>
      <c r="B8516" s="5" t="s">
        <v>15549</v>
      </c>
      <c r="C8516" s="6">
        <v>1.0</v>
      </c>
      <c r="D8516" s="9" t="s">
        <v>15550</v>
      </c>
      <c r="E8516" s="8" t="str">
        <f>IFERROR(__xludf.DUMMYFUNCTION("googletranslate(D8516,""id"",""en"")"),"Usually morning sports jooging continued yoga, but ppkm this month gabisa out of the house today just want to start jooging again")</f>
        <v>Usually morning sports jooging continued yoga, but ppkm this month gabisa out of the house today just want to start jooging again</v>
      </c>
    </row>
    <row r="8517" ht="15.75" customHeight="1">
      <c r="A8517" s="2">
        <v>8520.0</v>
      </c>
      <c r="B8517" s="5" t="s">
        <v>15551</v>
      </c>
      <c r="C8517" s="6">
        <v>1.0</v>
      </c>
      <c r="D8517" s="7" t="s">
        <v>15552</v>
      </c>
      <c r="E8517" s="8" t="str">
        <f>IFERROR(__xludf.DUMMYFUNCTION("googletranslate(D8517,""id"",""en"")"),"Our PPKM slowly slowly. The government only makes the public more difficult to give up. Surrender.")</f>
        <v>Our PPKM slowly slowly. The government only makes the public more difficult to give up. Surrender.</v>
      </c>
    </row>
    <row r="8518" ht="15.75" customHeight="1">
      <c r="A8518" s="2">
        <v>8521.0</v>
      </c>
      <c r="B8518" s="5" t="s">
        <v>15553</v>
      </c>
      <c r="C8518" s="6">
        <v>1.0</v>
      </c>
      <c r="D8518" s="7" t="s">
        <v>15554</v>
      </c>
      <c r="E8518" s="8" t="str">
        <f>IFERROR(__xludf.DUMMYFUNCTION("googletranslate(D8518,""id"",""en"")"),"Do you want to respect, the President of the President is trivial, the Chinese WNA comes in at the Emergency PPKM and PPKM Level, is prohibited for the crowd of presidents for the crowd, Jokowi says it will not be duplicate position in fact there are stat"&amp;"e officials duplicate positions")</f>
        <v>Do you want to respect, the President of the President is trivial, the Chinese WNA comes in at the Emergency PPKM and PPKM Level, is prohibited for the crowd of presidents for the crowd, Jokowi says it will not be duplicate position in fact there are state officials duplicate positions</v>
      </c>
    </row>
    <row r="8519" ht="15.75" customHeight="1">
      <c r="A8519" s="2">
        <v>8522.0</v>
      </c>
      <c r="B8519" s="5" t="s">
        <v>15555</v>
      </c>
      <c r="C8519" s="6">
        <v>2.0</v>
      </c>
      <c r="D8519" s="9" t="s">
        <v>15555</v>
      </c>
      <c r="E8519" s="8" t="str">
        <f>IFERROR(__xludf.DUMMYFUNCTION("googletranslate(D8519,""id"",""en"")"),"Ppkm like Indonesian soap operas are extended first not to be finished")</f>
        <v>Ppkm like Indonesian soap operas are extended first not to be finished</v>
      </c>
    </row>
    <row r="8520" ht="15.75" customHeight="1">
      <c r="A8520" s="2">
        <v>8523.0</v>
      </c>
      <c r="B8520" s="5" t="s">
        <v>15556</v>
      </c>
      <c r="C8520" s="6">
        <v>1.0</v>
      </c>
      <c r="D8520" s="7" t="s">
        <v>15557</v>
      </c>
      <c r="E8520" s="8" t="str">
        <f>IFERROR(__xludf.DUMMYFUNCTION("googletranslate(D8520,""id"",""en"")"),"Ppkm = slowly slowly ...")</f>
        <v>Ppkm = slowly slowly ...</v>
      </c>
    </row>
    <row r="8521" ht="15.75" customHeight="1">
      <c r="A8521" s="2">
        <v>8524.0</v>
      </c>
      <c r="B8521" s="5" t="s">
        <v>15558</v>
      </c>
      <c r="C8521" s="6">
        <v>1.0</v>
      </c>
      <c r="D8521" s="7" t="s">
        <v>15558</v>
      </c>
      <c r="E8521" s="8" t="str">
        <f>IFERROR(__xludf.DUMMYFUNCTION("googletranslate(D8521,""id"",""en"")"),"I've really old ppkm script until ilang ...")</f>
        <v>I've really old ppkm script until ilang ...</v>
      </c>
    </row>
    <row r="8522" ht="15.75" customHeight="1">
      <c r="A8522" s="2">
        <v>8525.0</v>
      </c>
      <c r="B8522" s="5" t="s">
        <v>15559</v>
      </c>
      <c r="C8522" s="6">
        <v>1.0</v>
      </c>
      <c r="D8522" s="7" t="s">
        <v>15560</v>
      </c>
      <c r="E8522" s="8" t="str">
        <f>IFERROR(__xludf.DUMMYFUNCTION("googletranslate(D8522,""id"",""en"")"),"Effect of the Darkest Alter World")</f>
        <v>Effect of the Darkest Alter World</v>
      </c>
    </row>
    <row r="8523" ht="15.75" customHeight="1">
      <c r="A8523" s="2">
        <v>8526.0</v>
      </c>
      <c r="B8523" s="5" t="s">
        <v>15561</v>
      </c>
      <c r="C8523" s="6">
        <v>2.0</v>
      </c>
      <c r="D8523" s="7" t="s">
        <v>15562</v>
      </c>
      <c r="E8523" s="8" t="str">
        <f>IFERROR(__xludf.DUMMYFUNCTION("googletranslate(D8523,""id"",""en"")"),"The losing period of PPKM")</f>
        <v>The losing period of PPKM</v>
      </c>
    </row>
    <row r="8524" ht="15.75" customHeight="1">
      <c r="A8524" s="2">
        <v>8527.0</v>
      </c>
      <c r="B8524" s="5" t="s">
        <v>15563</v>
      </c>
      <c r="C8524" s="6">
        <v>1.0</v>
      </c>
      <c r="D8524" s="7" t="s">
        <v>15564</v>
      </c>
      <c r="E8524" s="8" t="str">
        <f>IFERROR(__xludf.DUMMYFUNCTION("googletranslate(D8524,""id"",""en"")"),"People need to eat instead of disinfectants, you need rabbi dangdutan goods, ppkm ndek mamup sir")</f>
        <v>People need to eat instead of disinfectants, you need rabbi dangdutan goods, ppkm ndek mamup sir</v>
      </c>
    </row>
    <row r="8525" ht="15.75" customHeight="1">
      <c r="A8525" s="2">
        <v>8528.0</v>
      </c>
      <c r="B8525" s="5" t="s">
        <v>15565</v>
      </c>
      <c r="C8525" s="6">
        <v>1.0</v>
      </c>
      <c r="D8525" s="7" t="s">
        <v>15566</v>
      </c>
      <c r="E8525" s="8" t="str">
        <f>IFERROR(__xludf.DUMMYFUNCTION("googletranslate(D8525,""id"",""en"")"),"The people of the majority of my commander's NKRI, why do we suffer from Ayooo PPKM, aka multiply away the BGI Muslim.YG mosque. Other, the place for the prayer of each of the Pancasilaxe Prayer, then the other sila, Sorry Pastexe")</f>
        <v>The people of the majority of my commander's NKRI, why do we suffer from Ayooo PPKM, aka multiply away the BGI Muslim.YG mosque. Other, the place for the prayer of each of the Pancasilaxe Prayer, then the other sila, Sorry Pastexe</v>
      </c>
    </row>
    <row r="8526" ht="15.75" customHeight="1">
      <c r="A8526" s="2">
        <v>8529.0</v>
      </c>
      <c r="B8526" s="5" t="s">
        <v>15567</v>
      </c>
      <c r="C8526" s="6">
        <v>2.0</v>
      </c>
      <c r="D8526" s="7" t="s">
        <v>15568</v>
      </c>
      <c r="E8526" s="8" t="str">
        <f>IFERROR(__xludf.DUMMYFUNCTION("googletranslate(D8526,""id"",""en"")"),"An, PPKM, Enter Mall &amp; amp; Agustusan Niiih.")</f>
        <v>An, PPKM, Enter Mall &amp; amp; Agustusan Niiih.</v>
      </c>
    </row>
    <row r="8527" ht="15.75" customHeight="1">
      <c r="A8527" s="2">
        <v>8530.0</v>
      </c>
      <c r="B8527" s="5" t="s">
        <v>15569</v>
      </c>
      <c r="C8527" s="6">
        <v>2.0</v>
      </c>
      <c r="D8527" s="7" t="s">
        <v>15569</v>
      </c>
      <c r="E8527" s="8" t="str">
        <f>IFERROR(__xludf.DUMMYFUNCTION("googletranslate(D8527,""id"",""en"")"),"PPKM extended until you become mine and forever with me Bhahah")</f>
        <v>PPKM extended until you become mine and forever with me Bhahah</v>
      </c>
    </row>
    <row r="8528" ht="15.75" customHeight="1">
      <c r="A8528" s="2">
        <v>8531.0</v>
      </c>
      <c r="B8528" s="5" t="s">
        <v>15570</v>
      </c>
      <c r="C8528" s="6">
        <v>2.0</v>
      </c>
      <c r="D8528" s="7" t="s">
        <v>15571</v>
      </c>
      <c r="E8528" s="8" t="str">
        <f>IFERROR(__xludf.DUMMYFUNCTION("googletranslate(D8528,""id"",""en"")"),"Our slow PPKmpanlan modif")</f>
        <v>Our slow PPKmpanlan modif</v>
      </c>
    </row>
    <row r="8529" ht="15.75" customHeight="1">
      <c r="A8529" s="2">
        <v>8532.0</v>
      </c>
      <c r="B8529" s="5" t="s">
        <v>15572</v>
      </c>
      <c r="C8529" s="6">
        <v>2.0</v>
      </c>
      <c r="D8529" s="9" t="s">
        <v>15572</v>
      </c>
      <c r="E8529" s="8" t="str">
        <f>IFERROR(__xludf.DUMMYFUNCTION("googletranslate(D8529,""id"",""en"")"),"When I want to take the motorbike key, you know the keinget if the beach is along Sanur on the lid in the PPKM frame")</f>
        <v>When I want to take the motorbike key, you know the keinget if the beach is along Sanur on the lid in the PPKM frame</v>
      </c>
    </row>
    <row r="8530" ht="15.75" customHeight="1">
      <c r="A8530" s="2">
        <v>8533.0</v>
      </c>
      <c r="B8530" s="5" t="s">
        <v>15573</v>
      </c>
      <c r="C8530" s="6">
        <v>3.0</v>
      </c>
      <c r="D8530" s="7" t="s">
        <v>15574</v>
      </c>
      <c r="E8530" s="8" t="str">
        <f>IFERROR(__xludf.DUMMYFUNCTION("googletranslate(D8530,""id"",""en"")"),"Ready to do the next PPKM level ...")</f>
        <v>Ready to do the next PPKM level ...</v>
      </c>
    </row>
    <row r="8531" ht="15.75" customHeight="1">
      <c r="A8531" s="2">
        <v>8534.0</v>
      </c>
      <c r="B8531" s="5" t="s">
        <v>15575</v>
      </c>
      <c r="C8531" s="6">
        <v>3.0</v>
      </c>
      <c r="D8531" s="7" t="s">
        <v>15576</v>
      </c>
      <c r="E8531" s="8" t="str">
        <f>IFERROR(__xludf.DUMMYFUNCTION("googletranslate(D8531,""id"",""en"")"),"Still was a reformat subjusting the situation of the restrictions on the ongoing community activities (PPKM) not to make us off guard and return to the health protocol. Keep wearing a mask in carrying out all activities.")</f>
        <v>Still was a reformat subjusting the situation of the restrictions on the ongoing community activities (PPKM) not to make us off guard and return to the health protocol. Keep wearing a mask in carrying out all activities.</v>
      </c>
    </row>
    <row r="8532" ht="15.75" customHeight="1">
      <c r="A8532" s="2">
        <v>8535.0</v>
      </c>
      <c r="B8532" s="5" t="s">
        <v>15577</v>
      </c>
      <c r="C8532" s="6">
        <v>1.0</v>
      </c>
      <c r="D8532" s="7" t="s">
        <v>15578</v>
      </c>
      <c r="E8532" s="8" t="str">
        <f>IFERROR(__xludf.DUMMYFUNCTION("googletranslate(D8532,""id"",""en"")"),"The thin people think of the president told by PPKM Diem at home to eat you, ...")</f>
        <v>The thin people think of the president told by PPKM Diem at home to eat you, ...</v>
      </c>
    </row>
    <row r="8533" ht="15.75" customHeight="1">
      <c r="A8533" s="2">
        <v>8536.0</v>
      </c>
      <c r="B8533" s="5" t="s">
        <v>15579</v>
      </c>
      <c r="C8533" s="6">
        <v>2.0</v>
      </c>
      <c r="D8533" s="9" t="s">
        <v>15580</v>
      </c>
      <c r="E8533" s="8" t="str">
        <f>IFERROR(__xludf.DUMMYFUNCTION("googletranslate(D8533,""id"",""en"")"),"So remember first before the pandemic had a motoran using costume wkwkw now PPKM")</f>
        <v>So remember first before the pandemic had a motoran using costume wkwkw now PPKM</v>
      </c>
    </row>
    <row r="8534" ht="15.75" customHeight="1">
      <c r="A8534" s="2">
        <v>8537.0</v>
      </c>
      <c r="B8534" s="5" t="s">
        <v>15581</v>
      </c>
      <c r="C8534" s="6">
        <v>1.0</v>
      </c>
      <c r="D8534" s="9" t="s">
        <v>15582</v>
      </c>
      <c r="E8534" s="8" t="str">
        <f>IFERROR(__xludf.DUMMYFUNCTION("googletranslate(D8534,""id"",""en"")"),"The most klo there are those who say ""it's good to have a civil servant and have a salary. PPKM doesn't affect it in them"" how come you are jealous of other people who don't have a civil servant or employee, dlu don't test. Tired of learning? Ketrim Krn"&amp;" Pintter, DLU SHOP SCHOOLS ? Gk tired of sending applications here and there? Lambene from Ngmg")</f>
        <v>The most klo there are those who say "it's good to have a civil servant and have a salary. PPKM doesn't affect it in them" how come you are jealous of other people who don't have a civil servant or employee, dlu don't test. Tired of learning? Ketrim Krn Pintter, DLU SHOP SCHOOLS ? Gk tired of sending applications here and there? Lambene from Ngmg</v>
      </c>
    </row>
    <row r="8535" ht="15.75" customHeight="1">
      <c r="A8535" s="2">
        <v>8538.0</v>
      </c>
      <c r="B8535" s="5" t="s">
        <v>15583</v>
      </c>
      <c r="C8535" s="6">
        <v>2.0</v>
      </c>
      <c r="D8535" s="7" t="s">
        <v>15584</v>
      </c>
      <c r="E8535" s="8" t="str">
        <f>IFERROR(__xludf.DUMMYFUNCTION("googletranslate(D8535,""id"",""en"")"),"Eh msh ppkm right")</f>
        <v>Eh msh ppkm right</v>
      </c>
    </row>
    <row r="8536" ht="15.75" customHeight="1">
      <c r="A8536" s="2">
        <v>8539.0</v>
      </c>
      <c r="B8536" s="5" t="s">
        <v>15585</v>
      </c>
      <c r="C8536" s="6">
        <v>1.0</v>
      </c>
      <c r="D8536" s="7" t="s">
        <v>15586</v>
      </c>
      <c r="E8536" s="8" t="str">
        <f>IFERROR(__xludf.DUMMYFUNCTION("googletranslate(D8536,""id"",""en"")"),"Can't, CPKM will be held by Pol PP")</f>
        <v>Can't, CPKM will be held by Pol PP</v>
      </c>
    </row>
    <row r="8537" ht="15.75" customHeight="1">
      <c r="A8537" s="2">
        <v>8540.0</v>
      </c>
      <c r="B8537" s="5" t="s">
        <v>15587</v>
      </c>
      <c r="C8537" s="6">
        <v>2.0</v>
      </c>
      <c r="D8537" s="7" t="s">
        <v>15587</v>
      </c>
      <c r="E8537" s="8" t="str">
        <f>IFERROR(__xludf.DUMMYFUNCTION("googletranslate(D8537,""id"",""en"")"),"ppkm gini can already study offline yes in Surabaya? Huuh")</f>
        <v>ppkm gini can already study offline yes in Surabaya? Huuh</v>
      </c>
    </row>
    <row r="8538" ht="15.75" customHeight="1">
      <c r="A8538" s="2">
        <v>8541.0</v>
      </c>
      <c r="B8538" s="5" t="s">
        <v>15588</v>
      </c>
      <c r="C8538" s="6">
        <v>2.0</v>
      </c>
      <c r="D8538" s="9" t="s">
        <v>15589</v>
      </c>
      <c r="E8538" s="8" t="str">
        <f>IFERROR(__xludf.DUMMYFUNCTION("googletranslate(D8538,""id"",""en"")"),"Too much about the big things that can't necessarily happen to forget the little things that have definitely happen in life, for example: breathing, running, eating, PDI, PPKM extended")</f>
        <v>Too much about the big things that can't necessarily happen to forget the little things that have definitely happen in life, for example: breathing, running, eating, PDI, PPKM extended</v>
      </c>
    </row>
    <row r="8539" ht="15.75" customHeight="1">
      <c r="A8539" s="2">
        <v>8542.0</v>
      </c>
      <c r="B8539" s="5" t="s">
        <v>15590</v>
      </c>
      <c r="C8539" s="6">
        <v>1.0</v>
      </c>
      <c r="D8539" s="7" t="s">
        <v>15590</v>
      </c>
      <c r="E8539" s="8" t="str">
        <f>IFERROR(__xludf.DUMMYFUNCTION("googletranslate(D8539,""id"",""en"")"),"LG PPKM Instead Meeting Against Meeting")</f>
        <v>LG PPKM Instead Meeting Against Meeting</v>
      </c>
    </row>
    <row r="8540" ht="15.75" customHeight="1">
      <c r="A8540" s="2">
        <v>8543.0</v>
      </c>
      <c r="B8540" s="5" t="s">
        <v>15591</v>
      </c>
      <c r="C8540" s="6">
        <v>2.0</v>
      </c>
      <c r="D8540" s="9" t="s">
        <v>15592</v>
      </c>
      <c r="E8540" s="8" t="str">
        <f>IFERROR(__xludf.DUMMYFUNCTION("googletranslate(D8540,""id"",""en"")"),"Waiki ... HBD hopefully longevity is always healthy and increasingly successful .... in Gofoodin Ae Tin Season PPKM")</f>
        <v>Waiki ... HBD hopefully longevity is always healthy and increasingly successful .... in Gofoodin Ae Tin Season PPKM</v>
      </c>
    </row>
    <row r="8541" ht="15.75" customHeight="1">
      <c r="A8541" s="2">
        <v>8544.0</v>
      </c>
      <c r="B8541" s="5" t="s">
        <v>15593</v>
      </c>
      <c r="C8541" s="6">
        <v>1.0</v>
      </c>
      <c r="D8541" s="10" t="s">
        <v>15594</v>
      </c>
      <c r="E8541" s="8" t="str">
        <f>IFERROR(__xludf.DUMMYFUNCTION("googletranslate(D8541,""id"",""en"")"),"Afraid of PPKM")</f>
        <v>Afraid of PPKM</v>
      </c>
    </row>
    <row r="8542" ht="15.75" customHeight="1">
      <c r="A8542" s="2">
        <v>8545.0</v>
      </c>
      <c r="B8542" s="5" t="s">
        <v>15595</v>
      </c>
      <c r="C8542" s="6">
        <v>2.0</v>
      </c>
      <c r="D8542" s="7" t="s">
        <v>15596</v>
      </c>
      <c r="E8542" s="8" t="str">
        <f>IFERROR(__xludf.DUMMYFUNCTION("googletranslate(D8542,""id"",""en"")"),"Ngopi Yuk Panam Gak PPKM")</f>
        <v>Ngopi Yuk Panam Gak PPKM</v>
      </c>
    </row>
    <row r="8543" ht="15.75" customHeight="1">
      <c r="A8543" s="2">
        <v>8546.0</v>
      </c>
      <c r="B8543" s="5" t="s">
        <v>15597</v>
      </c>
      <c r="C8543" s="6">
        <v>1.0</v>
      </c>
      <c r="D8543" s="7" t="s">
        <v>15598</v>
      </c>
      <c r="E8543" s="8" t="str">
        <f>IFERROR(__xludf.DUMMYFUNCTION("googletranslate(D8543,""id"",""en"")"),"Now for those who say, let's get the most ppkm to the end of the time when it turns to be invited to debate instead")</f>
        <v>Now for those who say, let's get the most ppkm to the end of the time when it turns to be invited to debate instead</v>
      </c>
    </row>
    <row r="8544" ht="15.75" customHeight="1">
      <c r="A8544" s="2">
        <v>8547.0</v>
      </c>
      <c r="B8544" s="5" t="s">
        <v>15599</v>
      </c>
      <c r="C8544" s="6">
        <v>1.0</v>
      </c>
      <c r="D8544" s="7" t="s">
        <v>15600</v>
      </c>
      <c r="E8544" s="8" t="str">
        <f>IFERROR(__xludf.DUMMYFUNCTION("googletranslate(D8544,""id"",""en"")"),"There is no one who opened Karna PPKM")</f>
        <v>There is no one who opened Karna PPKM</v>
      </c>
    </row>
    <row r="8545" ht="15.75" customHeight="1">
      <c r="A8545" s="2">
        <v>8548.0</v>
      </c>
      <c r="B8545" s="5" t="s">
        <v>15601</v>
      </c>
      <c r="C8545" s="6">
        <v>1.0</v>
      </c>
      <c r="D8545" s="7" t="s">
        <v>15602</v>
      </c>
      <c r="E8545" s="8" t="str">
        <f>IFERROR(__xludf.DUMMYFUNCTION("googletranslate(D8545,""id"",""en"")"),"The leaflets were written in August 11 this year the theme survived, forced to be healthy in the state of illness, PPKM to Mampus'. Look ..")</f>
        <v>The leaflets were written in August 11 this year the theme survived, forced to be healthy in the state of illness, PPKM to Mampus'. Look ..</v>
      </c>
    </row>
    <row r="8546" ht="15.75" customHeight="1">
      <c r="A8546" s="2">
        <v>8549.0</v>
      </c>
      <c r="B8546" s="5" t="s">
        <v>15603</v>
      </c>
      <c r="C8546" s="6">
        <v>1.0</v>
      </c>
      <c r="D8546" s="7" t="s">
        <v>15604</v>
      </c>
      <c r="E8546" s="8" t="str">
        <f>IFERROR(__xludf.DUMMYFUNCTION("googletranslate(D8546,""id"",""en"")"),"As long as Indonesia stands BLM once the president has made the BPRTI institution, because the Pancasila must be understood so that it can be interpreted in the life of the nation and state that is applied in P4, PMP, PPKM and PSPB lessons as a basic benc"&amp;"hmark.")</f>
        <v>As long as Indonesia stands BLM once the president has made the BPRTI institution, because the Pancasila must be understood so that it can be interpreted in the life of the nation and state that is applied in P4, PMP, PPKM and PSPB lessons as a basic benchmark.</v>
      </c>
    </row>
    <row r="8547" ht="15.75" customHeight="1">
      <c r="A8547" s="2">
        <v>8550.0</v>
      </c>
      <c r="B8547" s="5" t="s">
        <v>15605</v>
      </c>
      <c r="C8547" s="6">
        <v>3.0</v>
      </c>
      <c r="D8547" s="7" t="s">
        <v>15605</v>
      </c>
      <c r="E8547" s="8" t="str">
        <f>IFERROR(__xludf.DUMMYFUNCTION("googletranslate(D8547,""id"",""en"")"),"Alhamdulillah, in the middle of the PPKM God instead made it easier for me to achieve one of my targets, just like the execution, let it be smooth in the future. The more close to the target is increasing, keep strong beybih.")</f>
        <v>Alhamdulillah, in the middle of the PPKM God instead made it easier for me to achieve one of my targets, just like the execution, let it be smooth in the future. The more close to the target is increasing, keep strong beybih.</v>
      </c>
    </row>
    <row r="8548" ht="15.75" customHeight="1">
      <c r="A8548" s="2">
        <v>8551.0</v>
      </c>
      <c r="B8548" s="5" t="s">
        <v>15606</v>
      </c>
      <c r="C8548" s="6">
        <v>1.0</v>
      </c>
      <c r="D8548" s="9" t="s">
        <v>15607</v>
      </c>
      <c r="E8548" s="8" t="str">
        <f>IFERROR(__xludf.DUMMYFUNCTION("googletranslate(D8548,""id"",""en"")"),"Because of a pandemic &amp; amp; PPKM, the people can't face face to face (directly on the ground), if you are definitely driven by the apparatus. Want to criticize Via Medsos, dijegal ITE Law. Now criticism via mural &amp; amp; Sablonan shirts, police hunted too"&amp;". Actually, this is a democratic country or dictatory ...! ??")</f>
        <v>Because of a pandemic &amp; amp; PPKM, the people can't face face to face (directly on the ground), if you are definitely driven by the apparatus. Want to criticize Via Medsos, dijegal ITE Law. Now criticism via mural &amp; amp; Sablonan shirts, police hunted too. Actually, this is a democratic country or dictatory ...! ??</v>
      </c>
    </row>
    <row r="8549" ht="15.75" customHeight="1">
      <c r="A8549" s="2">
        <v>8552.0</v>
      </c>
      <c r="B8549" s="5" t="s">
        <v>15608</v>
      </c>
      <c r="C8549" s="6">
        <v>1.0</v>
      </c>
      <c r="D8549" s="7" t="s">
        <v>15609</v>
      </c>
      <c r="E8549" s="8" t="str">
        <f>IFERROR(__xludf.DUMMYFUNCTION("googletranslate(D8549,""id"",""en"")"),"In mention it was bales ... again ppkm like this to make a riot genius")</f>
        <v>In mention it was bales ... again ppkm like this to make a riot genius</v>
      </c>
    </row>
    <row r="8550" ht="15.75" customHeight="1">
      <c r="A8550" s="2">
        <v>8553.0</v>
      </c>
      <c r="B8550" s="5" t="s">
        <v>15610</v>
      </c>
      <c r="C8550" s="6">
        <v>1.0</v>
      </c>
      <c r="D8550" s="7" t="s">
        <v>15611</v>
      </c>
      <c r="E8550" s="8" t="str">
        <f>IFERROR(__xludf.DUMMYFUNCTION("googletranslate(D8550,""id"",""en"")"),"The reason for ban: is considered to cause a crowd amid the PPKM enactment, it is very strange because there are other activities that cause crowds not prohibited examples: for basic food, election, fucksin queue")</f>
        <v>The reason for ban: is considered to cause a crowd amid the PPKM enactment, it is very strange because there are other activities that cause crowds not prohibited examples: for basic food, election, fucksin queue</v>
      </c>
    </row>
    <row r="8551" ht="15.75" customHeight="1">
      <c r="A8551" s="2">
        <v>8554.0</v>
      </c>
      <c r="B8551" s="5" t="s">
        <v>15612</v>
      </c>
      <c r="C8551" s="6">
        <v>1.0</v>
      </c>
      <c r="D8551" s="10" t="s">
        <v>15613</v>
      </c>
      <c r="E8551" s="8" t="str">
        <f>IFERROR(__xludf.DUMMYFUNCTION("googletranslate(D8551,""id"",""en"")"),"Close..ppkm.")</f>
        <v>Close..ppkm.</v>
      </c>
    </row>
    <row r="8552" ht="15.75" customHeight="1">
      <c r="A8552" s="2">
        <v>8555.0</v>
      </c>
      <c r="B8552" s="5" t="s">
        <v>15614</v>
      </c>
      <c r="C8552" s="6">
        <v>1.0</v>
      </c>
      <c r="D8552" s="7" t="s">
        <v>15615</v>
      </c>
      <c r="E8552" s="8" t="str">
        <f>IFERROR(__xludf.DUMMYFUNCTION("googletranslate(D8552,""id"",""en"")"),"Progressive thinking of your ndas, PPKM makes you with")</f>
        <v>Progressive thinking of your ndas, PPKM makes you with</v>
      </c>
    </row>
    <row r="8553" ht="15.75" customHeight="1">
      <c r="A8553" s="2">
        <v>8556.0</v>
      </c>
      <c r="B8553" s="5" t="s">
        <v>15616</v>
      </c>
      <c r="C8553" s="6">
        <v>2.0</v>
      </c>
      <c r="D8553" s="7" t="s">
        <v>15616</v>
      </c>
      <c r="E8553" s="8" t="str">
        <f>IFERROR(__xludf.DUMMYFUNCTION("googletranslate(D8553,""id"",""en"")"),"Donda released PPKM fitting finished, so many.")</f>
        <v>Donda released PPKM fitting finished, so many.</v>
      </c>
    </row>
    <row r="8554" ht="15.75" customHeight="1">
      <c r="A8554" s="2">
        <v>8557.0</v>
      </c>
      <c r="B8554" s="5" t="s">
        <v>15617</v>
      </c>
      <c r="C8554" s="6">
        <v>2.0</v>
      </c>
      <c r="D8554" s="9" t="s">
        <v>15618</v>
      </c>
      <c r="E8554" s="8" t="str">
        <f>IFERROR(__xludf.DUMMYFUNCTION("googletranslate(D8554,""id"",""en"")"),"The competition champion did not come out during PPKM")</f>
        <v>The competition champion did not come out during PPKM</v>
      </c>
    </row>
    <row r="8555" ht="15.75" customHeight="1">
      <c r="A8555" s="2">
        <v>8558.0</v>
      </c>
      <c r="B8555" s="5" t="s">
        <v>15619</v>
      </c>
      <c r="C8555" s="6">
        <v>3.0</v>
      </c>
      <c r="D8555" s="7" t="s">
        <v>15620</v>
      </c>
      <c r="E8555" s="8" t="str">
        <f>IFERROR(__xludf.DUMMYFUNCTION("googletranslate(D8555,""id"",""en"")"),"Since the Emergency Emergency Emergency effect of the decline in Covid-19 level of Occupancy Wisma Athlit which had been decreased below%")</f>
        <v>Since the Emergency Emergency Emergency effect of the decline in Covid-19 level of Occupancy Wisma Athlit which had been decreased below%</v>
      </c>
    </row>
    <row r="8556" ht="15.75" customHeight="1">
      <c r="A8556" s="2">
        <v>8559.0</v>
      </c>
      <c r="B8556" s="5" t="s">
        <v>15621</v>
      </c>
      <c r="C8556" s="6">
        <v>1.0</v>
      </c>
      <c r="D8556" s="7" t="s">
        <v>15622</v>
      </c>
      <c r="E8556" s="8" t="str">
        <f>IFERROR(__xludf.DUMMYFUNCTION("googletranslate(D8556,""id"",""en"")"),"Njing kaga all ppkm ya")</f>
        <v>Njing kaga all ppkm ya</v>
      </c>
    </row>
    <row r="8557" ht="15.75" customHeight="1">
      <c r="A8557" s="2">
        <v>8560.0</v>
      </c>
      <c r="B8557" s="5" t="s">
        <v>15623</v>
      </c>
      <c r="C8557" s="6">
        <v>1.0</v>
      </c>
      <c r="D8557" s="9" t="s">
        <v>15624</v>
      </c>
      <c r="E8557" s="8" t="str">
        <f>IFERROR(__xludf.DUMMYFUNCTION("googletranslate(D8557,""id"",""en"")"),"I'm just a person in Eumah Mulu now it's already productive with a month a month eh the arms of PPKM Sat")</f>
        <v>I'm just a person in Eumah Mulu now it's already productive with a month a month eh the arms of PPKM Sat</v>
      </c>
    </row>
    <row r="8558" ht="15.75" customHeight="1">
      <c r="A8558" s="2">
        <v>8561.0</v>
      </c>
      <c r="B8558" s="5" t="s">
        <v>15625</v>
      </c>
      <c r="C8558" s="6">
        <v>2.0</v>
      </c>
      <c r="D8558" s="7" t="s">
        <v>15626</v>
      </c>
      <c r="E8558" s="8" t="str">
        <f>IFERROR(__xludf.DUMMYFUNCTION("googletranslate(D8558,""id"",""en"")"),"Ppkm ... don't get it ... here to my house ... it's picked up")</f>
        <v>Ppkm ... don't get it ... here to my house ... it's picked up</v>
      </c>
    </row>
    <row r="8559" ht="15.75" customHeight="1">
      <c r="A8559" s="2">
        <v>8562.0</v>
      </c>
      <c r="B8559" s="5" t="s">
        <v>15627</v>
      </c>
      <c r="C8559" s="6">
        <v>2.0</v>
      </c>
      <c r="D8559" s="7" t="s">
        <v>15627</v>
      </c>
      <c r="E8559" s="8" t="str">
        <f>IFERROR(__xludf.DUMMYFUNCTION("googletranslate(D8559,""id"",""en"")"),"KPKM extended until Mariana Renata played a movie again")</f>
        <v>KPKM extended until Mariana Renata played a movie again</v>
      </c>
    </row>
    <row r="8560" ht="15.75" customHeight="1">
      <c r="A8560" s="2">
        <v>8563.0</v>
      </c>
      <c r="B8560" s="5" t="s">
        <v>15628</v>
      </c>
      <c r="C8560" s="6">
        <v>1.0</v>
      </c>
      <c r="D8560" s="7" t="s">
        <v>15629</v>
      </c>
      <c r="E8560" s="8" t="str">
        <f>IFERROR(__xludf.DUMMYFUNCTION("googletranslate(D8560,""id"",""en"")"),"Panic home because of PPKM")</f>
        <v>Panic home because of PPKM</v>
      </c>
    </row>
    <row r="8561" ht="15.75" customHeight="1">
      <c r="A8561" s="2">
        <v>8564.0</v>
      </c>
      <c r="B8561" s="5" t="s">
        <v>15630</v>
      </c>
      <c r="C8561" s="6">
        <v>1.0</v>
      </c>
      <c r="D8561" s="9" t="s">
        <v>15631</v>
      </c>
      <c r="E8561" s="8" t="str">
        <f>IFERROR(__xludf.DUMMYFUNCTION("googletranslate(D8561,""id"",""en"")"),"Emergency PPKM from July.20 July Eid al-Adha.Covid is always crowded if it is near near the Islamic day.")</f>
        <v>Emergency PPKM from July.20 July Eid al-Adha.Covid is always crowded if it is near near the Islamic day.</v>
      </c>
    </row>
    <row r="8562" ht="15.75" customHeight="1">
      <c r="A8562" s="2">
        <v>8565.0</v>
      </c>
      <c r="B8562" s="5" t="s">
        <v>15632</v>
      </c>
      <c r="C8562" s="6">
        <v>1.0</v>
      </c>
      <c r="D8562" s="9" t="s">
        <v>15633</v>
      </c>
      <c r="E8562" s="8" t="str">
        <f>IFERROR(__xludf.DUMMYFUNCTION("googletranslate(D8562,""id"",""en"")"),"Viruses are normally China. But there is already free. Whereas here, the virus is crazy. If you want to go to Indonesia, actually, actually, who entered the outbreak area of ​​them. Ppkm and not to be lockdowned. People told just at home except looking fo"&amp;"r a dining. WNA JG Males Want Here")</f>
        <v>Viruses are normally China. But there is already free. Whereas here, the virus is crazy. If you want to go to Indonesia, actually, actually, who entered the outbreak area of ​​them. Ppkm and not to be lockdowned. People told just at home except looking for a dining. WNA JG Males Want Here</v>
      </c>
    </row>
    <row r="8563" ht="15.75" customHeight="1">
      <c r="A8563" s="2">
        <v>8566.0</v>
      </c>
      <c r="B8563" s="5" t="s">
        <v>15634</v>
      </c>
      <c r="C8563" s="6">
        <v>1.0</v>
      </c>
      <c r="D8563" s="7" t="s">
        <v>15635</v>
      </c>
      <c r="E8563" s="8" t="str">
        <f>IFERROR(__xludf.DUMMYFUNCTION("googletranslate(D8563,""id"",""en"")"),"Because ""you"" finally exploded again, PPKM again, it was difficult, crawling again, slowing down again, ... really troublesome organs ...? Mburu asmonious dhw ... this end.")</f>
        <v>Because "you" finally exploded again, PPKM again, it was difficult, crawling again, slowing down again, ... really troublesome organs ...? Mburu asmonious dhw ... this end.</v>
      </c>
    </row>
    <row r="8564" ht="15.75" customHeight="1">
      <c r="A8564" s="2">
        <v>8567.0</v>
      </c>
      <c r="B8564" s="5" t="s">
        <v>15636</v>
      </c>
      <c r="C8564" s="6">
        <v>1.0</v>
      </c>
      <c r="D8564" s="9" t="s">
        <v>15636</v>
      </c>
      <c r="E8564" s="8" t="str">
        <f>IFERROR(__xludf.DUMMYFUNCTION("googletranslate(D8564,""id"",""en"")"),"For those who like to speak. Make hoaxes about covid-19.yg blocking the obstruction of Covid-19 health protocols")</f>
        <v>For those who like to speak. Make hoaxes about covid-19.yg blocking the obstruction of Covid-19 health protocols</v>
      </c>
    </row>
    <row r="8565" ht="15.75" customHeight="1">
      <c r="A8565" s="2">
        <v>8568.0</v>
      </c>
      <c r="B8565" s="5" t="s">
        <v>15637</v>
      </c>
      <c r="C8565" s="6">
        <v>3.0</v>
      </c>
      <c r="D8565" s="7" t="s">
        <v>15638</v>
      </c>
      <c r="E8565" s="8" t="str">
        <f>IFERROR(__xludf.DUMMYFUNCTION("googletranslate(D8565,""id"",""en"")"),"Even though I don't like Mager.Kuks disciplines so that there is no PPKM again")</f>
        <v>Even though I don't like Mager.Kuks disciplines so that there is no PPKM again</v>
      </c>
    </row>
    <row r="8566" ht="15.75" customHeight="1">
      <c r="A8566" s="2">
        <v>8569.0</v>
      </c>
      <c r="B8566" s="5" t="s">
        <v>15639</v>
      </c>
      <c r="C8566" s="6">
        <v>2.0</v>
      </c>
      <c r="D8566" s="7" t="s">
        <v>15639</v>
      </c>
      <c r="E8566" s="8" t="str">
        <f>IFERROR(__xludf.DUMMYFUNCTION("googletranslate(D8566,""id"",""en"")"),"PPKM does not apply to the creative industry wkwk")</f>
        <v>PPKM does not apply to the creative industry wkwk</v>
      </c>
    </row>
    <row r="8567" ht="15.75" customHeight="1">
      <c r="A8567" s="2">
        <v>8570.0</v>
      </c>
      <c r="B8567" s="5" t="s">
        <v>15640</v>
      </c>
      <c r="C8567" s="6">
        <v>1.0</v>
      </c>
      <c r="D8567" s="7" t="s">
        <v>15641</v>
      </c>
      <c r="E8567" s="8" t="str">
        <f>IFERROR(__xludf.DUMMYFUNCTION("googletranslate(D8567,""id"",""en"")"),"The question: Emergency PPKM Jawa-Bali, but why are you still traveling?")</f>
        <v>The question: Emergency PPKM Jawa-Bali, but why are you still traveling?</v>
      </c>
    </row>
    <row r="8568" ht="15.75" customHeight="1">
      <c r="A8568" s="2">
        <v>8571.0</v>
      </c>
      <c r="B8568" s="5" t="s">
        <v>15642</v>
      </c>
      <c r="C8568" s="6">
        <v>2.0</v>
      </c>
      <c r="D8568" s="7" t="s">
        <v>15643</v>
      </c>
      <c r="E8568" s="8" t="str">
        <f>IFERROR(__xludf.DUMMYFUNCTION("googletranslate(D8568,""id"",""en"")"),"In the morning get a photo sent from a coffee shopman's friend. He said this letter he received yesterday Malem (1/7/2021) when there was a combination of Covid Dateng Task Force to his place. But why is the letter ... ??")</f>
        <v>In the morning get a photo sent from a coffee shopman's friend. He said this letter he received yesterday Malem (1/7/2021) when there was a combination of Covid Dateng Task Force to his place. But why is the letter ... ??</v>
      </c>
    </row>
    <row r="8569" ht="15.75" customHeight="1">
      <c r="A8569" s="2">
        <v>8572.0</v>
      </c>
      <c r="B8569" s="5" t="s">
        <v>15644</v>
      </c>
      <c r="C8569" s="6">
        <v>1.0</v>
      </c>
      <c r="D8569" s="9" t="s">
        <v>15644</v>
      </c>
      <c r="E8569" s="8" t="str">
        <f>IFERROR(__xludf.DUMMYFUNCTION("googletranslate(D8569,""id"",""en"")"),"Once the country lives the opportunity to LBP (another king of lip service). If you can make this Emergency PPKM succeed, and the daily curve of the umbrella daily case, I will follow me IG Lo")</f>
        <v>Once the country lives the opportunity to LBP (another king of lip service). If you can make this Emergency PPKM succeed, and the daily curve of the umbrella daily case, I will follow me IG Lo</v>
      </c>
    </row>
    <row r="8570" ht="15.75" customHeight="1">
      <c r="A8570" s="2">
        <v>8573.0</v>
      </c>
      <c r="B8570" s="5" t="s">
        <v>15645</v>
      </c>
      <c r="C8570" s="6">
        <v>1.0</v>
      </c>
      <c r="D8570" s="7" t="s">
        <v>15646</v>
      </c>
      <c r="E8570" s="8" t="str">
        <f>IFERROR(__xludf.DUMMYFUNCTION("googletranslate(D8570,""id"",""en"")"),"Ppkm no.berku to.tka .... the president dumb and stupid")</f>
        <v>Ppkm no.berku to.tka .... the president dumb and stupid</v>
      </c>
    </row>
    <row r="8571" ht="15.75" customHeight="1">
      <c r="A8571" s="2">
        <v>8574.0</v>
      </c>
      <c r="B8571" s="5" t="s">
        <v>15647</v>
      </c>
      <c r="C8571" s="6">
        <v>2.0</v>
      </c>
      <c r="D8571" s="7" t="s">
        <v>15648</v>
      </c>
      <c r="E8571" s="8" t="str">
        <f>IFERROR(__xludf.DUMMYFUNCTION("googletranslate(D8571,""id"",""en"")"),"The emergency ppkm is really bad? Purworejo also the red zone but how come there isn't there")</f>
        <v>The emergency ppkm is really bad? Purworejo also the red zone but how come there isn't there</v>
      </c>
    </row>
    <row r="8572" ht="15.75" customHeight="1">
      <c r="A8572" s="2">
        <v>8575.0</v>
      </c>
      <c r="B8572" s="5" t="s">
        <v>15649</v>
      </c>
      <c r="C8572" s="6">
        <v>2.0</v>
      </c>
      <c r="D8572" s="7" t="s">
        <v>15650</v>
      </c>
      <c r="E8572" s="8" t="str">
        <f>IFERROR(__xludf.DUMMYFUNCTION("googletranslate(D8572,""id"",""en"")"),"Want to ask, tomorrow, start the Emergency PPKM and the bookstore is closed. What is the schedule for the comic going on or following the PPKM delayed to finish PPKM?")</f>
        <v>Want to ask, tomorrow, start the Emergency PPKM and the bookstore is closed. What is the schedule for the comic going on or following the PPKM delayed to finish PPKM?</v>
      </c>
    </row>
    <row r="8573" ht="15.75" customHeight="1">
      <c r="A8573" s="2">
        <v>8576.0</v>
      </c>
      <c r="B8573" s="5" t="s">
        <v>15651</v>
      </c>
      <c r="C8573" s="6">
        <v>1.0</v>
      </c>
      <c r="D8573" s="7" t="s">
        <v>15651</v>
      </c>
      <c r="E8573" s="8" t="str">
        <f>IFERROR(__xludf.DUMMYFUNCTION("googletranslate(D8573,""id"",""en"")"),"Whether when applicable Emergency PPKM also has a closure of the entrance for the WNA &amp; amp; Chinese TKA?")</f>
        <v>Whether when applicable Emergency PPKM also has a closure of the entrance for the WNA &amp; amp; Chinese TKA?</v>
      </c>
    </row>
    <row r="8574" ht="15.75" customHeight="1">
      <c r="A8574" s="2">
        <v>8577.0</v>
      </c>
      <c r="B8574" s="5" t="s">
        <v>15652</v>
      </c>
      <c r="C8574" s="6">
        <v>1.0</v>
      </c>
      <c r="D8574" s="7" t="s">
        <v>15653</v>
      </c>
      <c r="E8574" s="8" t="str">
        <f>IFERROR(__xludf.DUMMYFUNCTION("googletranslate(D8574,""id"",""en"")"),"Geblek bngt not checking this office q the morning I left for the office to know ""it's not so, because the schedule q is in exchange for the ppkm case that goes by just boss omo")</f>
        <v>Geblek bngt not checking this office q the morning I left for the office to know "it's not so, because the schedule q is in exchange for the ppkm case that goes by just boss omo</v>
      </c>
    </row>
    <row r="8575" ht="15.75" customHeight="1">
      <c r="A8575" s="2">
        <v>8578.0</v>
      </c>
      <c r="B8575" s="5" t="s">
        <v>15654</v>
      </c>
      <c r="C8575" s="6">
        <v>1.0</v>
      </c>
      <c r="D8575" s="7" t="s">
        <v>15655</v>
      </c>
      <c r="E8575" s="8" t="str">
        <f>IFERROR(__xludf.DUMMYFUNCTION("googletranslate(D8575,""id"",""en"")"),"Petisix doesn't matter firmly handle covid tpi sklian petition to retreat just as the president wants to firmly want to change the name of psbb ppkm emergency smpai ajaxx gk there is a result. Said the word rocki want klian dandani, but it can't be bro.")</f>
        <v>Petisix doesn't matter firmly handle covid tpi sklian petition to retreat just as the president wants to firmly want to change the name of psbb ppkm emergency smpai ajaxx gk there is a result. Said the word rocki want klian dandani, but it can't be bro.</v>
      </c>
    </row>
    <row r="8576" ht="15.75" customHeight="1">
      <c r="A8576" s="2">
        <v>8579.0</v>
      </c>
      <c r="B8576" s="5" t="s">
        <v>15656</v>
      </c>
      <c r="C8576" s="6">
        <v>2.0</v>
      </c>
      <c r="D8576" s="9" t="s">
        <v>15657</v>
      </c>
      <c r="E8576" s="8" t="str">
        <f>IFERROR(__xludf.DUMMYFUNCTION("googletranslate(D8576,""id"",""en"")"),"gppa nder. yeah, there's a lot, but it's a bit more than it. How come it's your day? Hopefully I'm soothing, cntik ... OIYA KMU DON'T LPA STOCK BHNAN YES DRUMAH, because the problem is that it has already been ppkm. And about mncul on DM, BLEH BNET! dtngg"&amp;"u ya cntik.")</f>
        <v>gppa nder. yeah, there's a lot, but it's a bit more than it. How come it's your day? Hopefully I'm soothing, cntik ... OIYA KMU DON'T LPA STOCK BHNAN YES DRUMAH, because the problem is that it has already been ppkm. And about mncul on DM, BLEH BNET! dtnggu ya cntik.</v>
      </c>
    </row>
    <row r="8577" ht="15.75" customHeight="1">
      <c r="A8577" s="2">
        <v>8580.0</v>
      </c>
      <c r="B8577" s="5" t="s">
        <v>15658</v>
      </c>
      <c r="C8577" s="6">
        <v>3.0</v>
      </c>
      <c r="D8577" s="7" t="s">
        <v>15658</v>
      </c>
      <c r="E8577" s="8" t="str">
        <f>IFERROR(__xludf.DUMMYFUNCTION("googletranslate(D8577,""id"",""en"")"),"May we later obey PPKM")</f>
        <v>May we later obey PPKM</v>
      </c>
    </row>
    <row r="8578" ht="15.75" customHeight="1">
      <c r="A8578" s="2">
        <v>8581.0</v>
      </c>
      <c r="B8578" s="5" t="s">
        <v>15659</v>
      </c>
      <c r="C8578" s="6">
        <v>1.0</v>
      </c>
      <c r="D8578" s="7" t="s">
        <v>15659</v>
      </c>
      <c r="E8578" s="8" t="str">
        <f>IFERROR(__xludf.DUMMYFUNCTION("googletranslate(D8578,""id"",""en"")"),"Ppkm (nutmeg dizzy thinking money) eaaa")</f>
        <v>Ppkm (nutmeg dizzy thinking money) eaaa</v>
      </c>
    </row>
    <row r="8579" ht="15.75" customHeight="1">
      <c r="A8579" s="2">
        <v>8582.0</v>
      </c>
      <c r="B8579" s="5" t="s">
        <v>15660</v>
      </c>
      <c r="C8579" s="6">
        <v>2.0</v>
      </c>
      <c r="D8579" s="7" t="s">
        <v>15661</v>
      </c>
      <c r="E8579" s="8" t="str">
        <f>IFERROR(__xludf.DUMMYFUNCTION("googletranslate(D8579,""id"",""en"")"),"Min want to ask. In this Emergency PPKM period Jadwalnkrp Cikarang City There Are Changes Not?")</f>
        <v>Min want to ask. In this Emergency PPKM period Jadwalnkrp Cikarang City There Are Changes Not?</v>
      </c>
    </row>
    <row r="8580" ht="15.75" customHeight="1">
      <c r="A8580" s="2">
        <v>8583.0</v>
      </c>
      <c r="B8580" s="5" t="s">
        <v>15662</v>
      </c>
      <c r="C8580" s="6">
        <v>2.0</v>
      </c>
      <c r="D8580" s="7" t="s">
        <v>15663</v>
      </c>
      <c r="E8580" s="8" t="str">
        <f>IFERROR(__xludf.DUMMYFUNCTION("googletranslate(D8580,""id"",""en"")"),"Infographic complete rules of Java emergency ppkm bali")</f>
        <v>Infographic complete rules of Java emergency ppkm bali</v>
      </c>
    </row>
    <row r="8581" ht="15.75" customHeight="1">
      <c r="A8581" s="2">
        <v>8584.0</v>
      </c>
      <c r="B8581" s="5" t="s">
        <v>15664</v>
      </c>
      <c r="C8581" s="6">
        <v>2.0</v>
      </c>
      <c r="D8581" s="7" t="s">
        <v>15665</v>
      </c>
      <c r="E8581" s="8" t="str">
        <f>IFERROR(__xludf.DUMMYFUNCTION("googletranslate(D8581,""id"",""en"")"),"Emergency PPKM was carried out during the week, starting on July, until July.")</f>
        <v>Emergency PPKM was carried out during the week, starting on July, until July.</v>
      </c>
    </row>
    <row r="8582" ht="15.75" customHeight="1">
      <c r="A8582" s="2">
        <v>8585.0</v>
      </c>
      <c r="B8582" s="5" t="s">
        <v>15666</v>
      </c>
      <c r="C8582" s="6">
        <v>2.0</v>
      </c>
      <c r="D8582" s="7" t="s">
        <v>15667</v>
      </c>
      <c r="E8582" s="8" t="str">
        <f>IFERROR(__xludf.DUMMYFUNCTION("googletranslate(D8582,""id"",""en"")"),"Ppkm is still trending a few days ago")</f>
        <v>Ppkm is still trending a few days ago</v>
      </c>
    </row>
    <row r="8583" ht="15.75" customHeight="1">
      <c r="A8583" s="2">
        <v>8586.0</v>
      </c>
      <c r="B8583" s="5" t="s">
        <v>15668</v>
      </c>
      <c r="C8583" s="6">
        <v>1.0</v>
      </c>
      <c r="D8583" s="9" t="s">
        <v>15669</v>
      </c>
      <c r="E8583" s="8" t="str">
        <f>IFERROR(__xludf.DUMMYFUNCTION("googletranslate(D8583,""id"",""en"")"),"PPKM a year also won't complete the Covid problem if Chinese TKA comes at any time ... Homecoming has been banned ... but China still comes ... Are you a happy ruler if there is a covid?")</f>
        <v>PPKM a year also won't complete the Covid problem if Chinese TKA comes at any time ... Homecoming has been banned ... but China still comes ... Are you a happy ruler if there is a covid?</v>
      </c>
    </row>
    <row r="8584" ht="15.75" customHeight="1">
      <c r="A8584" s="2">
        <v>8587.0</v>
      </c>
      <c r="B8584" s="5" t="s">
        <v>15670</v>
      </c>
      <c r="C8584" s="6">
        <v>1.0</v>
      </c>
      <c r="D8584" s="9" t="s">
        <v>15671</v>
      </c>
      <c r="E8584" s="8" t="str">
        <f>IFERROR(__xludf.DUMMYFUNCTION("googletranslate(D8584,""id"",""en"")"),"Oetama's task was appointed by Mr. Luhut as the chairman of the PPKM VNGT NRDC Micro was a criticism. Pdhl criticism sign love love")</f>
        <v>Oetama's task was appointed by Mr. Luhut as the chairman of the PPKM VNGT NRDC Micro was a criticism. Pdhl criticism sign love love</v>
      </c>
    </row>
    <row r="8585" ht="15.75" customHeight="1">
      <c r="A8585" s="2">
        <v>8588.0</v>
      </c>
      <c r="B8585" s="5" t="s">
        <v>15672</v>
      </c>
      <c r="C8585" s="6">
        <v>3.0</v>
      </c>
      <c r="D8585" s="9" t="s">
        <v>15673</v>
      </c>
      <c r="E8585" s="8" t="str">
        <f>IFERROR(__xludf.DUMMYFUNCTION("googletranslate(D8585,""id"",""en"")"),"PPKM starts again. Jan Forgot Yes Manteman. Take care of faith, safe, and immune. In this time, it was the most must be guarded by Bat. Stay enthusiastic and don't give up for you who are positive. Warm greetings from here")</f>
        <v>PPKM starts again. Jan Forgot Yes Manteman. Take care of faith, safe, and immune. In this time, it was the most must be guarded by Bat. Stay enthusiastic and don't give up for you who are positive. Warm greetings from here</v>
      </c>
    </row>
    <row r="8586" ht="15.75" customHeight="1">
      <c r="A8586" s="2">
        <v>8589.0</v>
      </c>
      <c r="B8586" s="5" t="s">
        <v>15674</v>
      </c>
      <c r="C8586" s="6">
        <v>3.0</v>
      </c>
      <c r="D8586" s="7" t="s">
        <v>15675</v>
      </c>
      <c r="E8586" s="8" t="str">
        <f>IFERROR(__xludf.DUMMYFUNCTION("googletranslate(D8586,""id"",""en"")"),"Hopefully this time the PPKM is the maximum result")</f>
        <v>Hopefully this time the PPKM is the maximum result</v>
      </c>
    </row>
    <row r="8587" ht="15.75" customHeight="1">
      <c r="A8587" s="2">
        <v>8590.0</v>
      </c>
      <c r="B8587" s="5" t="s">
        <v>15676</v>
      </c>
      <c r="C8587" s="6">
        <v>2.0</v>
      </c>
      <c r="D8587" s="9" t="s">
        <v>15676</v>
      </c>
      <c r="E8587" s="8" t="str">
        <f>IFERROR(__xludf.DUMMYFUNCTION("googletranslate(D8587,""id"",""en"")"),"Micro ppkm is one of them maintain mobility, if motorgers? how come it's not limited to it too")</f>
        <v>Micro ppkm is one of them maintain mobility, if motorgers? how come it's not limited to it too</v>
      </c>
    </row>
    <row r="8588" ht="15.75" customHeight="1">
      <c r="A8588" s="2">
        <v>8591.0</v>
      </c>
      <c r="B8588" s="5" t="s">
        <v>15677</v>
      </c>
      <c r="C8588" s="6">
        <v>2.0</v>
      </c>
      <c r="D8588" s="7" t="s">
        <v>15678</v>
      </c>
      <c r="E8588" s="8" t="str">
        <f>IFERROR(__xludf.DUMMYFUNCTION("googletranslate(D8588,""id"",""en"")"),"BTW because there will be a PPKM again, what do you do so don't Bayhan ??! stay safe for all of us")</f>
        <v>BTW because there will be a PPKM again, what do you do so don't Bayhan ??! stay safe for all of us</v>
      </c>
    </row>
    <row r="8589" ht="15.75" customHeight="1">
      <c r="A8589" s="2">
        <v>8592.0</v>
      </c>
      <c r="B8589" s="5" t="s">
        <v>15679</v>
      </c>
      <c r="C8589" s="6">
        <v>1.0</v>
      </c>
      <c r="D8589" s="7" t="s">
        <v>15680</v>
      </c>
      <c r="E8589" s="8" t="str">
        <f>IFERROR(__xludf.DUMMYFUNCTION("googletranslate(D8589,""id"",""en"")"),"Amused ... the head of the regional head must be given sanctions if it does not implement the Rules of PPKM ... it's the quality of our regional heads?")</f>
        <v>Amused ... the head of the regional head must be given sanctions if it does not implement the Rules of PPKM ... it's the quality of our regional heads?</v>
      </c>
    </row>
    <row r="8590" ht="15.75" customHeight="1">
      <c r="A8590" s="2">
        <v>8593.0</v>
      </c>
      <c r="B8590" s="5" t="s">
        <v>15681</v>
      </c>
      <c r="C8590" s="6">
        <v>2.0</v>
      </c>
      <c r="D8590" s="7" t="s">
        <v>15682</v>
      </c>
      <c r="E8590" s="8" t="str">
        <f>IFERROR(__xludf.DUMMYFUNCTION("googletranslate(D8590,""id"",""en"")"),"is this rich ppkm brh initial pandemic huh?")</f>
        <v>is this rich ppkm brh initial pandemic huh?</v>
      </c>
    </row>
    <row r="8591" ht="15.75" customHeight="1">
      <c r="A8591" s="2">
        <v>8594.0</v>
      </c>
      <c r="B8591" s="5" t="s">
        <v>15683</v>
      </c>
      <c r="C8591" s="6">
        <v>1.0</v>
      </c>
      <c r="D8591" s="9" t="s">
        <v>15684</v>
      </c>
      <c r="E8591" s="8" t="str">
        <f>IFERROR(__xludf.DUMMYFUNCTION("googletranslate(D8591,""id"",""en"")"),"The solution that has not been carried out is just a Lokdon Seindon just about copy .. Fucksin already ppkm abcd also doesn't affect it")</f>
        <v>The solution that has not been carried out is just a Lokdon Seindon just about copy .. Fucksin already ppkm abcd also doesn't affect it</v>
      </c>
    </row>
    <row r="8592" ht="15.75" customHeight="1">
      <c r="A8592" s="2">
        <v>8595.0</v>
      </c>
      <c r="B8592" s="5" t="s">
        <v>15685</v>
      </c>
      <c r="C8592" s="6">
        <v>1.0</v>
      </c>
      <c r="D8592" s="9" t="s">
        <v>15686</v>
      </c>
      <c r="E8592" s="8" t="str">
        <f>IFERROR(__xludf.DUMMYFUNCTION("googletranslate(D8592,""id"",""en"")"),"Father I've supported in Pigub, DKI and the Presidential Election, it feels like an emergency or serious or urgent or urgent, if it is a lie between us, it's hard to realize, we are too much lied to,")</f>
        <v>Father I've supported in Pigub, DKI and the Presidential Election, it feels like an emergency or serious or urgent or urgent, if it is a lie between us, it's hard to realize, we are too much lied to,</v>
      </c>
    </row>
    <row r="8593" ht="15.75" customHeight="1">
      <c r="A8593" s="2">
        <v>8596.0</v>
      </c>
      <c r="B8593" s="5" t="s">
        <v>15687</v>
      </c>
      <c r="C8593" s="6">
        <v>1.0</v>
      </c>
      <c r="D8593" s="7" t="s">
        <v>15687</v>
      </c>
      <c r="E8593" s="8" t="str">
        <f>IFERROR(__xludf.DUMMYFUNCTION("googletranslate(D8593,""id"",""en"")"),"Emergency turn, just made PPKM. The people miserable use squares.")</f>
        <v>Emergency turn, just made PPKM. The people miserable use squares.</v>
      </c>
    </row>
    <row r="8594" ht="15.75" customHeight="1">
      <c r="A8594" s="2">
        <v>8597.0</v>
      </c>
      <c r="B8594" s="5" t="s">
        <v>15688</v>
      </c>
      <c r="C8594" s="6">
        <v>3.0</v>
      </c>
      <c r="D8594" s="9" t="s">
        <v>15689</v>
      </c>
      <c r="E8594" s="8" t="str">
        <f>IFERROR(__xludf.DUMMYFUNCTION("googletranslate(D8594,""id"",""en"")"),"Who wants to convert near the univ, for the time being, it's better to use antigens / PCR, first, huh. Stay Safe, All. Congratulations on running PPKM [cm]")</f>
        <v>Who wants to convert near the univ, for the time being, it's better to use antigens / PCR, first, huh. Stay Safe, All. Congratulations on running PPKM [cm]</v>
      </c>
    </row>
    <row r="8595" ht="15.75" customHeight="1">
      <c r="A8595" s="2">
        <v>8598.0</v>
      </c>
      <c r="B8595" s="5" t="s">
        <v>15690</v>
      </c>
      <c r="C8595" s="6">
        <v>1.0</v>
      </c>
      <c r="D8595" s="7" t="s">
        <v>15691</v>
      </c>
      <c r="E8595" s="8" t="str">
        <f>IFERROR(__xludf.DUMMYFUNCTION("googletranslate(D8595,""id"",""en"")"),"Forgot to bring a drink, all of Alpha Indo is closed because of PPKM")</f>
        <v>Forgot to bring a drink, all of Alpha Indo is closed because of PPKM</v>
      </c>
    </row>
    <row r="8596" ht="15.75" customHeight="1">
      <c r="A8596" s="2">
        <v>8599.0</v>
      </c>
      <c r="B8596" s="5" t="s">
        <v>15692</v>
      </c>
      <c r="C8596" s="6">
        <v>2.0</v>
      </c>
      <c r="D8596" s="7" t="s">
        <v>15693</v>
      </c>
      <c r="E8596" s="8" t="str">
        <f>IFERROR(__xludf.DUMMYFUNCTION("googletranslate(D8596,""id"",""en"")"),"Tomorrow has started PPKM, does anyone want to invite ngemall or to Cafe GTU today?")</f>
        <v>Tomorrow has started PPKM, does anyone want to invite ngemall or to Cafe GTU today?</v>
      </c>
    </row>
    <row r="8597" ht="15.75" customHeight="1">
      <c r="A8597" s="2">
        <v>8600.0</v>
      </c>
      <c r="B8597" s="5" t="s">
        <v>15694</v>
      </c>
      <c r="C8597" s="6">
        <v>1.0</v>
      </c>
      <c r="D8597" s="7" t="s">
        <v>15695</v>
      </c>
      <c r="E8597" s="8" t="str">
        <f>IFERROR(__xludf.DUMMYFUNCTION("googletranslate(D8597,""id"",""en"")"),"Walah ko so like this .... !!!!! Jokowi Batik When Responding to BEM UI and Announces Emergency PPKM Similar, Public Suspicious")</f>
        <v>Walah ko so like this .... !!!!! Jokowi Batik When Responding to BEM UI and Announces Emergency PPKM Similar, Public Suspicious</v>
      </c>
    </row>
    <row r="8598" ht="15.75" customHeight="1">
      <c r="A8598" s="2">
        <v>8601.0</v>
      </c>
      <c r="B8598" s="5" t="s">
        <v>15696</v>
      </c>
      <c r="C8598" s="6">
        <v>2.0</v>
      </c>
      <c r="D8598" s="7" t="s">
        <v>15697</v>
      </c>
      <c r="E8598" s="8" t="str">
        <f>IFERROR(__xludf.DUMMYFUNCTION("googletranslate(D8598,""id"",""en"")"),"Really want last show, but ppkm how: "")")</f>
        <v>Really want last show, but ppkm how: ")</v>
      </c>
    </row>
    <row r="8599" ht="15.75" customHeight="1">
      <c r="A8599" s="2">
        <v>8602.0</v>
      </c>
      <c r="B8599" s="5" t="s">
        <v>15698</v>
      </c>
      <c r="C8599" s="6">
        <v>2.0</v>
      </c>
      <c r="D8599" s="7" t="s">
        <v>15699</v>
      </c>
      <c r="E8599" s="8" t="str">
        <f>IFERROR(__xludf.DUMMYFUNCTION("googletranslate(D8599,""id"",""en"")"),"Here I really don't go to school yh grgr gets ppkm!?")</f>
        <v>Here I really don't go to school yh grgr gets ppkm!?</v>
      </c>
    </row>
    <row r="8600" ht="15.75" customHeight="1">
      <c r="A8600" s="2">
        <v>8603.0</v>
      </c>
      <c r="B8600" s="5" t="s">
        <v>15700</v>
      </c>
      <c r="C8600" s="6">
        <v>1.0</v>
      </c>
      <c r="D8600" s="9" t="s">
        <v>15701</v>
      </c>
      <c r="E8600" s="8" t="str">
        <f>IFERROR(__xludf.DUMMYFUNCTION("googletranslate(D8600,""id"",""en"")"),"It's like what, just like it, just if you work now it's a day in a month instead of the day then gets an emergency PPKM. Really sad.")</f>
        <v>It's like what, just like it, just if you work now it's a day in a month instead of the day then gets an emergency PPKM. Really sad.</v>
      </c>
    </row>
    <row r="8601" ht="15.75" customHeight="1">
      <c r="A8601" s="2">
        <v>8604.0</v>
      </c>
      <c r="B8601" s="5" t="s">
        <v>15702</v>
      </c>
      <c r="C8601" s="6">
        <v>1.0</v>
      </c>
      <c r="D8601" s="9" t="s">
        <v>15703</v>
      </c>
      <c r="E8601" s="8" t="str">
        <f>IFERROR(__xludf.DUMMYFUNCTION("googletranslate(D8601,""id"",""en"")"),"PPKM DevelopmentRakyat: Duh, how to find money for life, we need an emergency PPKM to find Cuan")</f>
        <v>PPKM DevelopmentRakyat: Duh, how to find money for life, we need an emergency PPKM to find Cuan</v>
      </c>
    </row>
    <row r="8602" ht="15.75" customHeight="1">
      <c r="A8602" s="2">
        <v>8605.0</v>
      </c>
      <c r="B8602" s="5" t="s">
        <v>15704</v>
      </c>
      <c r="C8602" s="6">
        <v>2.0</v>
      </c>
      <c r="D8602" s="9" t="s">
        <v>15705</v>
      </c>
      <c r="E8602" s="8" t="str">
        <f>IFERROR(__xludf.DUMMYFUNCTION("googletranslate(D8602,""id"",""en"")"),"I've woken up to pursue a dream out of the house, ehh yeah ppkm yes it's back to sleep, dream again.")</f>
        <v>I've woken up to pursue a dream out of the house, ehh yeah ppkm yes it's back to sleep, dream again.</v>
      </c>
    </row>
    <row r="8603" ht="15.75" customHeight="1">
      <c r="A8603" s="2">
        <v>8606.0</v>
      </c>
      <c r="B8603" s="5" t="s">
        <v>15706</v>
      </c>
      <c r="C8603" s="6">
        <v>2.0</v>
      </c>
      <c r="D8603" s="7" t="s">
        <v>15706</v>
      </c>
      <c r="E8603" s="8" t="str">
        <f>IFERROR(__xludf.DUMMYFUNCTION("googletranslate(D8603,""id"",""en"")"),"In the implementation of Emergency PPKM is the restrictions on the crowd of community, and restaurant operating hours")</f>
        <v>In the implementation of Emergency PPKM is the restrictions on the crowd of community, and restaurant operating hours</v>
      </c>
    </row>
    <row r="8604" ht="15.75" customHeight="1">
      <c r="A8604" s="2">
        <v>8607.0</v>
      </c>
      <c r="B8604" s="5" t="s">
        <v>15707</v>
      </c>
      <c r="C8604" s="6">
        <v>2.0</v>
      </c>
      <c r="D8604" s="7" t="s">
        <v>15708</v>
      </c>
      <c r="E8604" s="8" t="str">
        <f>IFERROR(__xludf.DUMMYFUNCTION("googletranslate(D8604,""id"",""en"")"),"Emergency PPKM for Safety Safety Acts Starting S.D. July")</f>
        <v>Emergency PPKM for Safety Safety Acts Starting S.D. July</v>
      </c>
    </row>
    <row r="8605" ht="15.75" customHeight="1">
      <c r="A8605" s="2">
        <v>8608.0</v>
      </c>
      <c r="B8605" s="5" t="s">
        <v>15709</v>
      </c>
      <c r="C8605" s="6">
        <v>2.0</v>
      </c>
      <c r="D8605" s="7" t="s">
        <v>15710</v>
      </c>
      <c r="E8605" s="8" t="str">
        <f>IFERROR(__xludf.DUMMYFUNCTION("googletranslate(D8605,""id"",""en"")"),"So it's very confused ... it's starting to PPKM again, in Sanahhh !! Hopefully it does not penetrate to the peaceful area of ​​peace, aminn")</f>
        <v>So it's very confused ... it's starting to PPKM again, in Sanahhh !! Hopefully it does not penetrate to the peaceful area of ​​peace, aminn</v>
      </c>
    </row>
    <row r="8606" ht="15.75" customHeight="1">
      <c r="A8606" s="2">
        <v>8610.0</v>
      </c>
      <c r="B8606" s="5" t="s">
        <v>15711</v>
      </c>
      <c r="C8606" s="6">
        <v>2.0</v>
      </c>
      <c r="D8606" s="7" t="s">
        <v>15711</v>
      </c>
      <c r="E8606" s="8" t="str">
        <f>IFERROR(__xludf.DUMMYFUNCTION("googletranslate(D8606,""id"",""en"")"),"If the ppkm is like this, the boyo pond is open?")</f>
        <v>If the ppkm is like this, the boyo pond is open?</v>
      </c>
    </row>
    <row r="8607" ht="15.75" customHeight="1">
      <c r="A8607" s="2">
        <v>8611.0</v>
      </c>
      <c r="B8607" s="5" t="s">
        <v>15712</v>
      </c>
      <c r="C8607" s="6">
        <v>2.0</v>
      </c>
      <c r="D8607" s="7" t="s">
        <v>15712</v>
      </c>
      <c r="E8607" s="8" t="str">
        <f>IFERROR(__xludf.DUMMYFUNCTION("googletranslate(D8607,""id"",""en"")"),"Will PPKM extended?")</f>
        <v>Will PPKM extended?</v>
      </c>
    </row>
    <row r="8608" ht="15.75" customHeight="1">
      <c r="A8608" s="2">
        <v>8612.0</v>
      </c>
      <c r="B8608" s="5" t="s">
        <v>15713</v>
      </c>
      <c r="C8608" s="6">
        <v>2.0</v>
      </c>
      <c r="D8608" s="9" t="s">
        <v>15714</v>
      </c>
      <c r="E8608" s="8" t="str">
        <f>IFERROR(__xludf.DUMMYFUNCTION("googletranslate(D8608,""id"",""en"")"),"Admin please reply to smoke. That time means from the start station right? Still there is a train time or not from bogor schedule from the app update ppkm not")</f>
        <v>Admin please reply to smoke. That time means from the start station right? Still there is a train time or not from bogor schedule from the app update ppkm not</v>
      </c>
    </row>
    <row r="8609" ht="15.75" customHeight="1">
      <c r="A8609" s="2">
        <v>8613.0</v>
      </c>
      <c r="B8609" s="5" t="s">
        <v>15715</v>
      </c>
      <c r="C8609" s="6">
        <v>1.0</v>
      </c>
      <c r="D8609" s="7" t="s">
        <v>15716</v>
      </c>
      <c r="E8609" s="8" t="str">
        <f>IFERROR(__xludf.DUMMYFUNCTION("googletranslate(D8609,""id"",""en"")"),"KST Papua BibbpPKm State Forters")</f>
        <v>KST Papua BibbpPKm State Forters</v>
      </c>
    </row>
    <row r="8610" ht="15.75" customHeight="1">
      <c r="A8610" s="2">
        <v>8614.0</v>
      </c>
      <c r="B8610" s="5" t="s">
        <v>15717</v>
      </c>
      <c r="C8610" s="6">
        <v>2.0</v>
      </c>
      <c r="D8610" s="7" t="s">
        <v>15718</v>
      </c>
      <c r="E8610" s="8" t="str">
        <f>IFERROR(__xludf.DUMMYFUNCTION("googletranslate(D8610,""id"",""en"")"),"Emergency PPKM Period Still Open Services Min?")</f>
        <v>Emergency PPKM Period Still Open Services Min?</v>
      </c>
    </row>
    <row r="8611" ht="15.75" customHeight="1">
      <c r="A8611" s="2">
        <v>8615.0</v>
      </c>
      <c r="B8611" s="5" t="s">
        <v>15719</v>
      </c>
      <c r="C8611" s="6">
        <v>2.0</v>
      </c>
      <c r="D8611" s="7" t="s">
        <v>15719</v>
      </c>
      <c r="E8611" s="8" t="str">
        <f>IFERROR(__xludf.DUMMYFUNCTION("googletranslate(D8611,""id"",""en"")"),"PPKM once cared then avoided.")</f>
        <v>PPKM once cared then avoided.</v>
      </c>
    </row>
    <row r="8612" ht="15.75" customHeight="1">
      <c r="A8612" s="2">
        <v>8616.0</v>
      </c>
      <c r="B8612" s="5" t="s">
        <v>15720</v>
      </c>
      <c r="C8612" s="6">
        <v>2.0</v>
      </c>
      <c r="D8612" s="7" t="s">
        <v>15720</v>
      </c>
      <c r="E8612" s="8" t="str">
        <f>IFERROR(__xludf.DUMMYFUNCTION("googletranslate(D8612,""id"",""en"")"),"PPKM is the Pancasila and Citizenship Education")</f>
        <v>PPKM is the Pancasila and Citizenship Education</v>
      </c>
    </row>
    <row r="8613" ht="15.75" customHeight="1">
      <c r="A8613" s="2">
        <v>8617.0</v>
      </c>
      <c r="B8613" s="5" t="s">
        <v>15721</v>
      </c>
      <c r="C8613" s="6">
        <v>2.0</v>
      </c>
      <c r="D8613" s="10" t="s">
        <v>15722</v>
      </c>
      <c r="E8613" s="8" t="str">
        <f>IFERROR(__xludf.DUMMYFUNCTION("googletranslate(D8613,""id"",""en"")"),"Emergency PPKM")</f>
        <v>Emergency PPKM</v>
      </c>
    </row>
    <row r="8614" ht="15.75" customHeight="1">
      <c r="A8614" s="2">
        <v>8618.0</v>
      </c>
      <c r="B8614" s="5" t="s">
        <v>15723</v>
      </c>
      <c r="C8614" s="6">
        <v>2.0</v>
      </c>
      <c r="D8614" s="7" t="s">
        <v>15723</v>
      </c>
      <c r="E8614" s="8" t="str">
        <f>IFERROR(__xludf.DUMMYFUNCTION("googletranslate(D8614,""id"",""en"")"),"I want a list of PPPK, it even protects PPKM instead. Yes already don't have to be complicated, just sleep at home")</f>
        <v>I want a list of PPPK, it even protects PPKM instead. Yes already don't have to be complicated, just sleep at home</v>
      </c>
    </row>
    <row r="8615" ht="15.75" customHeight="1">
      <c r="A8615" s="2">
        <v>8619.0</v>
      </c>
      <c r="B8615" s="5" t="s">
        <v>15724</v>
      </c>
      <c r="C8615" s="6">
        <v>3.0</v>
      </c>
      <c r="D8615" s="7" t="s">
        <v>15725</v>
      </c>
      <c r="E8615" s="8" t="str">
        <f>IFERROR(__xludf.DUMMYFUNCTION("googletranslate(D8615,""id"",""en"")"),"It comes to apply Yes PPKM Emergency Day Inisemoga can be nekten positive numbers that continue to rise. The less two weeks, must be a month or one and a half months new effective")</f>
        <v>It comes to apply Yes PPKM Emergency Day Inisemoga can be nekten positive numbers that continue to rise. The less two weeks, must be a month or one and a half months new effective</v>
      </c>
    </row>
    <row r="8616" ht="15.75" customHeight="1">
      <c r="A8616" s="2">
        <v>8620.0</v>
      </c>
      <c r="B8616" s="5" t="s">
        <v>15726</v>
      </c>
      <c r="C8616" s="6">
        <v>1.0</v>
      </c>
      <c r="D8616" s="9" t="s">
        <v>15727</v>
      </c>
      <c r="E8616" s="8" t="str">
        <f>IFERROR(__xludf.DUMMYFUNCTION("googletranslate(D8616,""id"",""en"")"),"Patience first, the authorities still have PPKM weapons")</f>
        <v>Patience first, the authorities still have PPKM weapons</v>
      </c>
    </row>
    <row r="8617" ht="15.75" customHeight="1">
      <c r="A8617" s="2">
        <v>8621.0</v>
      </c>
      <c r="B8617" s="5" t="s">
        <v>15728</v>
      </c>
      <c r="C8617" s="6">
        <v>1.0</v>
      </c>
      <c r="D8617" s="9" t="s">
        <v>15729</v>
      </c>
      <c r="E8617" s="8" t="str">
        <f>IFERROR(__xludf.DUMMYFUNCTION("googletranslate(D8617,""id"",""en"")"),"Right ..., money can't be eaten. Food must be purchased go outside ... PPKM doesn't function finally.")</f>
        <v>Right ..., money can't be eaten. Food must be purchased go outside ... PPKM doesn't function finally.</v>
      </c>
    </row>
    <row r="8618" ht="15.75" customHeight="1">
      <c r="A8618" s="2">
        <v>8622.0</v>
      </c>
      <c r="B8618" s="5" t="s">
        <v>15730</v>
      </c>
      <c r="C8618" s="6">
        <v>2.0</v>
      </c>
      <c r="D8618" s="7" t="s">
        <v>15731</v>
      </c>
      <c r="E8618" s="8" t="str">
        <f>IFERROR(__xludf.DUMMYFUNCTION("googletranslate(D8618,""id"",""en"")"),"Just say it far. After all, the first day of the PPKM, what do you do about friends")</f>
        <v>Just say it far. After all, the first day of the PPKM, what do you do about friends</v>
      </c>
    </row>
    <row r="8619" ht="15.75" customHeight="1">
      <c r="A8619" s="2">
        <v>8623.0</v>
      </c>
      <c r="B8619" s="5" t="s">
        <v>15732</v>
      </c>
      <c r="C8619" s="6">
        <v>2.0</v>
      </c>
      <c r="D8619" s="9" t="s">
        <v>15733</v>
      </c>
      <c r="E8619" s="8" t="str">
        <f>IFERROR(__xludf.DUMMYFUNCTION("googletranslate(D8619,""id"",""en"")"),"I want to print a new KTP because it's just moved (come from Bogor Regency) because for vaccine registration, while in AEON touch and ITC Mall Cibinong is closed during PPKM? Can print in the village / kelurahan or in the sub-district? I am in the distric"&amp;"t of Gunung Putri")</f>
        <v>I want to print a new KTP because it's just moved (come from Bogor Regency) because for vaccine registration, while in AEON touch and ITC Mall Cibinong is closed during PPKM? Can print in the village / kelurahan or in the sub-district? I am in the district of Gunung Putri</v>
      </c>
    </row>
    <row r="8620" ht="15.75" customHeight="1">
      <c r="A8620" s="2">
        <v>8624.0</v>
      </c>
      <c r="B8620" s="5" t="s">
        <v>15734</v>
      </c>
      <c r="C8620" s="6">
        <v>3.0</v>
      </c>
      <c r="D8620" s="9" t="s">
        <v>15735</v>
      </c>
      <c r="E8620" s="8" t="str">
        <f>IFERROR(__xludf.DUMMYFUNCTION("googletranslate(D8620,""id"",""en"")"),"The government has implemented an emergency PPKM throughout Indonesia Mualia on July. I ask the community to keep healthy health protocols and remain at home. Now the condition is again the emergency of our neighboring country already in locdown.")</f>
        <v>The government has implemented an emergency PPKM throughout Indonesia Mualia on July. I ask the community to keep healthy health protocols and remain at home. Now the condition is again the emergency of our neighboring country already in locdown.</v>
      </c>
    </row>
    <row r="8621" ht="15.75" customHeight="1">
      <c r="A8621" s="2">
        <v>8625.0</v>
      </c>
      <c r="B8621" s="5" t="s">
        <v>15736</v>
      </c>
      <c r="C8621" s="6">
        <v>2.0</v>
      </c>
      <c r="D8621" s="7" t="s">
        <v>15737</v>
      </c>
      <c r="E8621" s="8" t="str">
        <f>IFERROR(__xludf.DUMMYFUNCTION("googletranslate(D8621,""id"",""en"")"),"Dbtasi, friend, bro, bro, bro")</f>
        <v>Dbtasi, friend, bro, bro, bro</v>
      </c>
    </row>
    <row r="8622" ht="15.75" customHeight="1">
      <c r="A8622" s="2">
        <v>8626.0</v>
      </c>
      <c r="B8622" s="5" t="s">
        <v>15738</v>
      </c>
      <c r="C8622" s="6">
        <v>1.0</v>
      </c>
      <c r="D8622" s="7" t="s">
        <v>15739</v>
      </c>
      <c r="E8622" s="8" t="str">
        <f>IFERROR(__xludf.DUMMYFUNCTION("googletranslate(D8622,""id"",""en"")"),"PPKM Apply? Is there a bansos fund again? Yo we look forward to corrupt the bansos episode that immediately aired what was still living in the grave")</f>
        <v>PPKM Apply? Is there a bansos fund again? Yo we look forward to corrupt the bansos episode that immediately aired what was still living in the grave</v>
      </c>
    </row>
    <row r="8623" ht="15.75" customHeight="1">
      <c r="A8623" s="2">
        <v>8627.0</v>
      </c>
      <c r="B8623" s="5" t="s">
        <v>15740</v>
      </c>
      <c r="C8623" s="6">
        <v>1.0</v>
      </c>
      <c r="D8623" s="7" t="s">
        <v>15741</v>
      </c>
      <c r="E8623" s="8" t="str">
        <f>IFERROR(__xludf.DUMMYFUNCTION("googletranslate(D8623,""id"",""en"")"),"Kaimana Student Association Supports Otsusppkm State Forters")</f>
        <v>Kaimana Student Association Supports Otsusppkm State Forters</v>
      </c>
    </row>
    <row r="8624" ht="15.75" customHeight="1">
      <c r="A8624" s="2">
        <v>8628.0</v>
      </c>
      <c r="B8624" s="5" t="s">
        <v>15742</v>
      </c>
      <c r="C8624" s="6">
        <v>2.0</v>
      </c>
      <c r="D8624" s="7" t="s">
        <v>15742</v>
      </c>
      <c r="E8624" s="8" t="str">
        <f>IFERROR(__xludf.DUMMYFUNCTION("googletranslate(D8624,""id"",""en"")"),"Yes, how come it's already ppkm ...")</f>
        <v>Yes, how come it's already ppkm ...</v>
      </c>
    </row>
    <row r="8625" ht="15.75" customHeight="1">
      <c r="A8625" s="2">
        <v>8629.0</v>
      </c>
      <c r="B8625" s="5" t="s">
        <v>15743</v>
      </c>
      <c r="C8625" s="6">
        <v>2.0</v>
      </c>
      <c r="D8625" s="9" t="s">
        <v>15743</v>
      </c>
      <c r="E8625" s="8" t="str">
        <f>IFERROR(__xludf.DUMMYFUNCTION("googletranslate(D8625,""id"",""en"")"),"[US] If it's the KOPMA PPKM Again it's open or not?")</f>
        <v>[US] If it's the KOPMA PPKM Again it's open or not?</v>
      </c>
    </row>
    <row r="8626" ht="15.75" customHeight="1">
      <c r="A8626" s="2">
        <v>8630.0</v>
      </c>
      <c r="B8626" s="5" t="s">
        <v>15744</v>
      </c>
      <c r="C8626" s="6">
        <v>2.0</v>
      </c>
      <c r="D8626" s="9" t="s">
        <v>15745</v>
      </c>
      <c r="E8626" s="8" t="str">
        <f>IFERROR(__xludf.DUMMYFUNCTION("googletranslate(D8626,""id"",""en"")"),"Bismillah drought dry !! kmren think of rain and how to anticipate if hujanskrg inshaallah dah dry, which is thought of replacing PPKM and kopid '")</f>
        <v>Bismillah drought dry !! kmren think of rain and how to anticipate if hujanskrg inshaallah dah dry, which is thought of replacing PPKM and kopid '</v>
      </c>
    </row>
    <row r="8627" ht="15.75" customHeight="1">
      <c r="A8627" s="2">
        <v>8631.0</v>
      </c>
      <c r="B8627" s="5" t="s">
        <v>15746</v>
      </c>
      <c r="C8627" s="6">
        <v>3.0</v>
      </c>
      <c r="D8627" s="9" t="s">
        <v>15747</v>
      </c>
      <c r="E8627" s="8" t="str">
        <f>IFERROR(__xludf.DUMMYFUNCTION("googletranslate(D8627,""id"",""en"")"),"How are you? Today it comes to apply Emergency PPKM, hopefully you are always healthy, and keep maintaining a health protocol")</f>
        <v>How are you? Today it comes to apply Emergency PPKM, hopefully you are always healthy, and keep maintaining a health protocol</v>
      </c>
    </row>
    <row r="8628" ht="15.75" customHeight="1">
      <c r="A8628" s="2">
        <v>8632.0</v>
      </c>
      <c r="B8628" s="5" t="s">
        <v>15748</v>
      </c>
      <c r="C8628" s="6">
        <v>1.0</v>
      </c>
      <c r="D8628" s="7" t="s">
        <v>15749</v>
      </c>
      <c r="E8628" s="8" t="str">
        <f>IFERROR(__xludf.DUMMYFUNCTION("googletranslate(D8628,""id"",""en"")"),"Community Leaders Support Papuappkm Otsus State Forters")</f>
        <v>Community Leaders Support Papuappkm Otsus State Forters</v>
      </c>
    </row>
    <row r="8629" ht="15.75" customHeight="1">
      <c r="A8629" s="2">
        <v>8633.0</v>
      </c>
      <c r="B8629" s="5" t="s">
        <v>15750</v>
      </c>
      <c r="C8629" s="6">
        <v>1.0</v>
      </c>
      <c r="D8629" s="9" t="s">
        <v>15750</v>
      </c>
      <c r="E8629" s="8" t="str">
        <f>IFERROR(__xludf.DUMMYFUNCTION("googletranslate(D8629,""id"",""en"")"),"Nek, I still agreed to Lockdown, the government must fulfill the obligation than PPKM blah blah blah ... mutually change the term but the community does not get any compensation ...")</f>
        <v>Nek, I still agreed to Lockdown, the government must fulfill the obligation than PPKM blah blah blah ... mutually change the term but the community does not get any compensation ...</v>
      </c>
    </row>
    <row r="8630" ht="15.75" customHeight="1">
      <c r="A8630" s="2">
        <v>8634.0</v>
      </c>
      <c r="B8630" s="5" t="s">
        <v>15751</v>
      </c>
      <c r="C8630" s="6">
        <v>2.0</v>
      </c>
      <c r="D8630" s="7" t="s">
        <v>15752</v>
      </c>
      <c r="E8630" s="8" t="str">
        <f>IFERROR(__xludf.DUMMYFUNCTION("googletranslate(D8630,""id"",""en"")"),"The news was so for the protocol during the PPKM")</f>
        <v>The news was so for the protocol during the PPKM</v>
      </c>
    </row>
    <row r="8631" ht="15.75" customHeight="1">
      <c r="A8631" s="2">
        <v>8635.0</v>
      </c>
      <c r="B8631" s="5" t="s">
        <v>15753</v>
      </c>
      <c r="C8631" s="6">
        <v>2.0</v>
      </c>
      <c r="D8631" s="7" t="s">
        <v>15754</v>
      </c>
      <c r="E8631" s="8" t="str">
        <f>IFERROR(__xludf.DUMMYFUNCTION("googletranslate(D8631,""id"",""en"")"),"Congratulations on performing PPKM.")</f>
        <v>Congratulations on performing PPKM.</v>
      </c>
    </row>
    <row r="8632" ht="15.75" customHeight="1">
      <c r="A8632" s="2">
        <v>8636.0</v>
      </c>
      <c r="B8632" s="5" t="s">
        <v>15755</v>
      </c>
      <c r="C8632" s="6">
        <v>2.0</v>
      </c>
      <c r="D8632" s="7" t="s">
        <v>15756</v>
      </c>
      <c r="E8632" s="8" t="str">
        <f>IFERROR(__xludf.DUMMYFUNCTION("googletranslate(D8632,""id"",""en"")"),"Morning min, during micro PPKM, the KRL schedule has changed or not?")</f>
        <v>Morning min, during micro PPKM, the KRL schedule has changed or not?</v>
      </c>
    </row>
    <row r="8633" ht="15.75" customHeight="1">
      <c r="A8633" s="2">
        <v>8637.0</v>
      </c>
      <c r="B8633" s="5" t="s">
        <v>15757</v>
      </c>
      <c r="C8633" s="6">
        <v>2.0</v>
      </c>
      <c r="D8633" s="7" t="s">
        <v>15758</v>
      </c>
      <c r="E8633" s="8" t="str">
        <f>IFERROR(__xludf.DUMMYFUNCTION("googletranslate(D8633,""id"",""en"")"),"Yustisi Pituit Police Patrol to Shops, Angkringan and Health Protocol Educational Poskamling and Micro Participatorist PPKM")</f>
        <v>Yustisi Pituit Police Patrol to Shops, Angkringan and Health Protocol Educational Poskamling and Micro Participatorist PPKM</v>
      </c>
    </row>
    <row r="8634" ht="15.75" customHeight="1">
      <c r="A8634" s="2">
        <v>8638.0</v>
      </c>
      <c r="B8634" s="5" t="s">
        <v>15759</v>
      </c>
      <c r="C8634" s="6">
        <v>1.0</v>
      </c>
      <c r="D8634" s="7" t="s">
        <v>15760</v>
      </c>
      <c r="E8634" s="8" t="str">
        <f>IFERROR(__xludf.DUMMYFUNCTION("googletranslate(D8634,""id"",""en"")"),"Semoran community leaders support PON XX Papuappkm State Forters")</f>
        <v>Semoran community leaders support PON XX Papuappkm State Forters</v>
      </c>
    </row>
    <row r="8635" ht="15.75" customHeight="1">
      <c r="A8635" s="2">
        <v>8639.0</v>
      </c>
      <c r="B8635" s="5" t="s">
        <v>15761</v>
      </c>
      <c r="C8635" s="6">
        <v>3.0</v>
      </c>
      <c r="D8635" s="7" t="s">
        <v>15762</v>
      </c>
      <c r="E8635" s="8" t="str">
        <f>IFERROR(__xludf.DUMMYFUNCTION("googletranslate(D8635,""id"",""en"")"),"Succeed PPKM Java Bali. .")</f>
        <v>Succeed PPKM Java Bali. .</v>
      </c>
    </row>
    <row r="8636" ht="15.75" customHeight="1">
      <c r="A8636" s="2">
        <v>8640.0</v>
      </c>
      <c r="B8636" s="5" t="s">
        <v>15763</v>
      </c>
      <c r="C8636" s="6">
        <v>3.0</v>
      </c>
      <c r="D8636" s="9" t="s">
        <v>15764</v>
      </c>
      <c r="E8636" s="8" t="str">
        <f>IFERROR(__xludf.DUMMYFUNCTION("googletranslate(D8636,""id"",""en"")"),"Congratulations on the PPKM for those who run, avoid the crowd first. Bismillah, info ticked on Sunday morning")</f>
        <v>Congratulations on the PPKM for those who run, avoid the crowd first. Bismillah, info ticked on Sunday morning</v>
      </c>
    </row>
    <row r="8637" ht="15.75" customHeight="1">
      <c r="A8637" s="2">
        <v>8641.0</v>
      </c>
      <c r="B8637" s="5" t="s">
        <v>15765</v>
      </c>
      <c r="C8637" s="6">
        <v>2.0</v>
      </c>
      <c r="D8637" s="7" t="s">
        <v>15766</v>
      </c>
      <c r="E8637" s="8" t="str">
        <f>IFERROR(__xludf.DUMMYFUNCTION("googletranslate(D8637,""id"",""en"")"),"Good morning that is LDR because of the Emergency PPKM")</f>
        <v>Good morning that is LDR because of the Emergency PPKM</v>
      </c>
    </row>
    <row r="8638" ht="15.75" customHeight="1">
      <c r="A8638" s="2">
        <v>8642.0</v>
      </c>
      <c r="B8638" s="5" t="s">
        <v>15767</v>
      </c>
      <c r="C8638" s="6">
        <v>2.0</v>
      </c>
      <c r="D8638" s="9" t="s">
        <v>15767</v>
      </c>
      <c r="E8638" s="8" t="str">
        <f>IFERROR(__xludf.DUMMYFUNCTION("googletranslate(D8638,""id"",""en"")"),"Morning less PPKM Spirit Rasa Lockdown")</f>
        <v>Morning less PPKM Spirit Rasa Lockdown</v>
      </c>
    </row>
    <row r="8639" ht="15.75" customHeight="1">
      <c r="A8639" s="2">
        <v>8643.0</v>
      </c>
      <c r="B8639" s="5" t="s">
        <v>15768</v>
      </c>
      <c r="C8639" s="6">
        <v>1.0</v>
      </c>
      <c r="D8639" s="9" t="s">
        <v>15769</v>
      </c>
      <c r="E8639" s="8" t="str">
        <f>IFERROR(__xludf.DUMMYFUNCTION("googletranslate(D8639,""id"",""en"")"),"PPKM Betlaku Police Do Barriers and Fields Gather Fuluszzzzz. Each Rules in this country can be used to become Fulus")</f>
        <v>PPKM Betlaku Police Do Barriers and Fields Gather Fuluszzzzz. Each Rules in this country can be used to become Fulus</v>
      </c>
    </row>
    <row r="8640" ht="15.75" customHeight="1">
      <c r="A8640" s="2">
        <v>8644.0</v>
      </c>
      <c r="B8640" s="5" t="s">
        <v>15770</v>
      </c>
      <c r="C8640" s="6">
        <v>1.0</v>
      </c>
      <c r="D8640" s="7" t="s">
        <v>15770</v>
      </c>
      <c r="E8640" s="8" t="str">
        <f>IFERROR(__xludf.DUMMYFUNCTION("googletranslate(D8640,""id"",""en"")"),"PPKM: Traders re-unemployed")</f>
        <v>PPKM: Traders re-unemployed</v>
      </c>
    </row>
    <row r="8641" ht="15.75" customHeight="1">
      <c r="A8641" s="2">
        <v>8645.0</v>
      </c>
      <c r="B8641" s="5" t="s">
        <v>15771</v>
      </c>
      <c r="C8641" s="6">
        <v>2.0</v>
      </c>
      <c r="D8641" s="7" t="s">
        <v>15772</v>
      </c>
      <c r="E8641" s="8" t="str">
        <f>IFERROR(__xludf.DUMMYFUNCTION("googletranslate(D8641,""id"",""en"")"),"Psbbppkmpgangttt.")</f>
        <v>Psbbppkmpgangttt.</v>
      </c>
    </row>
    <row r="8642" ht="15.75" customHeight="1">
      <c r="A8642" s="2">
        <v>8646.0</v>
      </c>
      <c r="B8642" s="5" t="s">
        <v>15773</v>
      </c>
      <c r="C8642" s="6">
        <v>2.0</v>
      </c>
      <c r="D8642" s="7" t="s">
        <v>15773</v>
      </c>
      <c r="E8642" s="8" t="str">
        <f>IFERROR(__xludf.DUMMYFUNCTION("googletranslate(D8642,""id"",""en"")"),"The first day of PPKM")</f>
        <v>The first day of PPKM</v>
      </c>
    </row>
    <row r="8643" ht="15.75" customHeight="1">
      <c r="A8643" s="2">
        <v>8647.0</v>
      </c>
      <c r="B8643" s="5" t="s">
        <v>15774</v>
      </c>
      <c r="C8643" s="6">
        <v>3.0</v>
      </c>
      <c r="D8643" s="9" t="s">
        <v>15775</v>
      </c>
      <c r="E8643" s="8" t="str">
        <f>IFERROR(__xludf.DUMMYFUNCTION("googletranslate(D8643,""id"",""en"")"),"Assalamualaikum good morning! Indonesian friends. Especially for friends in Java-Bali, hopefully stay healthy, take care, obey the emergency PPKM rules so that the pandemic will soon pass for the sake of Indonesia Jaya!")</f>
        <v>Assalamualaikum good morning! Indonesian friends. Especially for friends in Java-Bali, hopefully stay healthy, take care, obey the emergency PPKM rules so that the pandemic will soon pass for the sake of Indonesia Jaya!</v>
      </c>
    </row>
    <row r="8644" ht="15.75" customHeight="1">
      <c r="A8644" s="2">
        <v>8648.0</v>
      </c>
      <c r="B8644" s="5" t="s">
        <v>15776</v>
      </c>
      <c r="C8644" s="6">
        <v>2.0</v>
      </c>
      <c r="D8644" s="7" t="s">
        <v>15777</v>
      </c>
      <c r="E8644" s="8" t="str">
        <f>IFERROR(__xludf.DUMMYFUNCTION("googletranslate(D8644,""id"",""en"")"),"I next to you but GA PPKM hiks: '))")</f>
        <v>I next to you but GA PPKM hiks: '))</v>
      </c>
    </row>
    <row r="8645" ht="15.75" customHeight="1">
      <c r="A8645" s="2">
        <v>8649.0</v>
      </c>
      <c r="B8645" s="5" t="s">
        <v>15778</v>
      </c>
      <c r="C8645" s="6">
        <v>3.0</v>
      </c>
      <c r="D8645" s="7" t="s">
        <v>15778</v>
      </c>
      <c r="E8645" s="8" t="str">
        <f>IFERROR(__xludf.DUMMYFUNCTION("googletranslate(D8645,""id"",""en"")"),"For the sake of joint safety, we support Emergency PPKM, let's keep up the prayers")</f>
        <v>For the sake of joint safety, we support Emergency PPKM, let's keep up the prayers</v>
      </c>
    </row>
    <row r="8646" ht="15.75" customHeight="1">
      <c r="A8646" s="2">
        <v>8650.0</v>
      </c>
      <c r="B8646" s="5" t="s">
        <v>15779</v>
      </c>
      <c r="C8646" s="6">
        <v>3.0</v>
      </c>
      <c r="D8646" s="7" t="s">
        <v>15780</v>
      </c>
      <c r="E8646" s="8" t="str">
        <f>IFERROR(__xludf.DUMMYFUNCTION("googletranslate(D8646,""id"",""en"")"),"Emergency PPKM, yes Wes at home. Oh all ...")</f>
        <v>Emergency PPKM, yes Wes at home. Oh all ...</v>
      </c>
    </row>
    <row r="8647" ht="15.75" customHeight="1">
      <c r="A8647" s="2">
        <v>8651.0</v>
      </c>
      <c r="B8647" s="5" t="s">
        <v>15781</v>
      </c>
      <c r="C8647" s="6">
        <v>1.0</v>
      </c>
      <c r="D8647" s="10" t="s">
        <v>15781</v>
      </c>
      <c r="E8647" s="8" t="str">
        <f>IFERROR(__xludf.DUMMYFUNCTION("googletranslate(D8647,""id"",""en"")"),"PPKM Satan.")</f>
        <v>PPKM Satan.</v>
      </c>
    </row>
    <row r="8648" ht="15.75" customHeight="1">
      <c r="A8648" s="2">
        <v>8652.0</v>
      </c>
      <c r="B8648" s="5" t="s">
        <v>15782</v>
      </c>
      <c r="C8648" s="6">
        <v>2.0</v>
      </c>
      <c r="D8648" s="7" t="s">
        <v>15783</v>
      </c>
      <c r="E8648" s="8" t="str">
        <f>IFERROR(__xludf.DUMMYFUNCTION("googletranslate(D8648,""id"",""en"")"),"chatter, but now it's not because the new PPKM is here")</f>
        <v>chatter, but now it's not because the new PPKM is here</v>
      </c>
    </row>
    <row r="8649" ht="15.75" customHeight="1">
      <c r="A8649" s="2">
        <v>8653.0</v>
      </c>
      <c r="B8649" s="5" t="s">
        <v>15784</v>
      </c>
      <c r="C8649" s="6">
        <v>1.0</v>
      </c>
      <c r="D8649" s="7" t="s">
        <v>15785</v>
      </c>
      <c r="E8649" s="8" t="str">
        <f>IFERROR(__xludf.DUMMYFUNCTION("googletranslate(D8649,""id"",""en"")"),"It should be a day of swimming but it is gajadi because of the ppkm, so yeah or yeah")</f>
        <v>It should be a day of swimming but it is gajadi because of the ppkm, so yeah or yeah</v>
      </c>
    </row>
    <row r="8650" ht="15.75" customHeight="1">
      <c r="A8650" s="2">
        <v>8654.0</v>
      </c>
      <c r="B8650" s="5" t="s">
        <v>15786</v>
      </c>
      <c r="C8650" s="6">
        <v>2.0</v>
      </c>
      <c r="D8650" s="7" t="s">
        <v>15787</v>
      </c>
      <c r="E8650" s="8" t="str">
        <f>IFERROR(__xludf.DUMMYFUNCTION("googletranslate(D8650,""id"",""en"")"),"JD PGN Road Really Tp LG PPKM")</f>
        <v>JD PGN Road Really Tp LG PPKM</v>
      </c>
    </row>
    <row r="8651" ht="15.75" customHeight="1">
      <c r="A8651" s="2">
        <v>8655.0</v>
      </c>
      <c r="B8651" s="5" t="s">
        <v>15788</v>
      </c>
      <c r="C8651" s="6">
        <v>2.0</v>
      </c>
      <c r="D8651" s="9" t="s">
        <v>15789</v>
      </c>
      <c r="E8651" s="8" t="str">
        <f>IFERROR(__xludf.DUMMYFUNCTION("googletranslate(D8651,""id"",""en"")"),"PPKM taught me and husband patient first moved to poor")</f>
        <v>PPKM taught me and husband patient first moved to poor</v>
      </c>
    </row>
    <row r="8652" ht="15.75" customHeight="1">
      <c r="A8652" s="2">
        <v>8656.0</v>
      </c>
      <c r="B8652" s="5" t="s">
        <v>15790</v>
      </c>
      <c r="C8652" s="6">
        <v>2.0</v>
      </c>
      <c r="D8652" s="9" t="s">
        <v>15791</v>
      </c>
      <c r="E8652" s="8" t="str">
        <f>IFERROR(__xludf.DUMMYFUNCTION("googletranslate(D8652,""id"",""en"")"),"Ppkmpagi morning we maculates forget coffee huh so fresh")</f>
        <v>Ppkmpagi morning we maculates forget coffee huh so fresh</v>
      </c>
    </row>
    <row r="8653" ht="15.75" customHeight="1">
      <c r="A8653" s="2">
        <v>8657.0</v>
      </c>
      <c r="B8653" s="5" t="s">
        <v>15792</v>
      </c>
      <c r="C8653" s="6">
        <v>2.0</v>
      </c>
      <c r="D8653" s="7" t="s">
        <v>15793</v>
      </c>
      <c r="E8653" s="8" t="str">
        <f>IFERROR(__xludf.DUMMYFUNCTION("googletranslate(D8653,""id"",""en"")"),"Promise of firmness and threats to take action against those who violate PPKM, tested. What is the threat of cracking up &amp; gt; &amp; gt; &amp; gt; Anyone who breaks, will it be done? Or, just stop on threats and without action?")</f>
        <v>Promise of firmness and threats to take action against those who violate PPKM, tested. What is the threat of cracking up &amp; gt; &amp; gt; &amp; gt; Anyone who breaks, will it be done? Or, just stop on threats and without action?</v>
      </c>
    </row>
    <row r="8654" ht="15.75" customHeight="1">
      <c r="A8654" s="2">
        <v>8658.0</v>
      </c>
      <c r="B8654" s="5" t="s">
        <v>15794</v>
      </c>
      <c r="C8654" s="6">
        <v>3.0</v>
      </c>
      <c r="D8654" s="7" t="s">
        <v>15795</v>
      </c>
      <c r="E8654" s="8" t="str">
        <f>IFERROR(__xludf.DUMMYFUNCTION("googletranslate(D8654,""id"",""en"")"),"I comply with PPKM for healthy and advanced Indonesia. Income obey the prokes, wherever and anytime!")</f>
        <v>I comply with PPKM for healthy and advanced Indonesia. Income obey the prokes, wherever and anytime!</v>
      </c>
    </row>
    <row r="8655" ht="15.75" customHeight="1">
      <c r="A8655" s="2">
        <v>8659.0</v>
      </c>
      <c r="B8655" s="5" t="s">
        <v>15796</v>
      </c>
      <c r="C8655" s="6">
        <v>2.0</v>
      </c>
      <c r="D8655" s="7" t="s">
        <v>15797</v>
      </c>
      <c r="E8655" s="8" t="str">
        <f>IFERROR(__xludf.DUMMYFUNCTION("googletranslate(D8655,""id"",""en"")"),"This is old video, mid-June, different context with emergency ppkm")</f>
        <v>This is old video, mid-June, different context with emergency ppkm</v>
      </c>
    </row>
    <row r="8656" ht="15.75" customHeight="1">
      <c r="A8656" s="2">
        <v>8660.0</v>
      </c>
      <c r="B8656" s="5" t="s">
        <v>15798</v>
      </c>
      <c r="C8656" s="6">
        <v>2.0</v>
      </c>
      <c r="D8656" s="7" t="s">
        <v>15799</v>
      </c>
      <c r="E8656" s="8" t="str">
        <f>IFERROR(__xludf.DUMMYFUNCTION("googletranslate(D8656,""id"",""en"")"),"Good morning, congratulations on running PPKM worship day to.")</f>
        <v>Good morning, congratulations on running PPKM worship day to.</v>
      </c>
    </row>
    <row r="8657" ht="15.75" customHeight="1">
      <c r="A8657" s="2">
        <v>8661.0</v>
      </c>
      <c r="B8657" s="5" t="s">
        <v>15800</v>
      </c>
      <c r="C8657" s="6">
        <v>1.0</v>
      </c>
      <c r="D8657" s="9" t="s">
        <v>15801</v>
      </c>
      <c r="E8657" s="8" t="str">
        <f>IFERROR(__xludf.DUMMYFUNCTION("googletranslate(D8657,""id"",""en"")"),"What is the government step after this PPKM? Change Isuitilah or there is already a solution, wait and see. Tired of business boss ngansat looking for work hard. Eat using money again Fak")</f>
        <v>What is the government step after this PPKM? Change Isuitilah or there is already a solution, wait and see. Tired of business boss ngansat looking for work hard. Eat using money again Fak</v>
      </c>
    </row>
    <row r="8658" ht="15.75" customHeight="1">
      <c r="A8658" s="2">
        <v>8662.0</v>
      </c>
      <c r="B8658" s="5" t="s">
        <v>15802</v>
      </c>
      <c r="C8658" s="6">
        <v>2.0</v>
      </c>
      <c r="D8658" s="10" t="s">
        <v>15803</v>
      </c>
      <c r="E8658" s="8" t="str">
        <f>IFERROR(__xludf.DUMMYFUNCTION("googletranslate(D8658,""id"",""en"")"),"Dugem PPKM")</f>
        <v>Dugem PPKM</v>
      </c>
    </row>
    <row r="8659" ht="15.75" customHeight="1">
      <c r="A8659" s="2">
        <v>8663.0</v>
      </c>
      <c r="B8659" s="5" t="s">
        <v>15804</v>
      </c>
      <c r="C8659" s="6">
        <v>2.0</v>
      </c>
      <c r="D8659" s="7" t="s">
        <v>15805</v>
      </c>
      <c r="E8659" s="8" t="str">
        <f>IFERROR(__xludf.DUMMYFUNCTION("googletranslate(D8659,""id"",""en"")"),"There is a jadetabek insulation point during emergency PPKM.")</f>
        <v>There is a jadetabek insulation point during emergency PPKM.</v>
      </c>
    </row>
    <row r="8660" ht="15.75" customHeight="1">
      <c r="A8660" s="2">
        <v>8664.0</v>
      </c>
      <c r="B8660" s="5" t="s">
        <v>15806</v>
      </c>
      <c r="C8660" s="6">
        <v>3.0</v>
      </c>
      <c r="D8660" s="7" t="s">
        <v>15807</v>
      </c>
      <c r="E8660" s="8" t="str">
        <f>IFERROR(__xludf.DUMMYFUNCTION("googletranslate(D8660,""id"",""en"")"),"I obeyed PPKM for the sake of Indonesia healthy and forwarded with us restoring Indonesia God Bless")</f>
        <v>I obeyed PPKM for the sake of Indonesia healthy and forwarded with us restoring Indonesia God Bless</v>
      </c>
    </row>
    <row r="8661" ht="15.75" customHeight="1">
      <c r="A8661" s="2">
        <v>8665.0</v>
      </c>
      <c r="B8661" s="5" t="s">
        <v>15808</v>
      </c>
      <c r="C8661" s="6">
        <v>2.0</v>
      </c>
      <c r="D8661" s="7" t="s">
        <v>15809</v>
      </c>
      <c r="E8661" s="8" t="str">
        <f>IFERROR(__xludf.DUMMYFUNCTION("googletranslate(D8661,""id"",""en"")"),"Pas in Jayapura Pen Vacation is smoked, when it's been exposed to Emergency PPKM TBTB")</f>
        <v>Pas in Jayapura Pen Vacation is smoked, when it's been exposed to Emergency PPKM TBTB</v>
      </c>
    </row>
    <row r="8662" ht="15.75" customHeight="1">
      <c r="A8662" s="2">
        <v>8666.0</v>
      </c>
      <c r="B8662" s="5" t="s">
        <v>15810</v>
      </c>
      <c r="C8662" s="6">
        <v>2.0</v>
      </c>
      <c r="D8662" s="9" t="s">
        <v>15811</v>
      </c>
      <c r="E8662" s="8" t="str">
        <f>IFERROR(__xludf.DUMMYFUNCTION("googletranslate(D8662,""id"",""en"")"),"Yes that's the difference in lockdown with PPKM he he")</f>
        <v>Yes that's the difference in lockdown with PPKM he he</v>
      </c>
    </row>
    <row r="8663" ht="15.75" customHeight="1">
      <c r="A8663" s="2">
        <v>8667.0</v>
      </c>
      <c r="B8663" s="5" t="s">
        <v>15812</v>
      </c>
      <c r="C8663" s="6">
        <v>3.0</v>
      </c>
      <c r="D8663" s="7" t="s">
        <v>15813</v>
      </c>
      <c r="E8663" s="8" t="str">
        <f>IFERROR(__xludf.DUMMYFUNCTION("googletranslate(D8663,""id"",""en"")"),"In this case, the East Java Provincial Government also asked the public to be able to understand and obey the rules during Emergency PPKM until July.")</f>
        <v>In this case, the East Java Provincial Government also asked the public to be able to understand and obey the rules during Emergency PPKM until July.</v>
      </c>
    </row>
    <row r="8664" ht="15.75" customHeight="1">
      <c r="A8664" s="2">
        <v>8668.0</v>
      </c>
      <c r="B8664" s="5" t="s">
        <v>15814</v>
      </c>
      <c r="C8664" s="6">
        <v>3.0</v>
      </c>
      <c r="D8664" s="7" t="s">
        <v>262</v>
      </c>
      <c r="E8664" s="8" t="str">
        <f>IFERROR(__xludf.DUMMYFUNCTION("googletranslate(D8664,""id"",""en"")"),"I obeyed PPKM for healthy and advanced Indonesia")</f>
        <v>I obeyed PPKM for healthy and advanced Indonesia</v>
      </c>
    </row>
    <row r="8665" ht="15.75" customHeight="1">
      <c r="A8665" s="2">
        <v>8669.0</v>
      </c>
      <c r="B8665" s="5" t="s">
        <v>15815</v>
      </c>
      <c r="C8665" s="6">
        <v>2.0</v>
      </c>
      <c r="D8665" s="7" t="s">
        <v>15816</v>
      </c>
      <c r="E8665" s="8" t="str">
        <f>IFERROR(__xludf.DUMMYFUNCTION("googletranslate(D8665,""id"",""en"")"),"Khofifah said that if the emergency PPKM would take effect from July to July")</f>
        <v>Khofifah said that if the emergency PPKM would take effect from July to July</v>
      </c>
    </row>
    <row r="8666" ht="15.75" customHeight="1">
      <c r="A8666" s="2">
        <v>8670.0</v>
      </c>
      <c r="B8666" s="5" t="s">
        <v>15817</v>
      </c>
      <c r="C8666" s="6">
        <v>1.0</v>
      </c>
      <c r="D8666" s="9" t="s">
        <v>15818</v>
      </c>
      <c r="E8666" s="8" t="str">
        <f>IFERROR(__xludf.DUMMYFUNCTION("googletranslate(D8666,""id"",""en"")"),"Mr., this is the tea, how about the Tehh PPKM activities, he said, there are any activities, but still there are those who are far away. It's already a mask just using a buff mask for the usual momosoran sir. Please pack ...")</f>
        <v>Mr., this is the tea, how about the Tehh PPKM activities, he said, there are any activities, but still there are those who are far away. It's already a mask just using a buff mask for the usual momosoran sir. Please pack ...</v>
      </c>
    </row>
    <row r="8667" ht="15.75" customHeight="1">
      <c r="A8667" s="2">
        <v>8671.0</v>
      </c>
      <c r="B8667" s="5" t="s">
        <v>15819</v>
      </c>
      <c r="C8667" s="6">
        <v>2.0</v>
      </c>
      <c r="D8667" s="9" t="s">
        <v>15820</v>
      </c>
      <c r="E8667" s="8" t="str">
        <f>IFERROR(__xludf.DUMMYFUNCTION("googletranslate(D8667,""id"",""en"")"),"You read the contents of the news, it doesn't talk about the tourist, but talk about the rules of the people outside the area that goes to Jogja, and point out the evidence that the vaccine is the emergency rule, but all the tourism objects in DIY SJK wil"&amp;"l be closed")</f>
        <v>You read the contents of the news, it doesn't talk about the tourist, but talk about the rules of the people outside the area that goes to Jogja, and point out the evidence that the vaccine is the emergency rule, but all the tourism objects in DIY SJK will be closed</v>
      </c>
    </row>
    <row r="8668" ht="15.75" customHeight="1">
      <c r="A8668" s="2">
        <v>8672.0</v>
      </c>
      <c r="B8668" s="5" t="s">
        <v>15821</v>
      </c>
      <c r="C8668" s="6">
        <v>3.0</v>
      </c>
      <c r="D8668" s="7" t="s">
        <v>15822</v>
      </c>
      <c r="E8668" s="8" t="str">
        <f>IFERROR(__xludf.DUMMYFUNCTION("googletranslate(D8668,""id"",""en"")"),"I obeyed the PPKM Demj Indonesia Healthy and Majrangan forget always and take care of our family and friends")</f>
        <v>I obeyed the PPKM Demj Indonesia Healthy and Majrangan forget always and take care of our family and friends</v>
      </c>
    </row>
    <row r="8669" ht="15.75" customHeight="1">
      <c r="A8669" s="2">
        <v>8673.0</v>
      </c>
      <c r="B8669" s="5" t="s">
        <v>15823</v>
      </c>
      <c r="C8669" s="6">
        <v>3.0</v>
      </c>
      <c r="D8669" s="9" t="s">
        <v>15824</v>
      </c>
      <c r="E8669" s="8" t="str">
        <f>IFERROR(__xludf.DUMMYFUNCTION("googletranslate(D8669,""id"",""en"")"),"Hopefully through Emergency PPKM can reduce the spread of Covid-19")</f>
        <v>Hopefully through Emergency PPKM can reduce the spread of Covid-19</v>
      </c>
    </row>
    <row r="8670" ht="15.75" customHeight="1">
      <c r="A8670" s="2">
        <v>8674.0</v>
      </c>
      <c r="B8670" s="5" t="s">
        <v>15825</v>
      </c>
      <c r="C8670" s="6">
        <v>3.0</v>
      </c>
      <c r="D8670" s="7" t="s">
        <v>262</v>
      </c>
      <c r="E8670" s="8" t="str">
        <f>IFERROR(__xludf.DUMMYFUNCTION("googletranslate(D8670,""id"",""en"")"),"I obeyed PPKM for healthy and advanced Indonesia")</f>
        <v>I obeyed PPKM for healthy and advanced Indonesia</v>
      </c>
    </row>
    <row r="8671" ht="15.75" customHeight="1">
      <c r="A8671" s="2">
        <v>8675.0</v>
      </c>
      <c r="B8671" s="5" t="s">
        <v>15826</v>
      </c>
      <c r="C8671" s="6">
        <v>1.0</v>
      </c>
      <c r="D8671" s="7" t="s">
        <v>15827</v>
      </c>
      <c r="E8671" s="8" t="str">
        <f>IFERROR(__xludf.DUMMYFUNCTION("googletranslate(D8671,""id"",""en"")"),"Don't just break it in jail too ... fired it this usual PPKM. It violates the proces and violates the prokes a crime said prosecutor.")</f>
        <v>Don't just break it in jail too ... fired it this usual PPKM. It violates the proces and violates the prokes a crime said prosecutor.</v>
      </c>
    </row>
    <row r="8672" ht="15.75" customHeight="1">
      <c r="A8672" s="2">
        <v>8676.0</v>
      </c>
      <c r="B8672" s="5" t="s">
        <v>15828</v>
      </c>
      <c r="C8672" s="6">
        <v>2.0</v>
      </c>
      <c r="D8672" s="9" t="s">
        <v>15829</v>
      </c>
      <c r="E8672" s="8" t="str">
        <f>IFERROR(__xludf.DUMMYFUNCTION("googletranslate(D8672,""id"",""en"")"),"Sudirman mah yahaa ... this heart is mah, try moving a little, corner a little, already ""what is PPKM"" ...")</f>
        <v>Sudirman mah yahaa ... this heart is mah, try moving a little, corner a little, already "what is PPKM" ...</v>
      </c>
    </row>
    <row r="8673" ht="15.75" customHeight="1">
      <c r="A8673" s="2">
        <v>8677.0</v>
      </c>
      <c r="B8673" s="5" t="s">
        <v>15830</v>
      </c>
      <c r="C8673" s="6">
        <v>1.0</v>
      </c>
      <c r="D8673" s="7" t="s">
        <v>15830</v>
      </c>
      <c r="E8673" s="8" t="str">
        <f>IFERROR(__xludf.DUMMYFUNCTION("googletranslate(D8673,""id"",""en"")"),"I dah ppkm dri yesterday because the palaku dizzy lacks money")</f>
        <v>I dah ppkm dri yesterday because the palaku dizzy lacks money</v>
      </c>
    </row>
    <row r="8674" ht="15.75" customHeight="1">
      <c r="A8674" s="2">
        <v>8678.0</v>
      </c>
      <c r="B8674" s="5" t="s">
        <v>15831</v>
      </c>
      <c r="C8674" s="6">
        <v>2.0</v>
      </c>
      <c r="D8674" s="9" t="s">
        <v>15832</v>
      </c>
      <c r="E8674" s="8" t="str">
        <f>IFERROR(__xludf.DUMMYFUNCTION("googletranslate(D8674,""id"",""en"")"),"PPKM: Hold Hold Out")</f>
        <v>PPKM: Hold Hold Out</v>
      </c>
    </row>
    <row r="8675" ht="15.75" customHeight="1">
      <c r="A8675" s="2">
        <v>8679.0</v>
      </c>
      <c r="B8675" s="5" t="s">
        <v>15833</v>
      </c>
      <c r="C8675" s="6">
        <v>2.0</v>
      </c>
      <c r="D8675" s="7" t="s">
        <v>15834</v>
      </c>
      <c r="E8675" s="8" t="str">
        <f>IFERROR(__xludf.DUMMYFUNCTION("googletranslate(D8675,""id"",""en"")"),"Khofifah said that the Emergency PPKM JKA will apply MLAI on July to July that's how it is")</f>
        <v>Khofifah said that the Emergency PPKM JKA will apply MLAI on July to July that's how it is</v>
      </c>
    </row>
    <row r="8676" ht="15.75" customHeight="1">
      <c r="A8676" s="2">
        <v>8680.0</v>
      </c>
      <c r="B8676" s="5" t="s">
        <v>15835</v>
      </c>
      <c r="C8676" s="6">
        <v>2.0</v>
      </c>
      <c r="D8676" s="9" t="s">
        <v>15836</v>
      </c>
      <c r="E8676" s="8" t="str">
        <f>IFERROR(__xludf.DUMMYFUNCTION("googletranslate(D8676,""id"",""en"")"),"Ppkm engen hug you mba, xixixi")</f>
        <v>Ppkm engen hug you mba, xixixi</v>
      </c>
    </row>
    <row r="8677" ht="15.75" customHeight="1">
      <c r="A8677" s="2">
        <v>8681.0</v>
      </c>
      <c r="B8677" s="5" t="s">
        <v>15837</v>
      </c>
      <c r="C8677" s="6">
        <v>2.0</v>
      </c>
      <c r="D8677" s="7" t="s">
        <v>15838</v>
      </c>
      <c r="E8677" s="8" t="str">
        <f>IFERROR(__xludf.DUMMYFUNCTION("googletranslate(D8677,""id"",""en"")"),"Can't wait for the emergency ppkm in Daan Mogot Monday")</f>
        <v>Can't wait for the emergency ppkm in Daan Mogot Monday</v>
      </c>
    </row>
    <row r="8678" ht="15.75" customHeight="1">
      <c r="A8678" s="2">
        <v>8682.0</v>
      </c>
      <c r="B8678" s="5" t="s">
        <v>15839</v>
      </c>
      <c r="C8678" s="6">
        <v>2.0</v>
      </c>
      <c r="D8678" s="7" t="s">
        <v>15840</v>
      </c>
      <c r="E8678" s="8" t="str">
        <f>IFERROR(__xludf.DUMMYFUNCTION("googletranslate(D8678,""id"",""en"")"),"The first day of the CPKM bought the second PPKM counter three ppkm fought and the work was confined but there was a contribution to the government ckckckckck ....")</f>
        <v>The first day of the CPKM bought the second PPKM counter three ppkm fought and the work was confined but there was a contribution to the government ckckckckck ....</v>
      </c>
    </row>
    <row r="8679" ht="15.75" customHeight="1">
      <c r="A8679" s="2">
        <v>8683.0</v>
      </c>
      <c r="B8679" s="5" t="s">
        <v>15841</v>
      </c>
      <c r="C8679" s="6">
        <v>2.0</v>
      </c>
      <c r="D8679" s="7" t="s">
        <v>15842</v>
      </c>
      <c r="E8679" s="8" t="str">
        <f>IFERROR(__xludf.DUMMYFUNCTION("googletranslate(D8679,""id"",""en"")"),"Malang Regency still rame and looks normal in the PPKM period")</f>
        <v>Malang Regency still rame and looks normal in the PPKM period</v>
      </c>
    </row>
    <row r="8680" ht="15.75" customHeight="1">
      <c r="A8680" s="2">
        <v>8684.0</v>
      </c>
      <c r="B8680" s="5" t="s">
        <v>15843</v>
      </c>
      <c r="C8680" s="6">
        <v>1.0</v>
      </c>
      <c r="D8680" s="7" t="s">
        <v>15844</v>
      </c>
      <c r="E8680" s="8" t="str">
        <f>IFERROR(__xludf.DUMMYFUNCTION("googletranslate(D8680,""id"",""en"")"),"In the morning the next door again chat it was very hard like Maraah regarding the PPKM policy. Then there is a statugglable ""not vaccine yo dead, vaccine yo still dies"" me in my heart ""to just a stone sir"". Isuk2 Wes spread the doctrine of Mr. E Iki."&amp;" Jan Jaaaaaan ...")</f>
        <v>In the morning the next door again chat it was very hard like Maraah regarding the PPKM policy. Then there is a statugglable "not vaccine yo dead, vaccine yo still dies" me in my heart "to just a stone sir". Isuk2 Wes spread the doctrine of Mr. E Iki. Jan Jaaaaaan ...</v>
      </c>
    </row>
    <row r="8681" ht="15.75" customHeight="1">
      <c r="A8681" s="2">
        <v>8685.0</v>
      </c>
      <c r="B8681" s="5" t="s">
        <v>15845</v>
      </c>
      <c r="C8681" s="6">
        <v>2.0</v>
      </c>
      <c r="D8681" s="7" t="s">
        <v>15846</v>
      </c>
      <c r="E8681" s="8" t="str">
        <f>IFERROR(__xludf.DUMMYFUNCTION("googletranslate(D8681,""id"",""en"")"),"Restrictions on PPKM Mobility in DKI ...")</f>
        <v>Restrictions on PPKM Mobility in DKI ...</v>
      </c>
    </row>
    <row r="8682" ht="15.75" customHeight="1">
      <c r="A8682" s="2">
        <v>8686.0</v>
      </c>
      <c r="B8682" s="5" t="s">
        <v>15847</v>
      </c>
      <c r="C8682" s="6">
        <v>3.0</v>
      </c>
      <c r="D8682" s="9" t="s">
        <v>15847</v>
      </c>
      <c r="E8682" s="8" t="str">
        <f>IFERROR(__xludf.DUMMYFUNCTION("googletranslate(D8682,""id"",""en"")"),"At the Emergency PPKM apply hours of night and don't forget the rules / punishment made and applied correctly so that people consciously")</f>
        <v>At the Emergency PPKM apply hours of night and don't forget the rules / punishment made and applied correctly so that people consciously</v>
      </c>
    </row>
    <row r="8683" ht="15.75" customHeight="1">
      <c r="A8683" s="2">
        <v>8687.0</v>
      </c>
      <c r="B8683" s="5" t="s">
        <v>15848</v>
      </c>
      <c r="C8683" s="6">
        <v>1.0</v>
      </c>
      <c r="D8683" s="7" t="s">
        <v>15848</v>
      </c>
      <c r="E8683" s="8" t="str">
        <f>IFERROR(__xludf.DUMMYFUNCTION("googletranslate(D8683,""id"",""en"")"),"Ppkm = how to dampen the pilgrims who failed to leave")</f>
        <v>Ppkm = how to dampen the pilgrims who failed to leave</v>
      </c>
    </row>
    <row r="8684" ht="15.75" customHeight="1">
      <c r="A8684" s="2">
        <v>8688.0</v>
      </c>
      <c r="B8684" s="5" t="s">
        <v>15849</v>
      </c>
      <c r="C8684" s="6">
        <v>2.0</v>
      </c>
      <c r="D8684" s="7" t="s">
        <v>15850</v>
      </c>
      <c r="E8684" s="8" t="str">
        <f>IFERROR(__xludf.DUMMYFUNCTION("googletranslate(D8684,""id"",""en"")"),"Ppkm but the milan")</f>
        <v>Ppkm but the milan</v>
      </c>
    </row>
    <row r="8685" ht="15.75" customHeight="1">
      <c r="A8685" s="2">
        <v>8689.0</v>
      </c>
      <c r="B8685" s="5" t="s">
        <v>15851</v>
      </c>
      <c r="C8685" s="6">
        <v>2.0</v>
      </c>
      <c r="D8685" s="9" t="s">
        <v>15852</v>
      </c>
      <c r="E8685" s="8" t="str">
        <f>IFERROR(__xludf.DUMMYFUNCTION("googletranslate(D8685,""id"",""en"")"),"PPKM: Ever dating and then disappeared Jomblo Sad")</f>
        <v>PPKM: Ever dating and then disappeared Jomblo Sad</v>
      </c>
    </row>
    <row r="8686" ht="15.75" customHeight="1">
      <c r="A8686" s="2">
        <v>8690.0</v>
      </c>
      <c r="B8686" s="5" t="s">
        <v>15853</v>
      </c>
      <c r="C8686" s="6">
        <v>2.0</v>
      </c>
      <c r="D8686" s="9" t="s">
        <v>15854</v>
      </c>
      <c r="E8686" s="8" t="str">
        <f>IFERROR(__xludf.DUMMYFUNCTION("googletranslate(D8686,""id"",""en"")"),"Back to the Xiaom family will last long in this PPKM period?")</f>
        <v>Back to the Xiaom family will last long in this PPKM period?</v>
      </c>
    </row>
    <row r="8687" ht="15.75" customHeight="1">
      <c r="A8687" s="2">
        <v>8691.0</v>
      </c>
      <c r="B8687" s="5" t="s">
        <v>15855</v>
      </c>
      <c r="C8687" s="6">
        <v>2.0</v>
      </c>
      <c r="D8687" s="7" t="s">
        <v>15856</v>
      </c>
      <c r="E8687" s="8" t="str">
        <f>IFERROR(__xludf.DUMMYFUNCTION("googletranslate(D8687,""id"",""en"")"),"Khofifah said that the emergency PPKM would take effect from July to July")</f>
        <v>Khofifah said that the emergency PPKM would take effect from July to July</v>
      </c>
    </row>
    <row r="8688" ht="15.75" customHeight="1">
      <c r="A8688" s="2">
        <v>8692.0</v>
      </c>
      <c r="B8688" s="5" t="s">
        <v>15857</v>
      </c>
      <c r="C8688" s="6">
        <v>2.0</v>
      </c>
      <c r="D8688" s="7" t="s">
        <v>15858</v>
      </c>
      <c r="E8688" s="8" t="str">
        <f>IFERROR(__xludf.DUMMYFUNCTION("googletranslate(D8688,""id"",""en"")"),"Good morning PPKM day. Shopee really feels the effect ...")</f>
        <v>Good morning PPKM day. Shopee really feels the effect ...</v>
      </c>
    </row>
    <row r="8689" ht="15.75" customHeight="1">
      <c r="A8689" s="2">
        <v>8693.0</v>
      </c>
      <c r="B8689" s="5" t="s">
        <v>15859</v>
      </c>
      <c r="C8689" s="6">
        <v>2.0</v>
      </c>
      <c r="D8689" s="7" t="s">
        <v>15860</v>
      </c>
      <c r="E8689" s="8" t="str">
        <f>IFERROR(__xludf.DUMMYFUNCTION("googletranslate(D8689,""id"",""en"")"),"Pg pg open tiktok contains all ppkm")</f>
        <v>Pg pg open tiktok contains all ppkm</v>
      </c>
    </row>
    <row r="8690" ht="15.75" customHeight="1">
      <c r="A8690" s="2">
        <v>8694.0</v>
      </c>
      <c r="B8690" s="5" t="s">
        <v>15861</v>
      </c>
      <c r="C8690" s="6">
        <v>2.0</v>
      </c>
      <c r="D8690" s="10" t="s">
        <v>15862</v>
      </c>
      <c r="E8690" s="8" t="str">
        <f>IFERROR(__xludf.DUMMYFUNCTION("googletranslate(D8690,""id"",""en"")"),"PPKM BTW.")</f>
        <v>PPKM BTW.</v>
      </c>
    </row>
    <row r="8691" ht="15.75" customHeight="1">
      <c r="A8691" s="2">
        <v>8695.0</v>
      </c>
      <c r="B8691" s="5" t="s">
        <v>15863</v>
      </c>
      <c r="C8691" s="6">
        <v>2.0</v>
      </c>
      <c r="D8691" s="7" t="s">
        <v>15863</v>
      </c>
      <c r="E8691" s="8" t="str">
        <f>IFERROR(__xludf.DUMMYFUNCTION("googletranslate(D8691,""id"",""en"")"),"Enforcement of restrictions on community activities (PPKM)")</f>
        <v>Enforcement of restrictions on community activities (PPKM)</v>
      </c>
    </row>
    <row r="8692" ht="15.75" customHeight="1">
      <c r="A8692" s="2">
        <v>8696.0</v>
      </c>
      <c r="B8692" s="5" t="s">
        <v>15864</v>
      </c>
      <c r="C8692" s="6">
        <v>1.0</v>
      </c>
      <c r="D8692" s="10" t="s">
        <v>15864</v>
      </c>
      <c r="E8692" s="8" t="str">
        <f>IFERROR(__xludf.DUMMYFUNCTION("googletranslate(D8692,""id"",""en"")"),"Ppkm = taek!")</f>
        <v>Ppkm = taek!</v>
      </c>
    </row>
    <row r="8693" ht="15.75" customHeight="1">
      <c r="A8693" s="2">
        <v>8697.0</v>
      </c>
      <c r="B8693" s="5" t="s">
        <v>15865</v>
      </c>
      <c r="C8693" s="6">
        <v>2.0</v>
      </c>
      <c r="D8693" s="7" t="s">
        <v>15866</v>
      </c>
      <c r="E8693" s="8" t="str">
        <f>IFERROR(__xludf.DUMMYFUNCTION("googletranslate(D8693,""id"",""en"")"),"Khofifah said that the emergency ppkm would take effect on July to July,")</f>
        <v>Khofifah said that the emergency ppkm would take effect on July to July,</v>
      </c>
    </row>
    <row r="8694" ht="15.75" customHeight="1">
      <c r="A8694" s="2">
        <v>8698.0</v>
      </c>
      <c r="B8694" s="5" t="s">
        <v>15867</v>
      </c>
      <c r="C8694" s="6">
        <v>1.0</v>
      </c>
      <c r="D8694" s="7" t="s">
        <v>15868</v>
      </c>
      <c r="E8694" s="8" t="str">
        <f>IFERROR(__xludf.DUMMYFUNCTION("googletranslate(D8694,""id"",""en"")"),"PPKM: Traditional associations run out of solution in accordance with the problems and expenses of their respective lives begin ...")</f>
        <v>PPKM: Traditional associations run out of solution in accordance with the problems and expenses of their respective lives begin ...</v>
      </c>
    </row>
    <row r="8695" ht="15.75" customHeight="1">
      <c r="A8695" s="2">
        <v>8699.0</v>
      </c>
      <c r="B8695" s="5" t="s">
        <v>15869</v>
      </c>
      <c r="C8695" s="6">
        <v>2.0</v>
      </c>
      <c r="D8695" s="7" t="s">
        <v>15870</v>
      </c>
      <c r="E8695" s="8" t="str">
        <f>IFERROR(__xludf.DUMMYFUNCTION("googletranslate(D8695,""id"",""en"")"),"Yess ofc, I'm the end of the PPKM")</f>
        <v>Yess ofc, I'm the end of the PPKM</v>
      </c>
    </row>
    <row r="8696" ht="15.75" customHeight="1">
      <c r="A8696" s="2">
        <v>8700.0</v>
      </c>
      <c r="B8696" s="5" t="s">
        <v>15871</v>
      </c>
      <c r="C8696" s="6">
        <v>1.0</v>
      </c>
      <c r="D8696" s="9" t="s">
        <v>15872</v>
      </c>
      <c r="E8696" s="8" t="str">
        <f>IFERROR(__xludf.DUMMYFUNCTION("googletranslate(D8696,""id"",""en"")"),"There was a Pancoran Lurah Mas Depok yesterday held a celebration and jogging together at the emergency PPKM")</f>
        <v>There was a Pancoran Lurah Mas Depok yesterday held a celebration and jogging together at the emergency PPKM</v>
      </c>
    </row>
    <row r="8697" ht="15.75" customHeight="1">
      <c r="A8697" s="2">
        <v>8701.0</v>
      </c>
      <c r="B8697" s="5" t="s">
        <v>15873</v>
      </c>
      <c r="C8697" s="6">
        <v>1.0</v>
      </c>
      <c r="D8697" s="7" t="s">
        <v>15874</v>
      </c>
      <c r="E8697" s="8" t="str">
        <f>IFERROR(__xludf.DUMMYFUNCTION("googletranslate(D8697,""id"",""en"")"),"Starting difficulty because Emergency PPKM ...")</f>
        <v>Starting difficulty because Emergency PPKM ...</v>
      </c>
    </row>
    <row r="8698" ht="15.75" customHeight="1">
      <c r="A8698" s="2">
        <v>8702.0</v>
      </c>
      <c r="B8698" s="5" t="s">
        <v>15875</v>
      </c>
      <c r="C8698" s="6">
        <v>2.0</v>
      </c>
      <c r="D8698" s="7" t="s">
        <v>15876</v>
      </c>
      <c r="E8698" s="8" t="str">
        <f>IFERROR(__xludf.DUMMYFUNCTION("googletranslate(D8698,""id"",""en"")"),"It was only the ppkm until Idul Adha")</f>
        <v>It was only the ppkm until Idul Adha</v>
      </c>
    </row>
    <row r="8699" ht="15.75" customHeight="1">
      <c r="A8699" s="2">
        <v>8703.0</v>
      </c>
      <c r="B8699" s="5" t="s">
        <v>15877</v>
      </c>
      <c r="C8699" s="6">
        <v>3.0</v>
      </c>
      <c r="D8699" s="7" t="s">
        <v>15878</v>
      </c>
      <c r="E8699" s="8" t="str">
        <f>IFERROR(__xludf.DUMMYFUNCTION("googletranslate(D8699,""id"",""en"")"),"Ppkm still never finished ... spraying takes place in each village so safe kitakita kitakita follow the government regulation to use a mask of jardarding a healthy health etc.")</f>
        <v>Ppkm still never finished ... spraying takes place in each village so safe kitakita kitakita follow the government regulation to use a mask of jardarding a healthy health etc.</v>
      </c>
    </row>
    <row r="8700" ht="15.75" customHeight="1">
      <c r="A8700" s="2">
        <v>8704.0</v>
      </c>
      <c r="B8700" s="5" t="s">
        <v>15879</v>
      </c>
      <c r="C8700" s="6">
        <v>1.0</v>
      </c>
      <c r="D8700" s="9" t="s">
        <v>15880</v>
      </c>
      <c r="E8700" s="8" t="str">
        <f>IFERROR(__xludf.DUMMYFUNCTION("googletranslate(D8700,""id"",""en"")"),"What is PPKM Lokdon blah blah still just ram the train")</f>
        <v>What is PPKM Lokdon blah blah still just ram the train</v>
      </c>
    </row>
    <row r="8701" ht="15.75" customHeight="1">
      <c r="A8701" s="2">
        <v>8705.0</v>
      </c>
      <c r="B8701" s="5" t="s">
        <v>15881</v>
      </c>
      <c r="C8701" s="6">
        <v>1.0</v>
      </c>
      <c r="D8701" s="9" t="s">
        <v>15882</v>
      </c>
      <c r="E8701" s="8" t="str">
        <f>IFERROR(__xludf.DUMMYFUNCTION("googletranslate(D8701,""id"",""en"")"),"Si Luhut Panjaitan is happy toy he doesn't spread the hook as a PPKM emergency has been run well. Plate &amp; amp; Nasdem Kan Pro Anies Baswedan. Then it must be made so that the hoax is circulating then immediately defended &amp; amp; Escape has been forced to a"&amp;"dmit covid positive at the RSUD.")</f>
        <v>Si Luhut Panjaitan is happy toy he doesn't spread the hook as a PPKM emergency has been run well. Plate &amp; amp; Nasdem Kan Pro Anies Baswedan. Then it must be made so that the hoax is circulating then immediately defended &amp; amp; Escape has been forced to admit covid positive at the RSUD.</v>
      </c>
    </row>
    <row r="8702" ht="15.75" customHeight="1">
      <c r="A8702" s="2">
        <v>8706.0</v>
      </c>
      <c r="B8702" s="5" t="s">
        <v>15883</v>
      </c>
      <c r="C8702" s="6">
        <v>2.0</v>
      </c>
      <c r="D8702" s="9" t="s">
        <v>15884</v>
      </c>
      <c r="E8702" s="8" t="str">
        <f>IFERROR(__xludf.DUMMYFUNCTION("googletranslate(D8702,""id"",""en"")"),"PPKM goes farewell to human confusion.")</f>
        <v>PPKM goes farewell to human confusion.</v>
      </c>
    </row>
    <row r="8703" ht="15.75" customHeight="1">
      <c r="A8703" s="2">
        <v>8707.0</v>
      </c>
      <c r="B8703" s="5" t="s">
        <v>15885</v>
      </c>
      <c r="C8703" s="6">
        <v>3.0</v>
      </c>
      <c r="D8703" s="9" t="s">
        <v>15886</v>
      </c>
      <c r="E8703" s="8" t="str">
        <f>IFERROR(__xludf.DUMMYFUNCTION("googletranslate(D8703,""id"",""en"")"),"Because the regulations may not be eaten in accordance with emergency PPKM regulations, when STLH KRJ's visit in Pantura, Mr. White MAKAT BWA BANGKAR SDRI! Dngn relax and TNP special places directly with lunch. Indeed, a simple one. Healthy Sllu sir ...")</f>
        <v>Because the regulations may not be eaten in accordance with emergency PPKM regulations, when STLH KRJ's visit in Pantura, Mr. White MAKAT BWA BANGKAR SDRI! Dngn relax and TNP special places directly with lunch. Indeed, a simple one. Healthy Sllu sir ...</v>
      </c>
    </row>
    <row r="8704" ht="15.75" customHeight="1">
      <c r="A8704" s="2">
        <v>8708.0</v>
      </c>
      <c r="B8704" s="5" t="s">
        <v>15887</v>
      </c>
      <c r="C8704" s="6">
        <v>1.0</v>
      </c>
      <c r="D8704" s="7" t="s">
        <v>15887</v>
      </c>
      <c r="E8704" s="8" t="str">
        <f>IFERROR(__xludf.DUMMYFUNCTION("googletranslate(D8704,""id"",""en"")"),"PPKM victims, so have to separate faster")</f>
        <v>PPKM victims, so have to separate faster</v>
      </c>
    </row>
    <row r="8705" ht="15.75" customHeight="1">
      <c r="A8705" s="2">
        <v>8709.0</v>
      </c>
      <c r="B8705" s="5" t="s">
        <v>15888</v>
      </c>
      <c r="C8705" s="6">
        <v>2.0</v>
      </c>
      <c r="D8705" s="7" t="s">
        <v>15889</v>
      </c>
      <c r="E8705" s="8" t="str">
        <f>IFERROR(__xludf.DUMMYFUNCTION("googletranslate(D8705,""id"",""en"")"),"Breakfast Ben Strong Ngadepi PPKM")</f>
        <v>Breakfast Ben Strong Ngadepi PPKM</v>
      </c>
    </row>
    <row r="8706" ht="15.75" customHeight="1">
      <c r="A8706" s="2">
        <v>8710.0</v>
      </c>
      <c r="B8706" s="5" t="s">
        <v>15890</v>
      </c>
      <c r="C8706" s="6">
        <v>2.0</v>
      </c>
      <c r="D8706" s="7" t="s">
        <v>15891</v>
      </c>
      <c r="E8706" s="8" t="str">
        <f>IFERROR(__xludf.DUMMYFUNCTION("googletranslate(D8706,""id"",""en"")"),"Mayan. Emergency PPKM")</f>
        <v>Mayan. Emergency PPKM</v>
      </c>
    </row>
    <row r="8707" ht="15.75" customHeight="1">
      <c r="A8707" s="2">
        <v>8711.0</v>
      </c>
      <c r="B8707" s="5" t="s">
        <v>15892</v>
      </c>
      <c r="C8707" s="6">
        <v>1.0</v>
      </c>
      <c r="D8707" s="9" t="s">
        <v>15893</v>
      </c>
      <c r="E8707" s="8" t="str">
        <f>IFERROR(__xludf.DUMMYFUNCTION("googletranslate(D8707,""id"",""en"")"),"Useless Emergency PPKM if the airport is still opened for foreigners especially Chinese TKA")</f>
        <v>Useless Emergency PPKM if the airport is still opened for foreigners especially Chinese TKA</v>
      </c>
    </row>
    <row r="8708" ht="15.75" customHeight="1">
      <c r="A8708" s="2">
        <v>8712.0</v>
      </c>
      <c r="B8708" s="5" t="s">
        <v>15894</v>
      </c>
      <c r="C8708" s="6">
        <v>1.0</v>
      </c>
      <c r="D8708" s="7" t="s">
        <v>15895</v>
      </c>
      <c r="E8708" s="8" t="str">
        <f>IFERROR(__xludf.DUMMYFUNCTION("googletranslate(D8708,""id"",""en"")"),"Kan again PPKM Min, how do you want to move forward, afraid later when I stepped into Covid.")</f>
        <v>Kan again PPKM Min, how do you want to move forward, afraid later when I stepped into Covid.</v>
      </c>
    </row>
    <row r="8709" ht="15.75" customHeight="1">
      <c r="A8709" s="2">
        <v>8713.0</v>
      </c>
      <c r="B8709" s="5" t="s">
        <v>15896</v>
      </c>
      <c r="C8709" s="6">
        <v>2.0</v>
      </c>
      <c r="D8709" s="9" t="s">
        <v>15897</v>
      </c>
      <c r="E8709" s="8" t="str">
        <f>IFERROR(__xludf.DUMMYFUNCTION("googletranslate(D8709,""id"",""en"")"),"hmm I ppkm instead indomie stock for not out of boarding huehuehue")</f>
        <v>hmm I ppkm instead indomie stock for not out of boarding huehuehue</v>
      </c>
    </row>
    <row r="8710" ht="15.75" customHeight="1">
      <c r="A8710" s="2">
        <v>8714.0</v>
      </c>
      <c r="B8710" s="5" t="s">
        <v>15898</v>
      </c>
      <c r="C8710" s="6">
        <v>3.0</v>
      </c>
      <c r="D8710" s="7" t="s">
        <v>15899</v>
      </c>
      <c r="E8710" s="8" t="str">
        <f>IFERROR(__xludf.DUMMYFUNCTION("googletranslate(D8710,""id"",""en"")"),"PT Jasamarga Semarang Batang Support Emergency PPKM Enforcement in the Central Java Region")</f>
        <v>PT Jasamarga Semarang Batang Support Emergency PPKM Enforcement in the Central Java Region</v>
      </c>
    </row>
    <row r="8711" ht="15.75" customHeight="1">
      <c r="A8711" s="2">
        <v>8715.0</v>
      </c>
      <c r="B8711" s="5" t="s">
        <v>15900</v>
      </c>
      <c r="C8711" s="6">
        <v>2.0</v>
      </c>
      <c r="D8711" s="7" t="s">
        <v>15901</v>
      </c>
      <c r="E8711" s="8" t="str">
        <f>IFERROR(__xludf.DUMMYFUNCTION("googletranslate(D8711,""id"",""en"")"),"Ppkm - ever hold dark * n")</f>
        <v>Ppkm - ever hold dark * n</v>
      </c>
    </row>
    <row r="8712" ht="15.75" customHeight="1">
      <c r="A8712" s="2">
        <v>8716.0</v>
      </c>
      <c r="B8712" s="5" t="s">
        <v>15902</v>
      </c>
      <c r="C8712" s="6">
        <v>3.0</v>
      </c>
      <c r="D8712" s="7" t="s">
        <v>15903</v>
      </c>
      <c r="E8712" s="8" t="str">
        <f>IFERROR(__xludf.DUMMYFUNCTION("googletranslate(D8712,""id"",""en"")"),"It turns out that PPKM can be photocated with a lot and entertaining definitions")</f>
        <v>It turns out that PPKM can be photocated with a lot and entertaining definitions</v>
      </c>
    </row>
    <row r="8713" ht="15.75" customHeight="1">
      <c r="A8713" s="2">
        <v>8717.0</v>
      </c>
      <c r="B8713" s="5" t="s">
        <v>15904</v>
      </c>
      <c r="C8713" s="6">
        <v>1.0</v>
      </c>
      <c r="D8713" s="7" t="s">
        <v>15904</v>
      </c>
      <c r="E8713" s="8" t="str">
        <f>IFERROR(__xludf.DUMMYFUNCTION("googletranslate(D8713,""id"",""en"")"),"Yes, if you see a friend, still on hanging out at PPKM Kea Gini")</f>
        <v>Yes, if you see a friend, still on hanging out at PPKM Kea Gini</v>
      </c>
    </row>
    <row r="8714" ht="15.75" customHeight="1">
      <c r="A8714" s="2">
        <v>8718.0</v>
      </c>
      <c r="B8714" s="5" t="s">
        <v>15905</v>
      </c>
      <c r="C8714" s="6">
        <v>1.0</v>
      </c>
      <c r="D8714" s="7" t="s">
        <v>15906</v>
      </c>
      <c r="E8714" s="8" t="str">
        <f>IFERROR(__xludf.DUMMYFUNCTION("googletranslate(D8714,""id"",""en"")"),"But the word neutezin that smart ppkm is the president's son when back looks like this is the most suitable")</f>
        <v>But the word neutezin that smart ppkm is the president's son when back looks like this is the most suitable</v>
      </c>
    </row>
    <row r="8715" ht="15.75" customHeight="1">
      <c r="A8715" s="2">
        <v>8719.0</v>
      </c>
      <c r="B8715" s="5" t="s">
        <v>15907</v>
      </c>
      <c r="C8715" s="6">
        <v>2.0</v>
      </c>
      <c r="D8715" s="9" t="s">
        <v>15908</v>
      </c>
      <c r="E8715" s="8" t="str">
        <f>IFERROR(__xludf.DUMMYFUNCTION("googletranslate(D8715,""id"",""en"")"),"WORK! Guys, ask for Insight. Or maybe there is another way out, you can. God, I'm full for a long time. Not as long as this PPKM.")</f>
        <v>WORK! Guys, ask for Insight. Or maybe there is another way out, you can. God, I'm full for a long time. Not as long as this PPKM.</v>
      </c>
    </row>
    <row r="8716" ht="15.75" customHeight="1">
      <c r="A8716" s="2">
        <v>8720.0</v>
      </c>
      <c r="B8716" s="5" t="s">
        <v>15909</v>
      </c>
      <c r="C8716" s="6">
        <v>2.0</v>
      </c>
      <c r="D8716" s="7" t="s">
        <v>15910</v>
      </c>
      <c r="E8716" s="8" t="str">
        <f>IFERROR(__xludf.DUMMYFUNCTION("googletranslate(D8716,""id"",""en"")"),"Morning morning it's not cold right, still ppkm here")</f>
        <v>Morning morning it's not cold right, still ppkm here</v>
      </c>
    </row>
    <row r="8717" ht="15.75" customHeight="1">
      <c r="A8717" s="2">
        <v>8721.0</v>
      </c>
      <c r="B8717" s="5" t="s">
        <v>15911</v>
      </c>
      <c r="C8717" s="6">
        <v>1.0</v>
      </c>
      <c r="D8717" s="9" t="s">
        <v>15911</v>
      </c>
      <c r="E8717" s="8" t="str">
        <f>IFERROR(__xludf.DUMMYFUNCTION("googletranslate(D8717,""id"",""en"")"),"If it's intercepted by the police on the road, just go home, it's already complicated ... how come I have told you to enter. Dick")</f>
        <v>If it's intercepted by the police on the road, just go home, it's already complicated ... how come I have told you to enter. Dick</v>
      </c>
    </row>
    <row r="8718" ht="15.75" customHeight="1">
      <c r="A8718" s="2">
        <v>8722.0</v>
      </c>
      <c r="B8718" s="5" t="s">
        <v>15912</v>
      </c>
      <c r="C8718" s="6">
        <v>3.0</v>
      </c>
      <c r="D8718" s="9" t="s">
        <v>15913</v>
      </c>
      <c r="E8718" s="8" t="str">
        <f>IFERROR(__xludf.DUMMYFUNCTION("googletranslate(D8718,""id"",""en"")"),"Morningiiii Monday, July cool &amp; amp; bright. Already ablution, use a mask, then keep keeping the Prames M and obey the emergency PPKM does need awareness, patience, &amp; amp; bravery. The more we unite to carry out words, Covid-19 is increasingly disappearin"&amp;"g. Amen.")</f>
        <v>Morningiiii Monday, July cool &amp; amp; bright. Already ablution, use a mask, then keep keeping the Prames M and obey the emergency PPKM does need awareness, patience, &amp; amp; bravery. The more we unite to carry out words, Covid-19 is increasingly disappearing. Amen.</v>
      </c>
    </row>
    <row r="8719" ht="15.75" customHeight="1">
      <c r="A8719" s="2">
        <v>8723.0</v>
      </c>
      <c r="B8719" s="5" t="s">
        <v>15914</v>
      </c>
      <c r="C8719" s="6">
        <v>1.0</v>
      </c>
      <c r="D8719" s="7" t="s">
        <v>15915</v>
      </c>
      <c r="E8719" s="8" t="str">
        <f>IFERROR(__xludf.DUMMYFUNCTION("googletranslate(D8719,""id"",""en"")"),"Replace the President Change Sistemppkm")</f>
        <v>Replace the President Change Sistemppkm</v>
      </c>
    </row>
    <row r="8720" ht="15.75" customHeight="1">
      <c r="A8720" s="2">
        <v>8724.0</v>
      </c>
      <c r="B8720" s="5" t="s">
        <v>15916</v>
      </c>
      <c r="C8720" s="6">
        <v>1.0</v>
      </c>
      <c r="D8720" s="7" t="s">
        <v>15917</v>
      </c>
      <c r="E8720" s="8" t="str">
        <f>IFERROR(__xludf.DUMMYFUNCTION("googletranslate(D8720,""id"",""en"")"),"Use the term PPKM ""Association of Maling Corruptors")</f>
        <v>Use the term PPKM "Association of Maling Corruptors</v>
      </c>
    </row>
    <row r="8721" ht="15.75" customHeight="1">
      <c r="A8721" s="2">
        <v>8725.0</v>
      </c>
      <c r="B8721" s="5" t="s">
        <v>15918</v>
      </c>
      <c r="C8721" s="6">
        <v>1.0</v>
      </c>
      <c r="D8721" s="7" t="s">
        <v>15919</v>
      </c>
      <c r="E8721" s="8" t="str">
        <f>IFERROR(__xludf.DUMMYFUNCTION("googletranslate(D8721,""id"",""en"")"),"Two two.PPKM with the style of pressing the people, do you enter free, the virus comes carrying wind?, The airport is still opened, is there a benefit with pressing the people who are also victims of covid? Mikikrrrrr.")</f>
        <v>Two two.PPKM with the style of pressing the people, do you enter free, the virus comes carrying wind?, The airport is still opened, is there a benefit with pressing the people who are also victims of covid? Mikikrrrrr.</v>
      </c>
    </row>
    <row r="8722" ht="15.75" customHeight="1">
      <c r="A8722" s="2">
        <v>8726.0</v>
      </c>
      <c r="B8722" s="5" t="s">
        <v>15920</v>
      </c>
      <c r="C8722" s="6">
        <v>1.0</v>
      </c>
      <c r="D8722" s="7" t="s">
        <v>15921</v>
      </c>
      <c r="E8722" s="8" t="str">
        <f>IFERROR(__xludf.DUMMYFUNCTION("googletranslate(D8722,""id"",""en"")"),"The Chinese TKA virus and Dongok Virus has been found in the NKRI during this PPKM.")</f>
        <v>The Chinese TKA virus and Dongok Virus has been found in the NKRI during this PPKM.</v>
      </c>
    </row>
    <row r="8723" ht="15.75" customHeight="1">
      <c r="A8723" s="2">
        <v>8727.0</v>
      </c>
      <c r="B8723" s="5" t="s">
        <v>15922</v>
      </c>
      <c r="C8723" s="6">
        <v>3.0</v>
      </c>
      <c r="D8723" s="9" t="s">
        <v>15923</v>
      </c>
      <c r="E8723" s="8" t="str">
        <f>IFERROR(__xludf.DUMMYFUNCTION("googletranslate(D8723,""id"",""en"")"),"Where to? Be careful, remember ppkm gab by going out wkwkwk")</f>
        <v>Where to? Be careful, remember ppkm gab by going out wkwkwk</v>
      </c>
    </row>
    <row r="8724" ht="15.75" customHeight="1">
      <c r="A8724" s="2">
        <v>8728.0</v>
      </c>
      <c r="B8724" s="5" t="s">
        <v>15924</v>
      </c>
      <c r="C8724" s="6">
        <v>1.0</v>
      </c>
      <c r="D8724" s="7" t="s">
        <v>15925</v>
      </c>
      <c r="E8724" s="8" t="str">
        <f>IFERROR(__xludf.DUMMYFUNCTION("googletranslate(D8724,""id"",""en"")"),"Its policy is serious ... from the beginning of the pandemic instead of improving even though it is severe, the chart who died up nanjak.dl psbb skg becomes micro emergency ppkm, meaning there is no progress what the student's regime does the regime fell "&amp;"asleep in his sleep")</f>
        <v>Its policy is serious ... from the beginning of the pandemic instead of improving even though it is severe, the chart who died up nanjak.dl psbb skg becomes micro emergency ppkm, meaning there is no progress what the student's regime does the regime fell asleep in his sleep</v>
      </c>
    </row>
    <row r="8725" ht="15.75" customHeight="1">
      <c r="A8725" s="2">
        <v>8729.0</v>
      </c>
      <c r="B8725" s="5" t="s">
        <v>15926</v>
      </c>
      <c r="C8725" s="6">
        <v>3.0</v>
      </c>
      <c r="D8725" s="7" t="s">
        <v>15927</v>
      </c>
      <c r="E8725" s="8" t="str">
        <f>IFERROR(__xludf.DUMMYFUNCTION("googletranslate(D8725,""id"",""en"")"),"Until July, support PPKM Darurot")</f>
        <v>Until July, support PPKM Darurot</v>
      </c>
    </row>
    <row r="8726" ht="15.75" customHeight="1">
      <c r="A8726" s="2">
        <v>8730.0</v>
      </c>
      <c r="B8726" s="5" t="s">
        <v>15928</v>
      </c>
      <c r="C8726" s="6">
        <v>3.0</v>
      </c>
      <c r="D8726" s="9" t="s">
        <v>15929</v>
      </c>
      <c r="E8726" s="8" t="str">
        <f>IFERROR(__xludf.DUMMYFUNCTION("googletranslate(D8726,""id"",""en"")"),"The solution might be PPKM ??")</f>
        <v>The solution might be PPKM ??</v>
      </c>
    </row>
    <row r="8727" ht="15.75" customHeight="1">
      <c r="A8727" s="2">
        <v>8731.0</v>
      </c>
      <c r="B8727" s="5" t="s">
        <v>15930</v>
      </c>
      <c r="C8727" s="6">
        <v>1.0</v>
      </c>
      <c r="D8727" s="9" t="s">
        <v>15931</v>
      </c>
      <c r="E8727" s="8" t="str">
        <f>IFERROR(__xludf.DUMMYFUNCTION("googletranslate(D8727,""id"",""en"")"),"Unfortunately it's not called the date and time! If it's true that this video was taken when the PPKM was applying meant that it was no use, want to pull the emergency brake, it was ushered !!!")</f>
        <v>Unfortunately it's not called the date and time! If it's true that this video was taken when the PPKM was applying meant that it was no use, want to pull the emergency brake, it was ushered !!!</v>
      </c>
    </row>
    <row r="8728" ht="15.75" customHeight="1">
      <c r="A8728" s="2">
        <v>8732.0</v>
      </c>
      <c r="B8728" s="5" t="s">
        <v>15932</v>
      </c>
      <c r="C8728" s="6">
        <v>2.0</v>
      </c>
      <c r="D8728" s="7" t="s">
        <v>15932</v>
      </c>
      <c r="E8728" s="8" t="str">
        <f>IFERROR(__xludf.DUMMYFUNCTION("googletranslate(D8728,""id"",""en"")"),"Never attention then disappeared (PPKM)")</f>
        <v>Never attention then disappeared (PPKM)</v>
      </c>
    </row>
    <row r="8729" ht="15.75" customHeight="1">
      <c r="A8729" s="2">
        <v>8733.0</v>
      </c>
      <c r="B8729" s="5" t="s">
        <v>15933</v>
      </c>
      <c r="C8729" s="6">
        <v>2.0</v>
      </c>
      <c r="D8729" s="7" t="s">
        <v>15934</v>
      </c>
      <c r="E8729" s="8" t="str">
        <f>IFERROR(__xludf.DUMMYFUNCTION("googletranslate(D8729,""id"",""en"")"),"Emergency PPKM Increases, Police Give a SIM Extension Dispensation ""Regarding SIM and Extension Services, for people who are expired starting from the $ number of $ July, it can be extended at $ NUCER $ July with an extension mechanism""")</f>
        <v>Emergency PPKM Increases, Police Give a SIM Extension Dispensation "Regarding SIM and Extension Services, for people who are expired starting from the $ number of $ July, it can be extended at $ NUCER $ July with an extension mechanism"</v>
      </c>
    </row>
    <row r="8730" ht="15.75" customHeight="1">
      <c r="A8730" s="2">
        <v>8734.0</v>
      </c>
      <c r="B8730" s="5" t="s">
        <v>15935</v>
      </c>
      <c r="C8730" s="6">
        <v>1.0</v>
      </c>
      <c r="D8730" s="9" t="s">
        <v>15935</v>
      </c>
      <c r="E8730" s="8" t="str">
        <f>IFERROR(__xludf.DUMMYFUNCTION("googletranslate(D8730,""id"",""en"")"),"Emergency PPKM is applied, but if foreign is still included in the country, it's still in vain, so don't focus on blaming the people but look at the disease coming from outside not from inV")</f>
        <v>Emergency PPKM is applied, but if foreign is still included in the country, it's still in vain, so don't focus on blaming the people but look at the disease coming from outside not from inV</v>
      </c>
    </row>
    <row r="8731" ht="15.75" customHeight="1">
      <c r="A8731" s="2">
        <v>8735.0</v>
      </c>
      <c r="B8731" s="5" t="s">
        <v>15936</v>
      </c>
      <c r="C8731" s="6">
        <v>1.0</v>
      </c>
      <c r="D8731" s="7" t="s">
        <v>15937</v>
      </c>
      <c r="E8731" s="8" t="str">
        <f>IFERROR(__xludf.DUMMYFUNCTION("googletranslate(D8731,""id"",""en"")"),"PPKM, which is foreign entry. One is held to be a meal for others")</f>
        <v>PPKM, which is foreign entry. One is held to be a meal for others</v>
      </c>
    </row>
    <row r="8732" ht="15.75" customHeight="1">
      <c r="A8732" s="2">
        <v>8736.0</v>
      </c>
      <c r="B8732" s="5" t="s">
        <v>15938</v>
      </c>
      <c r="C8732" s="6">
        <v>2.0</v>
      </c>
      <c r="D8732" s="7" t="s">
        <v>15939</v>
      </c>
      <c r="E8732" s="8" t="str">
        <f>IFERROR(__xludf.DUMMYFUNCTION("googletranslate(D8732,""id"",""en"")"),"Isn't the PPKM?")</f>
        <v>Isn't the PPKM?</v>
      </c>
    </row>
    <row r="8733" ht="15.75" customHeight="1">
      <c r="A8733" s="2">
        <v>8737.0</v>
      </c>
      <c r="B8733" s="5" t="s">
        <v>15940</v>
      </c>
      <c r="C8733" s="6">
        <v>2.0</v>
      </c>
      <c r="D8733" s="9" t="s">
        <v>15941</v>
      </c>
      <c r="E8733" s="8" t="str">
        <f>IFERROR(__xludf.DUMMYFUNCTION("googletranslate(D8733,""id"",""en"")"),"Please give a solution for the first day of PPKM but the density occurs outside the station isn't it useless?")</f>
        <v>Please give a solution for the first day of PPKM but the density occurs outside the station isn't it useless?</v>
      </c>
    </row>
    <row r="8734" ht="15.75" customHeight="1">
      <c r="A8734" s="2">
        <v>8738.0</v>
      </c>
      <c r="B8734" s="5" t="s">
        <v>15942</v>
      </c>
      <c r="C8734" s="6">
        <v>1.0</v>
      </c>
      <c r="D8734" s="7" t="s">
        <v>15942</v>
      </c>
      <c r="E8734" s="8" t="str">
        <f>IFERROR(__xludf.DUMMYFUNCTION("googletranslate(D8734,""id"",""en"")"),"Ppkm = the unemployed back season")</f>
        <v>Ppkm = the unemployed back season</v>
      </c>
    </row>
    <row r="8735" ht="15.75" customHeight="1">
      <c r="A8735" s="2">
        <v>8739.0</v>
      </c>
      <c r="B8735" s="5" t="s">
        <v>15943</v>
      </c>
      <c r="C8735" s="6">
        <v>1.0</v>
      </c>
      <c r="D8735" s="9" t="s">
        <v>15944</v>
      </c>
      <c r="E8735" s="8" t="str">
        <f>IFERROR(__xludf.DUMMYFUNCTION("googletranslate(D8735,""id"",""en"")"),"It's useless to want PPKM at Dowang's house, you can't mane, org, it's easy to get in, how come the Kaga airport is closed by WKWKW")</f>
        <v>It's useless to want PPKM at Dowang's house, you can't mane, org, it's easy to get in, how come the Kaga airport is closed by WKWKW</v>
      </c>
    </row>
    <row r="8736" ht="15.75" customHeight="1">
      <c r="A8736" s="2">
        <v>8740.0</v>
      </c>
      <c r="B8736" s="5" t="s">
        <v>15945</v>
      </c>
      <c r="C8736" s="6">
        <v>1.0</v>
      </c>
      <c r="D8736" s="9" t="s">
        <v>15946</v>
      </c>
      <c r="E8736" s="8" t="str">
        <f>IFERROR(__xludf.DUMMYFUNCTION("googletranslate(D8736,""id"",""en"")"),"I'm sure the Forced RSUD, the person, I admit positively Covid will not be investigated. It's like this, Luhut Panjaitan says you don't spread the hook as an emergency PPKM. Si Anies Baswedan told the Herder to spread the Hox to China. Immediately defende"&amp;"d the plate he said was year. So according to me,")</f>
        <v>I'm sure the Forced RSUD, the person, I admit positively Covid will not be investigated. It's like this, Luhut Panjaitan says you don't spread the hook as an emergency PPKM. Si Anies Baswedan told the Herder to spread the Hox to China. Immediately defended the plate he said was year. So according to me,</v>
      </c>
    </row>
    <row r="8737" ht="15.75" customHeight="1">
      <c r="A8737" s="2">
        <v>8741.0</v>
      </c>
      <c r="B8737" s="5" t="s">
        <v>15947</v>
      </c>
      <c r="C8737" s="6">
        <v>2.0</v>
      </c>
      <c r="D8737" s="7" t="s">
        <v>15948</v>
      </c>
      <c r="E8737" s="8" t="str">
        <f>IFERROR(__xludf.DUMMYFUNCTION("googletranslate(D8737,""id"",""en"")"),"Min the latest Emergency PPKM infomulation is taken and around it. On obedient or gmn?")</f>
        <v>Min the latest Emergency PPKM infomulation is taken and around it. On obedient or gmn?</v>
      </c>
    </row>
    <row r="8738" ht="15.75" customHeight="1">
      <c r="A8738" s="2">
        <v>8742.0</v>
      </c>
      <c r="B8738" s="5" t="s">
        <v>15949</v>
      </c>
      <c r="C8738" s="6">
        <v>2.0</v>
      </c>
      <c r="D8738" s="7" t="s">
        <v>15949</v>
      </c>
      <c r="E8738" s="8" t="str">
        <f>IFERROR(__xludf.DUMMYFUNCTION("googletranslate(D8738,""id"",""en"")"),"For friends all who want to pass the border of Bandung - Subang Heart Euy Aya Operation PPKM")</f>
        <v>For friends all who want to pass the border of Bandung - Subang Heart Euy Aya Operation PPKM</v>
      </c>
    </row>
    <row r="8739" ht="15.75" customHeight="1">
      <c r="A8739" s="2">
        <v>8743.0</v>
      </c>
      <c r="B8739" s="5" t="s">
        <v>15950</v>
      </c>
      <c r="C8739" s="6">
        <v>2.0</v>
      </c>
      <c r="D8739" s="7" t="s">
        <v>15950</v>
      </c>
      <c r="E8739" s="8" t="str">
        <f>IFERROR(__xludf.DUMMYFUNCTION("googletranslate(D8739,""id"",""en"")"),"Ga like ppkm like KD km")</f>
        <v>Ga like ppkm like KD km</v>
      </c>
    </row>
    <row r="8740" ht="15.75" customHeight="1">
      <c r="A8740" s="2">
        <v>8744.0</v>
      </c>
      <c r="B8740" s="5" t="s">
        <v>15951</v>
      </c>
      <c r="C8740" s="6">
        <v>3.0</v>
      </c>
      <c r="D8740" s="9" t="s">
        <v>15952</v>
      </c>
      <c r="E8740" s="8" t="str">
        <f>IFERROR(__xludf.DUMMYFUNCTION("googletranslate(D8740,""id"",""en"")"),"Covid-19 Delta variants will spread like flames in areas with low vaccine levels. Come on hasn't been vaccinated immediately register. Please obey JG on PPKM.")</f>
        <v>Covid-19 Delta variants will spread like flames in areas with low vaccine levels. Come on hasn't been vaccinated immediately register. Please obey JG on PPKM.</v>
      </c>
    </row>
    <row r="8741" ht="15.75" customHeight="1">
      <c r="A8741" s="2">
        <v>8745.0</v>
      </c>
      <c r="B8741" s="5" t="s">
        <v>15953</v>
      </c>
      <c r="C8741" s="6">
        <v>2.0</v>
      </c>
      <c r="D8741" s="7" t="s">
        <v>15953</v>
      </c>
      <c r="E8741" s="8" t="str">
        <f>IFERROR(__xludf.DUMMYFUNCTION("googletranslate(D8741,""id"",""en"")"),"PPKM = never attention then disappears, aka dighosting")</f>
        <v>PPKM = never attention then disappears, aka dighosting</v>
      </c>
    </row>
    <row r="8742" ht="15.75" customHeight="1">
      <c r="A8742" s="2">
        <v>8747.0</v>
      </c>
      <c r="B8742" s="5" t="s">
        <v>15954</v>
      </c>
      <c r="C8742" s="6">
        <v>2.0</v>
      </c>
      <c r="D8742" s="7" t="s">
        <v>15955</v>
      </c>
      <c r="E8742" s="8" t="str">
        <f>IFERROR(__xludf.DUMMYFUNCTION("googletranslate(D8742,""id"",""en"")"),"Yok Yok Yok. While again at the home of the PPKM effect")</f>
        <v>Yok Yok Yok. While again at the home of the PPKM effect</v>
      </c>
    </row>
    <row r="8743" ht="15.75" customHeight="1">
      <c r="A8743" s="2">
        <v>8748.0</v>
      </c>
      <c r="B8743" s="5" t="s">
        <v>15956</v>
      </c>
      <c r="C8743" s="6">
        <v>2.0</v>
      </c>
      <c r="D8743" s="7" t="s">
        <v>15957</v>
      </c>
      <c r="E8743" s="8" t="str">
        <f>IFERROR(__xludf.DUMMYFUNCTION("googletranslate(D8743,""id"",""en"")"),"I like ppkm without m. Pepek. Pepek jokes.")</f>
        <v>I like ppkm without m. Pepek. Pepek jokes.</v>
      </c>
    </row>
    <row r="8744" ht="15.75" customHeight="1">
      <c r="A8744" s="2">
        <v>8749.0</v>
      </c>
      <c r="B8744" s="5" t="s">
        <v>15958</v>
      </c>
      <c r="C8744" s="6">
        <v>1.0</v>
      </c>
      <c r="D8744" s="7" t="s">
        <v>15959</v>
      </c>
      <c r="E8744" s="8" t="str">
        <f>IFERROR(__xludf.DUMMYFUNCTION("googletranslate(D8744,""id"",""en"")"),"PPKM is not clearly technical clearly harming the people ..")</f>
        <v>PPKM is not clearly technical clearly harming the people ..</v>
      </c>
    </row>
    <row r="8745" ht="15.75" customHeight="1">
      <c r="A8745" s="2">
        <v>8750.0</v>
      </c>
      <c r="B8745" s="5" t="s">
        <v>15960</v>
      </c>
      <c r="C8745" s="6">
        <v>3.0</v>
      </c>
      <c r="D8745" s="7" t="s">
        <v>15961</v>
      </c>
      <c r="E8745" s="8" t="str">
        <f>IFERROR(__xludf.DUMMYFUNCTION("googletranslate(D8745,""id"",""en"")"),"Direction and invitation not to carry out activities in a large crowd include worship. So that prioritizes the safety of many people is much more important. Let us support the government with emergency PPKM. Pandemic")</f>
        <v>Direction and invitation not to carry out activities in a large crowd include worship. So that prioritizes the safety of many people is much more important. Let us support the government with emergency PPKM. Pandemic</v>
      </c>
    </row>
    <row r="8746" ht="15.75" customHeight="1">
      <c r="A8746" s="2">
        <v>8751.0</v>
      </c>
      <c r="B8746" s="5" t="s">
        <v>15962</v>
      </c>
      <c r="C8746" s="6">
        <v>3.0</v>
      </c>
      <c r="D8746" s="7" t="s">
        <v>15963</v>
      </c>
      <c r="E8746" s="8" t="str">
        <f>IFERROR(__xludf.DUMMYFUNCTION("googletranslate(D8746,""id"",""en"")"),"Obey the PPKM implementation rules to save the public")</f>
        <v>Obey the PPKM implementation rules to save the public</v>
      </c>
    </row>
    <row r="8747" ht="15.75" customHeight="1">
      <c r="A8747" s="2">
        <v>8752.0</v>
      </c>
      <c r="B8747" s="5" t="s">
        <v>15964</v>
      </c>
      <c r="C8747" s="6">
        <v>3.0</v>
      </c>
      <c r="D8747" s="7" t="s">
        <v>15965</v>
      </c>
      <c r="E8747" s="8" t="str">
        <f>IFERROR(__xludf.DUMMYFUNCTION("googletranslate(D8747,""id"",""en"")"),"Very effective, yes, ppkm until it doesn't feel like it's a date")</f>
        <v>Very effective, yes, ppkm until it doesn't feel like it's a date</v>
      </c>
    </row>
    <row r="8748" ht="15.75" customHeight="1">
      <c r="A8748" s="2">
        <v>8753.0</v>
      </c>
      <c r="B8748" s="5" t="s">
        <v>15966</v>
      </c>
      <c r="C8748" s="6">
        <v>1.0</v>
      </c>
      <c r="D8748" s="7" t="s">
        <v>15967</v>
      </c>
      <c r="E8748" s="8" t="str">
        <f>IFERROR(__xludf.DUMMYFUNCTION("googletranslate(D8748,""id"",""en"")"),"Mrs. The impact of my PPKM that works in tourism has no income at all")</f>
        <v>Mrs. The impact of my PPKM that works in tourism has no income at all</v>
      </c>
    </row>
    <row r="8749" ht="15.75" customHeight="1">
      <c r="A8749" s="2">
        <v>8754.0</v>
      </c>
      <c r="B8749" s="5" t="s">
        <v>15968</v>
      </c>
      <c r="C8749" s="6">
        <v>2.0</v>
      </c>
      <c r="D8749" s="9" t="s">
        <v>15969</v>
      </c>
      <c r="E8749" s="8" t="str">
        <f>IFERROR(__xludf.DUMMYFUNCTION("googletranslate(D8749,""id"",""en"")"),"First ppkmpas meet me ashamed")</f>
        <v>First ppkmpas meet me ashamed</v>
      </c>
    </row>
    <row r="8750" ht="15.75" customHeight="1">
      <c r="A8750" s="2">
        <v>8755.0</v>
      </c>
      <c r="B8750" s="5" t="s">
        <v>15970</v>
      </c>
      <c r="C8750" s="6">
        <v>1.0</v>
      </c>
      <c r="D8750" s="7" t="s">
        <v>15971</v>
      </c>
      <c r="E8750" s="8" t="str">
        <f>IFERROR(__xludf.DUMMYFUNCTION("googletranslate(D8750,""id"",""en"")"),"PPKM is underway, Jln Gede Doang Closed TP Can Be Through Jln Kicil. Disconnect when muter hahahaha")</f>
        <v>PPKM is underway, Jln Gede Doang Closed TP Can Be Through Jln Kicil. Disconnect when muter hahahaha</v>
      </c>
    </row>
    <row r="8751" ht="15.75" customHeight="1">
      <c r="A8751" s="2">
        <v>8756.0</v>
      </c>
      <c r="B8751" s="5" t="s">
        <v>15972</v>
      </c>
      <c r="C8751" s="6">
        <v>1.0</v>
      </c>
      <c r="D8751" s="9" t="s">
        <v>15973</v>
      </c>
      <c r="E8751" s="8" t="str">
        <f>IFERROR(__xludf.DUMMYFUNCTION("googletranslate(D8751,""id"",""en"")"),"This is the one who summarizes from Twitter about the meaning of the Native PPKMPEMPMISMIS MAKMURBAGA PLONGO, the behavior of the president's mukidipak, when the president's backwards, if backwardplalanga plongo like monkeyplintat plintat kayak the govern"&amp;"ment is less capital")</f>
        <v>This is the one who summarizes from Twitter about the meaning of the Native PPKMPEMPMISMIS MAKMURBAGA PLONGO, the behavior of the president's mukidipak, when the president's backwards, if backwardplalanga plongo like monkeyplintat plintat kayak the government is less capital</v>
      </c>
    </row>
    <row r="8752" ht="15.75" customHeight="1">
      <c r="A8752" s="2">
        <v>8757.0</v>
      </c>
      <c r="B8752" s="5" t="s">
        <v>15974</v>
      </c>
      <c r="C8752" s="6">
        <v>1.0</v>
      </c>
      <c r="D8752" s="7" t="s">
        <v>15974</v>
      </c>
      <c r="E8752" s="8" t="str">
        <f>IFERROR(__xludf.DUMMYFUNCTION("googletranslate(D8752,""id"",""en"")"),"PPKM Mr. President when to retreat")</f>
        <v>PPKM Mr. President when to retreat</v>
      </c>
    </row>
    <row r="8753" ht="15.75" customHeight="1">
      <c r="A8753" s="2">
        <v>8758.0</v>
      </c>
      <c r="B8753" s="5" t="s">
        <v>15975</v>
      </c>
      <c r="C8753" s="6">
        <v>3.0</v>
      </c>
      <c r="D8753" s="7" t="s">
        <v>15976</v>
      </c>
      <c r="E8753" s="8" t="str">
        <f>IFERROR(__xludf.DUMMYFUNCTION("googletranslate(D8753,""id"",""en"")"),"Support the implementation of Emergency PPKM")</f>
        <v>Support the implementation of Emergency PPKM</v>
      </c>
    </row>
    <row r="8754" ht="15.75" customHeight="1">
      <c r="A8754" s="2">
        <v>8759.0</v>
      </c>
      <c r="B8754" s="5" t="s">
        <v>15977</v>
      </c>
      <c r="C8754" s="6">
        <v>1.0</v>
      </c>
      <c r="D8754" s="9" t="s">
        <v>15978</v>
      </c>
      <c r="E8754" s="8" t="str">
        <f>IFERROR(__xludf.DUMMYFUNCTION("googletranslate(D8754,""id"",""en"")"),"Try to be replaced by the term ""Genting PPKM,"" maybe it can be more effective, don't forget the implementation ""DIRINIIN FLAYIN"" like there used to be a car that has been bathed in Sono. Who knows it can be effective.")</f>
        <v>Try to be replaced by the term "Genting PPKM," maybe it can be more effective, don't forget the implementation "DIRINIIN FLAYIN" like there used to be a car that has been bathed in Sono. Who knows it can be effective.</v>
      </c>
    </row>
    <row r="8755" ht="15.75" customHeight="1">
      <c r="A8755" s="2">
        <v>8760.0</v>
      </c>
      <c r="B8755" s="5" t="s">
        <v>15979</v>
      </c>
      <c r="C8755" s="6">
        <v>1.0</v>
      </c>
      <c r="D8755" s="9" t="s">
        <v>15980</v>
      </c>
      <c r="E8755" s="8" t="str">
        <f>IFERROR(__xludf.DUMMYFUNCTION("googletranslate(D8755,""id"",""en"")"),"Half-hearted ppkm, instead accepted foreign residents and it was stubborn or deliberately sungkem ndlosor alien")</f>
        <v>Half-hearted ppkm, instead accepted foreign residents and it was stubborn or deliberately sungkem ndlosor alien</v>
      </c>
    </row>
    <row r="8756" ht="15.75" customHeight="1">
      <c r="A8756" s="2">
        <v>8761.0</v>
      </c>
      <c r="B8756" s="5" t="s">
        <v>15981</v>
      </c>
      <c r="C8756" s="6">
        <v>1.0</v>
      </c>
      <c r="D8756" s="9" t="s">
        <v>15981</v>
      </c>
      <c r="E8756" s="8" t="str">
        <f>IFERROR(__xludf.DUMMYFUNCTION("googletranslate(D8756,""id"",""en"")"),"Look at the person canceled marriage because of the emergency ppkm even though it's ready for all the macem sedi. If general, the PPKM is a week before it might not be able to spread the invitation (?) Do you know that it knows")</f>
        <v>Look at the person canceled marriage because of the emergency ppkm even though it's ready for all the macem sedi. If general, the PPKM is a week before it might not be able to spread the invitation (?) Do you know that it knows</v>
      </c>
    </row>
    <row r="8757" ht="15.75" customHeight="1">
      <c r="A8757" s="2">
        <v>8762.0</v>
      </c>
      <c r="B8757" s="5" t="s">
        <v>15982</v>
      </c>
      <c r="C8757" s="6">
        <v>2.0</v>
      </c>
      <c r="D8757" s="7" t="s">
        <v>15983</v>
      </c>
      <c r="E8757" s="8" t="str">
        <f>IFERROR(__xludf.DUMMYFUNCTION("googletranslate(D8757,""id"",""en"")"),"Yesterday PSBB is now PPKM. Even though PPKN, Balaghoh, Mantiq, Qowa'id etc.")</f>
        <v>Yesterday PSBB is now PPKM. Even though PPKN, Balaghoh, Mantiq, Qowa'id etc.</v>
      </c>
    </row>
    <row r="8758" ht="15.75" customHeight="1">
      <c r="A8758" s="2">
        <v>8763.0</v>
      </c>
      <c r="B8758" s="5" t="s">
        <v>15984</v>
      </c>
      <c r="C8758" s="6">
        <v>2.0</v>
      </c>
      <c r="D8758" s="7" t="s">
        <v>15985</v>
      </c>
      <c r="E8758" s="8" t="str">
        <f>IFERROR(__xludf.DUMMYFUNCTION("googletranslate(D8758,""id"",""en"")"),"Hi Kang, Thank you for giving an opportunity, here are the products we just released and instructed with the establishment of Emergency PPKM.")</f>
        <v>Hi Kang, Thank you for giving an opportunity, here are the products we just released and instructed with the establishment of Emergency PPKM.</v>
      </c>
    </row>
    <row r="8759" ht="15.75" customHeight="1">
      <c r="A8759" s="2">
        <v>8764.0</v>
      </c>
      <c r="B8759" s="5" t="s">
        <v>15986</v>
      </c>
      <c r="C8759" s="6">
        <v>2.0</v>
      </c>
      <c r="D8759" s="7" t="s">
        <v>15987</v>
      </c>
      <c r="E8759" s="8" t="str">
        <f>IFERROR(__xludf.DUMMYFUNCTION("googletranslate(D8759,""id"",""en"")"),"Emergency PPKM, insulation to limit the mobility to be carried out at the clock, but it becomes morning and evening ... the clock there is wrong?")</f>
        <v>Emergency PPKM, insulation to limit the mobility to be carried out at the clock, but it becomes morning and evening ... the clock there is wrong?</v>
      </c>
    </row>
    <row r="8760" ht="15.75" customHeight="1">
      <c r="A8760" s="2">
        <v>8765.0</v>
      </c>
      <c r="B8760" s="5" t="s">
        <v>15988</v>
      </c>
      <c r="C8760" s="6">
        <v>2.0</v>
      </c>
      <c r="D8760" s="7" t="s">
        <v>15989</v>
      </c>
      <c r="E8760" s="8" t="str">
        <f>IFERROR(__xludf.DUMMYFUNCTION("googletranslate(D8760,""id"",""en"")"),"The culinary center on the market is closed until July because of the emergency ppkm violate. How do Pepen Bang?")</f>
        <v>The culinary center on the market is closed until July because of the emergency ppkm violate. How do Pepen Bang?</v>
      </c>
    </row>
    <row r="8761" ht="15.75" customHeight="1">
      <c r="A8761" s="2">
        <v>8766.0</v>
      </c>
      <c r="B8761" s="5" t="s">
        <v>15990</v>
      </c>
      <c r="C8761" s="6">
        <v>2.0</v>
      </c>
      <c r="D8761" s="7" t="s">
        <v>15991</v>
      </c>
      <c r="E8761" s="8" t="str">
        <f>IFERROR(__xludf.DUMMYFUNCTION("googletranslate(D8761,""id"",""en"")"),"The PPKM effect is just at home guys!")</f>
        <v>The PPKM effect is just at home guys!</v>
      </c>
    </row>
    <row r="8762" ht="15.75" customHeight="1">
      <c r="A8762" s="2">
        <v>8767.0</v>
      </c>
      <c r="B8762" s="5" t="s">
        <v>15992</v>
      </c>
      <c r="C8762" s="6">
        <v>1.0</v>
      </c>
      <c r="D8762" s="9" t="s">
        <v>15993</v>
      </c>
      <c r="E8762" s="8" t="str">
        <f>IFERROR(__xludf.DUMMYFUNCTION("googletranslate(D8762,""id"",""en"")"),"We slowly turn off. (PPKM) the people need to be eationally essential")</f>
        <v>We slowly turn off. (PPKM) the people need to be eationally essential</v>
      </c>
    </row>
    <row r="8763" ht="15.75" customHeight="1">
      <c r="A8763" s="2">
        <v>8768.0</v>
      </c>
      <c r="B8763" s="5" t="s">
        <v>15994</v>
      </c>
      <c r="C8763" s="6">
        <v>2.0</v>
      </c>
      <c r="D8763" s="9" t="s">
        <v>15995</v>
      </c>
      <c r="E8763" s="8" t="str">
        <f>IFERROR(__xludf.DUMMYFUNCTION("googletranslate(D8763,""id"",""en"")"),"Here there is still a difference in understanding Emergency PPKM. PPKM emergency is not Lockdown. Indonesia Doesn't Never Apply Lockdown.")</f>
        <v>Here there is still a difference in understanding Emergency PPKM. PPKM emergency is not Lockdown. Indonesia Doesn't Never Apply Lockdown.</v>
      </c>
    </row>
    <row r="8764" ht="15.75" customHeight="1">
      <c r="A8764" s="2">
        <v>8769.0</v>
      </c>
      <c r="B8764" s="5" t="s">
        <v>15996</v>
      </c>
      <c r="C8764" s="6">
        <v>2.0</v>
      </c>
      <c r="D8764" s="7" t="s">
        <v>15996</v>
      </c>
      <c r="E8764" s="8" t="str">
        <f>IFERROR(__xludf.DUMMYFUNCTION("googletranslate(D8764,""id"",""en"")"),"PPKM Emergency Balek Tidor Wae")</f>
        <v>PPKM Emergency Balek Tidor Wae</v>
      </c>
    </row>
    <row r="8765" ht="15.75" customHeight="1">
      <c r="A8765" s="2">
        <v>8770.0</v>
      </c>
      <c r="B8765" s="5" t="s">
        <v>15997</v>
      </c>
      <c r="C8765" s="6">
        <v>2.0</v>
      </c>
      <c r="D8765" s="12" t="s">
        <v>15998</v>
      </c>
      <c r="E8765" s="8" t="str">
        <f>IFERROR(__xludf.DUMMYFUNCTION("googletranslate(D8765,""id"",""en"")"),"CLUSTER PPKM.")</f>
        <v>CLUSTER PPKM.</v>
      </c>
    </row>
    <row r="8766" ht="15.75" customHeight="1">
      <c r="A8766" s="2">
        <v>8771.0</v>
      </c>
      <c r="B8766" s="5" t="s">
        <v>15999</v>
      </c>
      <c r="C8766" s="6">
        <v>1.0</v>
      </c>
      <c r="D8766" s="7" t="s">
        <v>16000</v>
      </c>
      <c r="E8766" s="8" t="str">
        <f>IFERROR(__xludf.DUMMYFUNCTION("googletranslate(D8766,""id"",""en"")"),"This is regrettable not to help citizens affected by Micro Emergency PPKM Ala but actually add to the burden of residents because they have to lose their merchandise properties ... stop the ways like your voice?")</f>
        <v>This is regrettable not to help citizens affected by Micro Emergency PPKM Ala but actually add to the burden of residents because they have to lose their merchandise properties ... stop the ways like your voice?</v>
      </c>
    </row>
    <row r="8767" ht="15.75" customHeight="1">
      <c r="A8767" s="2">
        <v>8772.0</v>
      </c>
      <c r="B8767" s="5" t="s">
        <v>16001</v>
      </c>
      <c r="C8767" s="6">
        <v>1.0</v>
      </c>
      <c r="D8767" s="7" t="s">
        <v>16002</v>
      </c>
      <c r="E8767" s="8" t="str">
        <f>IFERROR(__xludf.DUMMYFUNCTION("googletranslate(D8767,""id"",""en"")"),"Which is brave, it's just a PPKM period even though it really comes the name")</f>
        <v>Which is brave, it's just a PPKM period even though it really comes the name</v>
      </c>
    </row>
    <row r="8768" ht="15.75" customHeight="1">
      <c r="A8768" s="2">
        <v>8773.0</v>
      </c>
      <c r="B8768" s="5" t="s">
        <v>16003</v>
      </c>
      <c r="C8768" s="6">
        <v>2.0</v>
      </c>
      <c r="D8768" s="7" t="s">
        <v>16004</v>
      </c>
      <c r="E8768" s="8" t="str">
        <f>IFERROR(__xludf.DUMMYFUNCTION("googletranslate(D8768,""id"",""en"")"),"The same, even this time my CPKM campus is not received guidance (the lecturer must be offline not receiving online) will wait for the date")</f>
        <v>The same, even this time my CPKM campus is not received guidance (the lecturer must be offline not receiving online) will wait for the date</v>
      </c>
    </row>
    <row r="8769" ht="15.75" customHeight="1">
      <c r="A8769" s="2">
        <v>8774.0</v>
      </c>
      <c r="B8769" s="5" t="s">
        <v>16005</v>
      </c>
      <c r="C8769" s="6">
        <v>1.0</v>
      </c>
      <c r="D8769" s="9" t="s">
        <v>16006</v>
      </c>
      <c r="E8769" s="8" t="str">
        <f>IFERROR(__xludf.DUMMYFUNCTION("googletranslate(D8769,""id"",""en"")"),"his army still comes ... WLO PPKM they still can come")</f>
        <v>his army still comes ... WLO PPKM they still can come</v>
      </c>
    </row>
    <row r="8770" ht="15.75" customHeight="1">
      <c r="A8770" s="2">
        <v>8775.0</v>
      </c>
      <c r="B8770" s="5" t="s">
        <v>16007</v>
      </c>
      <c r="C8770" s="6">
        <v>1.0</v>
      </c>
      <c r="D8770" s="7" t="s">
        <v>16007</v>
      </c>
      <c r="E8770" s="8" t="str">
        <f>IFERROR(__xludf.DUMMYFUNCTION("googletranslate(D8770,""id"",""en"")"),"PPKM, slowly we slowly misqueen ...")</f>
        <v>PPKM, slowly we slowly misqueen ...</v>
      </c>
    </row>
    <row r="8771" ht="15.75" customHeight="1">
      <c r="A8771" s="2">
        <v>8776.0</v>
      </c>
      <c r="B8771" s="5" t="s">
        <v>16008</v>
      </c>
      <c r="C8771" s="6">
        <v>3.0</v>
      </c>
      <c r="D8771" s="9" t="s">
        <v>16009</v>
      </c>
      <c r="E8771" s="8" t="str">
        <f>IFERROR(__xludf.DUMMYFUNCTION("googletranslate(D8771,""id"",""en"")"),"Good morning, you can always be healthy and fully happy")</f>
        <v>Good morning, you can always be healthy and fully happy</v>
      </c>
    </row>
    <row r="8772" ht="15.75" customHeight="1">
      <c r="A8772" s="2">
        <v>8777.0</v>
      </c>
      <c r="B8772" s="5" t="s">
        <v>16010</v>
      </c>
      <c r="C8772" s="6">
        <v>2.0</v>
      </c>
      <c r="D8772" s="10" t="s">
        <v>16011</v>
      </c>
      <c r="E8772" s="8" t="str">
        <f>IFERROR(__xludf.DUMMYFUNCTION("googletranslate(D8772,""id"",""en"")"),"Cantiikk PPKM")</f>
        <v>Cantiikk PPKM</v>
      </c>
    </row>
    <row r="8773" ht="15.75" customHeight="1">
      <c r="A8773" s="2">
        <v>8778.0</v>
      </c>
      <c r="B8773" s="5" t="s">
        <v>16012</v>
      </c>
      <c r="C8773" s="6">
        <v>2.0</v>
      </c>
      <c r="D8773" s="9" t="s">
        <v>16013</v>
      </c>
      <c r="E8773" s="8" t="str">
        <f>IFERROR(__xludf.DUMMYFUNCTION("googletranslate(D8773,""id"",""en"")"),"Catering subscriptions since moving to Cibubur called Catering Bu Yati, Well during this emergency PPKM he followed the Lockdown Dongs for alternatives to get via Instagram, Catering Mrs. Retno .. Only the first day yesterday, Alhamdulillah man w fit ... "&amp;"Alhamdulillah there is another mainstay")</f>
        <v>Catering subscriptions since moving to Cibubur called Catering Bu Yati, Well during this emergency PPKM he followed the Lockdown Dongs for alternatives to get via Instagram, Catering Mrs. Retno .. Only the first day yesterday, Alhamdulillah man w fit ... Alhamdulillah there is another mainstay</v>
      </c>
    </row>
    <row r="8774" ht="15.75" customHeight="1">
      <c r="A8774" s="2">
        <v>8779.0</v>
      </c>
      <c r="B8774" s="5" t="s">
        <v>16014</v>
      </c>
      <c r="C8774" s="6">
        <v>2.0</v>
      </c>
      <c r="D8774" s="7" t="s">
        <v>16015</v>
      </c>
      <c r="E8774" s="8" t="str">
        <f>IFERROR(__xludf.DUMMYFUNCTION("googletranslate(D8774,""id"",""en"")"),"PPKM, Acceleration of the Enforcement of Khilafah Ala Min Hajin Nubuwwah")</f>
        <v>PPKM, Acceleration of the Enforcement of Khilafah Ala Min Hajin Nubuwwah</v>
      </c>
    </row>
    <row r="8775" ht="15.75" customHeight="1">
      <c r="A8775" s="2">
        <v>8780.0</v>
      </c>
      <c r="B8775" s="5" t="s">
        <v>16016</v>
      </c>
      <c r="C8775" s="6">
        <v>1.0</v>
      </c>
      <c r="D8775" s="9" t="s">
        <v>16017</v>
      </c>
      <c r="E8775" s="8" t="str">
        <f>IFERROR(__xludf.DUMMYFUNCTION("googletranslate(D8775,""id"",""en"")"),"Emergency PPKM, less ""I left the house. It can't hang out with et al, but the place for vaccine is Rame Ne RA makes sense, no more sosdistance wow")</f>
        <v>Emergency PPKM, less "I left the house. It can't hang out with et al, but the place for vaccine is Rame Ne RA makes sense, no more sosdistance wow</v>
      </c>
    </row>
    <row r="8776" ht="15.75" customHeight="1">
      <c r="A8776" s="2">
        <v>8781.0</v>
      </c>
      <c r="B8776" s="5" t="s">
        <v>16018</v>
      </c>
      <c r="C8776" s="6">
        <v>3.0</v>
      </c>
      <c r="D8776" s="7" t="s">
        <v>16019</v>
      </c>
      <c r="E8776" s="8" t="str">
        <f>IFERROR(__xludf.DUMMYFUNCTION("googletranslate(D8776,""id"",""en"")"),"No, LG PPKM because it's just sport on boarding")</f>
        <v>No, LG PPKM because it's just sport on boarding</v>
      </c>
    </row>
    <row r="8777" ht="15.75" customHeight="1">
      <c r="A8777" s="2">
        <v>8782.0</v>
      </c>
      <c r="B8777" s="5" t="s">
        <v>16020</v>
      </c>
      <c r="C8777" s="6">
        <v>1.0</v>
      </c>
      <c r="D8777" s="9" t="s">
        <v>16021</v>
      </c>
      <c r="E8777" s="8" t="str">
        <f>IFERROR(__xludf.DUMMYFUNCTION("googletranslate(D8777,""id"",""en"")"),"PPKM, but there is news of Chinese people who come to Indonesia. Uhuy. Rich last year. Ppkm can get gt kek news too. Become Suudzon")</f>
        <v>PPKM, but there is news of Chinese people who come to Indonesia. Uhuy. Rich last year. Ppkm can get gt kek news too. Become Suudzon</v>
      </c>
    </row>
    <row r="8778" ht="15.75" customHeight="1">
      <c r="A8778" s="2">
        <v>8783.0</v>
      </c>
      <c r="B8778" s="5" t="s">
        <v>16022</v>
      </c>
      <c r="C8778" s="6">
        <v>1.0</v>
      </c>
      <c r="D8778" s="9" t="s">
        <v>16023</v>
      </c>
      <c r="E8778" s="8" t="str">
        <f>IFERROR(__xludf.DUMMYFUNCTION("googletranslate(D8778,""id"",""en"")"),"In the midst of a surge in the case of Covid-19 in this country the government finally enacted PPKM but the government allowed foreign workers (TKA) from China to arrive at Sultan Hasanuddin International Airport, South Sulawesi, Saturday (3/7). Then the "&amp;"vidio was")</f>
        <v>In the midst of a surge in the case of Covid-19 in this country the government finally enacted PPKM but the government allowed foreign workers (TKA) from China to arrive at Sultan Hasanuddin International Airport, South Sulawesi, Saturday (3/7). Then the vidio was</v>
      </c>
    </row>
    <row r="8779" ht="15.75" customHeight="1">
      <c r="A8779" s="2">
        <v>8784.0</v>
      </c>
      <c r="B8779" s="5" t="s">
        <v>16024</v>
      </c>
      <c r="C8779" s="6">
        <v>3.0</v>
      </c>
      <c r="D8779" s="9" t="s">
        <v>16025</v>
      </c>
      <c r="E8779" s="8" t="str">
        <f>IFERROR(__xludf.DUMMYFUNCTION("googletranslate(D8779,""id"",""en"")"),"Remember this temans today to emergency ppkm don't leave the house if you don't urgent, you want to watch the brazil v peru, prepare a snack so it will be more exciting ......")</f>
        <v>Remember this temans today to emergency ppkm don't leave the house if you don't urgent, you want to watch the brazil v peru, prepare a snack so it will be more exciting ......</v>
      </c>
    </row>
    <row r="8780" ht="15.75" customHeight="1">
      <c r="A8780" s="2">
        <v>8785.0</v>
      </c>
      <c r="B8780" s="5" t="s">
        <v>16026</v>
      </c>
      <c r="C8780" s="6">
        <v>2.0</v>
      </c>
      <c r="D8780" s="7" t="s">
        <v>16027</v>
      </c>
      <c r="E8780" s="8" t="str">
        <f>IFERROR(__xludf.DUMMYFUNCTION("googletranslate(D8780,""id"",""en"")"),"PPKM Effect: When the attention of our attention disappeared")</f>
        <v>PPKM Effect: When the attention of our attention disappeared</v>
      </c>
    </row>
    <row r="8781" ht="15.75" customHeight="1">
      <c r="A8781" s="2">
        <v>8786.0</v>
      </c>
      <c r="B8781" s="5" t="s">
        <v>16028</v>
      </c>
      <c r="C8781" s="6">
        <v>2.0</v>
      </c>
      <c r="D8781" s="7" t="s">
        <v>16029</v>
      </c>
      <c r="E8781" s="8" t="str">
        <f>IFERROR(__xludf.DUMMYFUNCTION("googletranslate(D8781,""id"",""en"")"),"Deputy Chairperson of the Indonesian House of Representatives Commission III Ahmad Sahroni asked the police officers to take firm action against residents who deliberately broke through the road when implementing the implementation policy of restrictions "&amp;"on emergency community activities (PPKM).")</f>
        <v>Deputy Chairperson of the Indonesian House of Representatives Commission III Ahmad Sahroni asked the police officers to take firm action against residents who deliberately broke through the road when implementing the implementation policy of restrictions on emergency community activities (PPKM).</v>
      </c>
    </row>
    <row r="8782" ht="15.75" customHeight="1">
      <c r="A8782" s="2">
        <v>8787.0</v>
      </c>
      <c r="B8782" s="5" t="s">
        <v>16030</v>
      </c>
      <c r="C8782" s="6">
        <v>1.0</v>
      </c>
      <c r="D8782" s="7" t="s">
        <v>16031</v>
      </c>
      <c r="E8782" s="8" t="str">
        <f>IFERROR(__xludf.DUMMYFUNCTION("googletranslate(D8782,""id"",""en"")"),"Just kesono is difficult, getting ppkm")</f>
        <v>Just kesono is difficult, getting ppkm</v>
      </c>
    </row>
    <row r="8783" ht="15.75" customHeight="1">
      <c r="A8783" s="2">
        <v>8788.0</v>
      </c>
      <c r="B8783" s="5" t="s">
        <v>16032</v>
      </c>
      <c r="C8783" s="6">
        <v>1.0</v>
      </c>
      <c r="D8783" s="9" t="s">
        <v>16033</v>
      </c>
      <c r="E8783" s="8" t="str">
        <f>IFERROR(__xludf.DUMMYFUNCTION("googletranslate(D8783,""id"",""en"")"),"The reality is rich in life. Out of the house, hesitate to get a virus, it doesn't come out confused needs .. Blum again the end of the bill appears. Explode the head. Corona is not hit, there are depression. If you want an emergency PPKM, the government "&amp;"should be able to guarantee the needs of the community.")</f>
        <v>The reality is rich in life. Out of the house, hesitate to get a virus, it doesn't come out confused needs .. Blum again the end of the bill appears. Explode the head. Corona is not hit, there are depression. If you want an emergency PPKM, the government should be able to guarantee the needs of the community.</v>
      </c>
    </row>
    <row r="8784" ht="15.75" customHeight="1">
      <c r="A8784" s="2">
        <v>8789.0</v>
      </c>
      <c r="B8784" s="5" t="s">
        <v>16034</v>
      </c>
      <c r="C8784" s="6">
        <v>3.0</v>
      </c>
      <c r="D8784" s="7" t="s">
        <v>16035</v>
      </c>
      <c r="E8784" s="8" t="str">
        <f>IFERROR(__xludf.DUMMYFUNCTION("googletranslate(D8784,""id"",""en"")"),"The implementation of emergency PPKM for the Java and Bali regions must be obeyed by all the people, do not ngeyel ... please ... Don't ngeyel ...!")</f>
        <v>The implementation of emergency PPKM for the Java and Bali regions must be obeyed by all the people, do not ngeyel ... please ... Don't ngeyel ...!</v>
      </c>
    </row>
    <row r="8785" ht="15.75" customHeight="1">
      <c r="A8785" s="2">
        <v>8790.0</v>
      </c>
      <c r="B8785" s="5" t="s">
        <v>16036</v>
      </c>
      <c r="C8785" s="6">
        <v>1.0</v>
      </c>
      <c r="D8785" s="7" t="s">
        <v>16037</v>
      </c>
      <c r="E8785" s="8" t="str">
        <f>IFERROR(__xludf.DUMMYFUNCTION("googletranslate(D8785,""id"",""en"")"),"The people of starvation are not reported due to the impact of the PPKM which limits MRK to trade and work")</f>
        <v>The people of starvation are not reported due to the impact of the PPKM which limits MRK to trade and work</v>
      </c>
    </row>
    <row r="8786" ht="15.75" customHeight="1">
      <c r="A8786" s="2">
        <v>8791.0</v>
      </c>
      <c r="B8786" s="5" t="s">
        <v>16038</v>
      </c>
      <c r="C8786" s="6">
        <v>1.0</v>
      </c>
      <c r="D8786" s="7" t="s">
        <v>16039</v>
      </c>
      <c r="E8786" s="8" t="str">
        <f>IFERROR(__xludf.DUMMYFUNCTION("googletranslate(D8786,""id"",""en"")"),"Ppkm can also slowly slowly we are poor, it turns out huhu")</f>
        <v>Ppkm can also slowly slowly we are poor, it turns out huhu</v>
      </c>
    </row>
    <row r="8787" ht="15.75" customHeight="1">
      <c r="A8787" s="2">
        <v>8792.0</v>
      </c>
      <c r="B8787" s="5" t="s">
        <v>16040</v>
      </c>
      <c r="C8787" s="6">
        <v>1.0</v>
      </c>
      <c r="D8787" s="7" t="s">
        <v>16037</v>
      </c>
      <c r="E8787" s="8" t="str">
        <f>IFERROR(__xludf.DUMMYFUNCTION("googletranslate(D8787,""id"",""en"")"),"The people of starvation are not reported due to the impact of the PPKM which limits MRK to trade and work")</f>
        <v>The people of starvation are not reported due to the impact of the PPKM which limits MRK to trade and work</v>
      </c>
    </row>
    <row r="8788" ht="15.75" customHeight="1">
      <c r="A8788" s="2">
        <v>8793.0</v>
      </c>
      <c r="B8788" s="5" t="s">
        <v>16041</v>
      </c>
      <c r="C8788" s="6">
        <v>2.0</v>
      </c>
      <c r="D8788" s="7" t="s">
        <v>16042</v>
      </c>
      <c r="E8788" s="8" t="str">
        <f>IFERROR(__xludf.DUMMYFUNCTION("googletranslate(D8788,""id"",""en"")"),"Again ppkm bggak iso dolen")</f>
        <v>Again ppkm bggak iso dolen</v>
      </c>
    </row>
    <row r="8789" ht="15.75" customHeight="1">
      <c r="A8789" s="2">
        <v>8794.0</v>
      </c>
      <c r="B8789" s="5" t="s">
        <v>16043</v>
      </c>
      <c r="C8789" s="6">
        <v>1.0</v>
      </c>
      <c r="D8789" s="7" t="s">
        <v>16044</v>
      </c>
      <c r="E8789" s="8" t="str">
        <f>IFERROR(__xludf.DUMMYFUNCTION("googletranslate(D8789,""id"",""en"")"),"PPKM Emergency Threats as a source of new problems in this country.Apalagi if the community remains an object of error by the government's point of view.")</f>
        <v>PPKM Emergency Threats as a source of new problems in this country.Apalagi if the community remains an object of error by the government's point of view.</v>
      </c>
    </row>
    <row r="8790" ht="15.75" customHeight="1">
      <c r="A8790" s="2">
        <v>8795.0</v>
      </c>
      <c r="B8790" s="5" t="s">
        <v>16045</v>
      </c>
      <c r="C8790" s="6">
        <v>1.0</v>
      </c>
      <c r="D8790" s="7" t="s">
        <v>16046</v>
      </c>
      <c r="E8790" s="8" t="str">
        <f>IFERROR(__xludf.DUMMYFUNCTION("googletranslate(D8790,""id"",""en"")"),"PPKM (slowly we turn off) Let's be the same as we die")</f>
        <v>PPKM (slowly we turn off) Let's be the same as we die</v>
      </c>
    </row>
    <row r="8791" ht="15.75" customHeight="1">
      <c r="A8791" s="2">
        <v>8796.0</v>
      </c>
      <c r="B8791" s="5" t="s">
        <v>16047</v>
      </c>
      <c r="C8791" s="6">
        <v>3.0</v>
      </c>
      <c r="D8791" s="9" t="s">
        <v>16048</v>
      </c>
      <c r="E8791" s="8" t="str">
        <f>IFERROR(__xludf.DUMMYFUNCTION("googletranslate(D8791,""id"",""en"")"),"Sir for the eating program for families who have difficulty eating PPKM. Set every RW or mosque or other. God willing, it can help our SDR2X from hunger. No lesson is starving, the food is abundant from Muslims throughout Indonesia")</f>
        <v>Sir for the eating program for families who have difficulty eating PPKM. Set every RW or mosque or other. God willing, it can help our SDR2X from hunger. No lesson is starving, the food is abundant from Muslims throughout Indonesia</v>
      </c>
    </row>
    <row r="8792" ht="15.75" customHeight="1">
      <c r="A8792" s="2">
        <v>8797.0</v>
      </c>
      <c r="B8792" s="5" t="s">
        <v>16049</v>
      </c>
      <c r="C8792" s="6">
        <v>2.0</v>
      </c>
      <c r="D8792" s="7" t="s">
        <v>16050</v>
      </c>
      <c r="E8792" s="8" t="str">
        <f>IFERROR(__xludf.DUMMYFUNCTION("googletranslate(D8792,""id"",""en"")"),"Semester holidays but PPKM")</f>
        <v>Semester holidays but PPKM</v>
      </c>
    </row>
    <row r="8793" ht="15.75" customHeight="1">
      <c r="A8793" s="2">
        <v>8798.0</v>
      </c>
      <c r="B8793" s="5" t="s">
        <v>16051</v>
      </c>
      <c r="C8793" s="6">
        <v>1.0</v>
      </c>
      <c r="D8793" s="9" t="s">
        <v>16052</v>
      </c>
      <c r="E8793" s="8" t="str">
        <f>IFERROR(__xludf.DUMMYFUNCTION("googletranslate(D8793,""id"",""en"")"),"Very excessive, arrogant ... if you can't sell it, it is given the cost of living during the PPKM ... just dealt with the country's obligations")</f>
        <v>Very excessive, arrogant ... if you can't sell it, it is given the cost of living during the PPKM ... just dealt with the country's obligations</v>
      </c>
    </row>
    <row r="8794" ht="15.75" customHeight="1">
      <c r="A8794" s="2">
        <v>8799.0</v>
      </c>
      <c r="B8794" s="5" t="s">
        <v>16053</v>
      </c>
      <c r="C8794" s="6">
        <v>1.0</v>
      </c>
      <c r="D8794" s="9" t="s">
        <v>16054</v>
      </c>
      <c r="E8794" s="8" t="str">
        <f>IFERROR(__xludf.DUMMYFUNCTION("googletranslate(D8794,""id"",""en"")"),"Yes, the turn of the Hajj funds would like to be audited, the regime immediately made the PPKM red zone black zone covid variant of the new conscious woy aware")</f>
        <v>Yes, the turn of the Hajj funds would like to be audited, the regime immediately made the PPKM red zone black zone covid variant of the new conscious woy aware</v>
      </c>
    </row>
    <row r="8795" ht="15.75" customHeight="1">
      <c r="A8795" s="2">
        <v>8800.0</v>
      </c>
      <c r="B8795" s="5" t="s">
        <v>16055</v>
      </c>
      <c r="C8795" s="6">
        <v>1.0</v>
      </c>
      <c r="D8795" s="7" t="s">
        <v>16056</v>
      </c>
      <c r="E8795" s="8" t="str">
        <f>IFERROR(__xludf.DUMMYFUNCTION("googletranslate(D8795,""id"",""en"")"),"Bucket ... we were told at Ajeee's house. PPKM is whatever. Laaahh Tuuu in Soetta Bejibun on the Convoy of the Independence Parade Noh of the Org2 from Which Country Tau.ancooorrrr")</f>
        <v>Bucket ... we were told at Ajeee's house. PPKM is whatever. Laaahh Tuuu in Soetta Bejibun on the Convoy of the Independence Parade Noh of the Org2 from Which Country Tau.ancooorrrr</v>
      </c>
    </row>
    <row r="8796" ht="15.75" customHeight="1">
      <c r="A8796" s="2">
        <v>8801.0</v>
      </c>
      <c r="B8796" s="5" t="s">
        <v>16057</v>
      </c>
      <c r="C8796" s="6">
        <v>2.0</v>
      </c>
      <c r="D8796" s="9" t="s">
        <v>16058</v>
      </c>
      <c r="E8796" s="8" t="str">
        <f>IFERROR(__xludf.DUMMYFUNCTION("googletranslate(D8796,""id"",""en"")"),"Kan Period PPKM Gini HRUS Deep Out of Home")</f>
        <v>Kan Period PPKM Gini HRUS Deep Out of Home</v>
      </c>
    </row>
    <row r="8797" ht="15.75" customHeight="1">
      <c r="A8797" s="2">
        <v>8802.0</v>
      </c>
      <c r="B8797" s="5" t="s">
        <v>16059</v>
      </c>
      <c r="C8797" s="6">
        <v>1.0</v>
      </c>
      <c r="D8797" s="7" t="s">
        <v>16060</v>
      </c>
      <c r="E8797" s="8" t="str">
        <f>IFERROR(__xludf.DUMMYFUNCTION("googletranslate(D8797,""id"",""en"")"),"Ppkm ... trader officer again mumet")</f>
        <v>Ppkm ... trader officer again mumet</v>
      </c>
    </row>
    <row r="8798" ht="15.75" customHeight="1">
      <c r="A8798" s="2">
        <v>8803.0</v>
      </c>
      <c r="B8798" s="5" t="s">
        <v>16061</v>
      </c>
      <c r="C8798" s="6">
        <v>1.0</v>
      </c>
      <c r="D8798" s="7" t="s">
        <v>16062</v>
      </c>
      <c r="E8798" s="8" t="str">
        <f>IFERROR(__xludf.DUMMYFUNCTION("googletranslate(D8798,""id"",""en"")"),"How Covid wants to go crazy if there are still exceptions in emergency ppkm. There is a powerful power of this country until the class of the president and the DPR alone is helpless. Even to protest just.")</f>
        <v>How Covid wants to go crazy if there are still exceptions in emergency ppkm. There is a powerful power of this country until the class of the president and the DPR alone is helpless. Even to protest just.</v>
      </c>
    </row>
    <row r="8799" ht="15.75" customHeight="1">
      <c r="A8799" s="2">
        <v>8804.0</v>
      </c>
      <c r="B8799" s="5" t="s">
        <v>16063</v>
      </c>
      <c r="C8799" s="6">
        <v>1.0</v>
      </c>
      <c r="D8799" s="7" t="s">
        <v>16064</v>
      </c>
      <c r="E8799" s="8" t="str">
        <f>IFERROR(__xludf.DUMMYFUNCTION("googletranslate(D8799,""id"",""en"")"),"Sidak, acts, firm and measurable to large companies that violate PPKM, no matter whoever the owner is. The same difference that has taken action against a small helpless. He said humanist but warteg food was transported. Ambush")</f>
        <v>Sidak, acts, firm and measurable to large companies that violate PPKM, no matter whoever the owner is. The same difference that has taken action against a small helpless. He said humanist but warteg food was transported. Ambush</v>
      </c>
    </row>
    <row r="8800" ht="15.75" customHeight="1">
      <c r="A8800" s="2">
        <v>8805.0</v>
      </c>
      <c r="B8800" s="5" t="s">
        <v>16065</v>
      </c>
      <c r="C8800" s="6">
        <v>2.0</v>
      </c>
      <c r="D8800" s="7" t="s">
        <v>16066</v>
      </c>
      <c r="E8800" s="8" t="str">
        <f>IFERROR(__xludf.DUMMYFUNCTION("googletranslate(D8800,""id"",""en"")"),"And hopefully sir will dare to crack down on the officials who are at the weakened little people who argue the emergency PPKM enforcement in his area")</f>
        <v>And hopefully sir will dare to crack down on the officials who are at the weakened little people who argue the emergency PPKM enforcement in his area</v>
      </c>
    </row>
    <row r="8801" ht="15.75" customHeight="1">
      <c r="A8801" s="2">
        <v>8806.0</v>
      </c>
      <c r="B8801" s="5" t="s">
        <v>16067</v>
      </c>
      <c r="C8801" s="6">
        <v>1.0</v>
      </c>
      <c r="D8801" s="9" t="s">
        <v>16068</v>
      </c>
      <c r="E8801" s="8" t="str">
        <f>IFERROR(__xludf.DUMMYFUNCTION("googletranslate(D8801,""id"",""en"")"),"It's not difficult to read if the small people are still holding their wares at the emergency PPKM ...")</f>
        <v>It's not difficult to read if the small people are still holding their wares at the emergency PPKM ...</v>
      </c>
    </row>
    <row r="8802" ht="15.75" customHeight="1">
      <c r="A8802" s="2">
        <v>8807.0</v>
      </c>
      <c r="B8802" s="5" t="s">
        <v>16069</v>
      </c>
      <c r="C8802" s="6">
        <v>3.0</v>
      </c>
      <c r="D8802" s="9" t="s">
        <v>16048</v>
      </c>
      <c r="E8802" s="8" t="str">
        <f>IFERROR(__xludf.DUMMYFUNCTION("googletranslate(D8802,""id"",""en"")"),"Sir for the eating program for families who have difficulty eating PPKM. Set every RW or mosque or other. God willing, it can help our SDR2X from hunger. No lesson is starving, the food is abundant from Muslims throughout Indonesia")</f>
        <v>Sir for the eating program for families who have difficulty eating PPKM. Set every RW or mosque or other. God willing, it can help our SDR2X from hunger. No lesson is starving, the food is abundant from Muslims throughout Indonesia</v>
      </c>
    </row>
    <row r="8803" ht="15.75" customHeight="1">
      <c r="A8803" s="2">
        <v>8808.0</v>
      </c>
      <c r="B8803" s="5" t="s">
        <v>16070</v>
      </c>
      <c r="C8803" s="6">
        <v>2.0</v>
      </c>
      <c r="D8803" s="7" t="s">
        <v>16071</v>
      </c>
      <c r="E8803" s="8" t="str">
        <f>IFERROR(__xludf.DUMMYFUNCTION("googletranslate(D8803,""id"",""en"")"),"PPKMPElanPelanKokkasukkasukkasukkasukkasukkun?")</f>
        <v>PPKMPElanPelanKokkasukkasukkasukkasukkasukkun?</v>
      </c>
    </row>
    <row r="8804" ht="15.75" customHeight="1">
      <c r="A8804" s="2">
        <v>8809.0</v>
      </c>
      <c r="B8804" s="5" t="s">
        <v>16072</v>
      </c>
      <c r="C8804" s="6">
        <v>2.0</v>
      </c>
      <c r="D8804" s="9" t="s">
        <v>16073</v>
      </c>
      <c r="E8804" s="8" t="str">
        <f>IFERROR(__xludf.DUMMYFUNCTION("googletranslate(D8804,""id"",""en"")"),"Already ppkm, mathematics etc. mbul klo d mks")</f>
        <v>Already ppkm, mathematics etc. mbul klo d mks</v>
      </c>
    </row>
    <row r="8805" ht="15.75" customHeight="1">
      <c r="A8805" s="2">
        <v>8810.0</v>
      </c>
      <c r="B8805" s="5" t="s">
        <v>16074</v>
      </c>
      <c r="C8805" s="6">
        <v>2.0</v>
      </c>
      <c r="D8805" s="9" t="s">
        <v>16075</v>
      </c>
      <c r="E8805" s="8" t="str">
        <f>IFERROR(__xludf.DUMMYFUNCTION("googletranslate(D8805,""id"",""en"")"),"And the road because of the lg ppkm jd gabole the road first")</f>
        <v>And the road because of the lg ppkm jd gabole the road first</v>
      </c>
    </row>
    <row r="8806" ht="15.75" customHeight="1">
      <c r="A8806" s="2">
        <v>8811.0</v>
      </c>
      <c r="B8806" s="5" t="s">
        <v>16076</v>
      </c>
      <c r="C8806" s="6">
        <v>1.0</v>
      </c>
      <c r="D8806" s="7" t="s">
        <v>16077</v>
      </c>
      <c r="E8806" s="8" t="str">
        <f>IFERROR(__xludf.DUMMYFUNCTION("googletranslate(D8806,""id"",""en"")"),"PPKM is to save the people or miser the people?")</f>
        <v>PPKM is to save the people or miser the people?</v>
      </c>
    </row>
    <row r="8807" ht="15.75" customHeight="1">
      <c r="A8807" s="2">
        <v>8812.0</v>
      </c>
      <c r="B8807" s="5" t="s">
        <v>16078</v>
      </c>
      <c r="C8807" s="6">
        <v>2.0</v>
      </c>
      <c r="D8807" s="9" t="s">
        <v>16078</v>
      </c>
      <c r="E8807" s="8" t="str">
        <f>IFERROR(__xludf.DUMMYFUNCTION("googletranslate(D8807,""id"",""en"")"),"ppkm = pen hug km")</f>
        <v>ppkm = pen hug km</v>
      </c>
    </row>
    <row r="8808" ht="15.75" customHeight="1">
      <c r="A8808" s="2">
        <v>8813.0</v>
      </c>
      <c r="B8808" s="5" t="s">
        <v>16079</v>
      </c>
      <c r="C8808" s="6">
        <v>2.0</v>
      </c>
      <c r="D8808" s="10" t="s">
        <v>16080</v>
      </c>
      <c r="E8808" s="8" t="str">
        <f>IFERROR(__xludf.DUMMYFUNCTION("googletranslate(D8808,""id"",""en"")"),"PPKM becomes rising")</f>
        <v>PPKM becomes rising</v>
      </c>
    </row>
    <row r="8809" ht="15.75" customHeight="1">
      <c r="A8809" s="2">
        <v>8815.0</v>
      </c>
      <c r="B8809" s="5" t="s">
        <v>16081</v>
      </c>
      <c r="C8809" s="6">
        <v>2.0</v>
      </c>
      <c r="D8809" s="7" t="s">
        <v>16082</v>
      </c>
      <c r="E8809" s="8" t="str">
        <f>IFERROR(__xludf.DUMMYFUNCTION("googletranslate(D8809,""id"",""en"")"),"Ppkmpengenpacarankamunyamenolak")</f>
        <v>Ppkmpengenpacarankamunyamenolak</v>
      </c>
    </row>
    <row r="8810" ht="15.75" customHeight="1">
      <c r="A8810" s="2">
        <v>8816.0</v>
      </c>
      <c r="B8810" s="5" t="s">
        <v>16083</v>
      </c>
      <c r="C8810" s="6">
        <v>2.0</v>
      </c>
      <c r="D8810" s="9" t="s">
        <v>16084</v>
      </c>
      <c r="E8810" s="8" t="str">
        <f>IFERROR(__xludf.DUMMYFUNCTION("googletranslate(D8810,""id"",""en"")"),"Yes, Indonesian people, could it not always be with cellphones everywhere, even though it stretches the distance between us ... so the coup, it doesn't update info about PPKM. Yes the officer accompanied patiently, love info, love enlighten, so it becomes"&amp;" the enlightener ...")</f>
        <v>Yes, Indonesian people, could it not always be with cellphones everywhere, even though it stretches the distance between us ... so the coup, it doesn't update info about PPKM. Yes the officer accompanied patiently, love info, love enlighten, so it becomes the enlightener ...</v>
      </c>
    </row>
    <row r="8811" ht="15.75" customHeight="1">
      <c r="A8811" s="2">
        <v>8817.0</v>
      </c>
      <c r="B8811" s="5" t="s">
        <v>16085</v>
      </c>
      <c r="C8811" s="6">
        <v>1.0</v>
      </c>
      <c r="D8811" s="7" t="s">
        <v>16086</v>
      </c>
      <c r="E8811" s="8" t="str">
        <f>IFERROR(__xludf.DUMMYFUNCTION("googletranslate(D8811,""id"",""en"")"),"PPKmpengen is breaking down")</f>
        <v>PPKmpengen is breaking down</v>
      </c>
    </row>
    <row r="8812" ht="15.75" customHeight="1">
      <c r="A8812" s="2">
        <v>8818.0</v>
      </c>
      <c r="B8812" s="5" t="s">
        <v>16087</v>
      </c>
      <c r="C8812" s="6">
        <v>2.0</v>
      </c>
      <c r="D8812" s="7" t="s">
        <v>16088</v>
      </c>
      <c r="E8812" s="8" t="str">
        <f>IFERROR(__xludf.DUMMYFUNCTION("googletranslate(D8812,""id"",""en"")"),"Morning Sis, in connection with an emergency PPKM implementation as of July - July route D: TMII - Pancoran operates starts at: 00 -: 00 WIB. Thank you ^ ZL")</f>
        <v>Morning Sis, in connection with an emergency PPKM implementation as of July - July route D: TMII - Pancoran operates starts at: 00 -: 00 WIB. Thank you ^ ZL</v>
      </c>
    </row>
    <row r="8813" ht="15.75" customHeight="1">
      <c r="A8813" s="2">
        <v>8819.0</v>
      </c>
      <c r="B8813" s="5" t="s">
        <v>16089</v>
      </c>
      <c r="C8813" s="6">
        <v>2.0</v>
      </c>
      <c r="D8813" s="7" t="s">
        <v>16090</v>
      </c>
      <c r="E8813" s="8" t="str">
        <f>IFERROR(__xludf.DUMMYFUNCTION("googletranslate(D8813,""id"",""en"")"),"Effect of PPKM Jawa - Bali Cabe Java Merintau to Padang")</f>
        <v>Effect of PPKM Jawa - Bali Cabe Java Merintau to Padang</v>
      </c>
    </row>
    <row r="8814" ht="15.75" customHeight="1">
      <c r="A8814" s="2">
        <v>8820.0</v>
      </c>
      <c r="B8814" s="5" t="s">
        <v>16091</v>
      </c>
      <c r="C8814" s="6">
        <v>1.0</v>
      </c>
      <c r="D8814" s="9" t="s">
        <v>16092</v>
      </c>
      <c r="E8814" s="8" t="str">
        <f>IFERROR(__xludf.DUMMYFUNCTION("googletranslate(D8814,""id"",""en"")"),"All Effects of PPKM: Plunga Plongo Koyok Mukidi")</f>
        <v>All Effects of PPKM: Plunga Plongo Koyok Mukidi</v>
      </c>
    </row>
    <row r="8815" ht="15.75" customHeight="1">
      <c r="A8815" s="2">
        <v>8821.0</v>
      </c>
      <c r="B8815" s="5" t="s">
        <v>16093</v>
      </c>
      <c r="C8815" s="6">
        <v>2.0</v>
      </c>
      <c r="D8815" s="7" t="s">
        <v>16094</v>
      </c>
      <c r="E8815" s="8" t="str">
        <f>IFERROR(__xludf.DUMMYFUNCTION("googletranslate(D8815,""id"",""en"")"),"My PPKPerakan Majesty disappears")</f>
        <v>My PPKPerakan Majesty disappears</v>
      </c>
    </row>
    <row r="8816" ht="15.75" customHeight="1">
      <c r="A8816" s="2">
        <v>8822.0</v>
      </c>
      <c r="B8816" s="5" t="s">
        <v>16095</v>
      </c>
      <c r="C8816" s="6">
        <v>2.0</v>
      </c>
      <c r="D8816" s="9" t="s">
        <v>16096</v>
      </c>
      <c r="E8816" s="8" t="str">
        <f>IFERROR(__xludf.DUMMYFUNCTION("googletranslate(D8816,""id"",""en"")"),"That's if the PPKM doesn't have a credit package, it doesn't feel at home, can't bales tweet")</f>
        <v>That's if the PPKM doesn't have a credit package, it doesn't feel at home, can't bales tweet</v>
      </c>
    </row>
    <row r="8817" ht="15.75" customHeight="1">
      <c r="A8817" s="2">
        <v>8823.0</v>
      </c>
      <c r="B8817" s="5" t="s">
        <v>16097</v>
      </c>
      <c r="C8817" s="6">
        <v>1.0</v>
      </c>
      <c r="D8817" s="9" t="s">
        <v>16098</v>
      </c>
      <c r="E8817" s="8" t="str">
        <f>IFERROR(__xludf.DUMMYFUNCTION("googletranslate(D8817,""id"",""en"")"),"It seems like I deliberately wanted to attack the government with the contents of PPKM ... strangely the pandemic jumped the government jg. In fact ..")</f>
        <v>It seems like I deliberately wanted to attack the government with the contents of PPKM ... strangely the pandemic jumped the government jg. In fact ..</v>
      </c>
    </row>
    <row r="8818" ht="15.75" customHeight="1">
      <c r="A8818" s="2">
        <v>8824.0</v>
      </c>
      <c r="B8818" s="5" t="s">
        <v>16099</v>
      </c>
      <c r="C8818" s="6">
        <v>1.0</v>
      </c>
      <c r="D8818" s="9" t="s">
        <v>16100</v>
      </c>
      <c r="E8818" s="8" t="str">
        <f>IFERROR(__xludf.DUMMYFUNCTION("googletranslate(D8818,""id"",""en"")"),"PPKM: Loose to the TKA, strictly to the residents of the authorities of the ruler are irony for their own people")</f>
        <v>PPKM: Loose to the TKA, strictly to the residents of the authorities of the ruler are irony for their own people</v>
      </c>
    </row>
    <row r="8819" ht="15.75" customHeight="1">
      <c r="A8819" s="2">
        <v>8825.0</v>
      </c>
      <c r="B8819" s="5" t="s">
        <v>16101</v>
      </c>
      <c r="C8819" s="6">
        <v>1.0</v>
      </c>
      <c r="D8819" s="7" t="s">
        <v>16102</v>
      </c>
      <c r="E8819" s="8" t="str">
        <f>IFERROR(__xludf.DUMMYFUNCTION("googletranslate(D8819,""id"",""en"")"),"The bazzer is likely that the PKI children who have gedek, they are average poor so they are just to find food due to being difficult to get jobs, there are JT jobs, they are taken by Chinese commons who continue to enter without stopping even though the "&amp;"emergency PPKM applies to the people")</f>
        <v>The bazzer is likely that the PKI children who have gedek, they are average poor so they are just to find food due to being difficult to get jobs, there are JT jobs, they are taken by Chinese commons who continue to enter without stopping even though the emergency PPKM applies to the people</v>
      </c>
    </row>
    <row r="8820" ht="15.75" customHeight="1">
      <c r="A8820" s="2">
        <v>8826.0</v>
      </c>
      <c r="B8820" s="5" t="s">
        <v>16103</v>
      </c>
      <c r="C8820" s="6">
        <v>1.0</v>
      </c>
      <c r="D8820" s="7" t="s">
        <v>16104</v>
      </c>
      <c r="E8820" s="8" t="str">
        <f>IFERROR(__xludf.DUMMYFUNCTION("googletranslate(D8820,""id"",""en"")"),"Ppkmpak Pak Kowe retreated .... ooo ...")</f>
        <v>Ppkmpak Pak Kowe retreated .... ooo ...</v>
      </c>
    </row>
    <row r="8821" ht="15.75" customHeight="1">
      <c r="A8821" s="2">
        <v>8828.0</v>
      </c>
      <c r="B8821" s="5" t="s">
        <v>16105</v>
      </c>
      <c r="C8821" s="6">
        <v>2.0</v>
      </c>
      <c r="D8821" s="9" t="s">
        <v>16106</v>
      </c>
      <c r="E8821" s="8" t="str">
        <f>IFERROR(__xludf.DUMMYFUNCTION("googletranslate(D8821,""id"",""en"")"),": // The problem of subsidies or stimulus of the industrial sector is not clarified and causes them to be desperate to not comply with emergency, surely the workers who will become victims, both economically and health.")</f>
        <v>: // The problem of subsidies or stimulus of the industrial sector is not clarified and causes them to be desperate to not comply with emergency, surely the workers who will become victims, both economically and health.</v>
      </c>
    </row>
    <row r="8822" ht="15.75" customHeight="1">
      <c r="A8822" s="2">
        <v>8829.0</v>
      </c>
      <c r="B8822" s="5" t="s">
        <v>1552</v>
      </c>
      <c r="C8822" s="6">
        <v>3.0</v>
      </c>
      <c r="D8822" s="7" t="s">
        <v>1553</v>
      </c>
      <c r="E8822" s="8" t="str">
        <f>IFERROR(__xludf.DUMMYFUNCTION("googletranslate(D8822,""id"",""en"")"),"Emergency PPKM success in pressing the speed of the spread of Covid-19")</f>
        <v>Emergency PPKM success in pressing the speed of the spread of Covid-19</v>
      </c>
    </row>
    <row r="8823" ht="15.75" customHeight="1">
      <c r="A8823" s="2">
        <v>8834.0</v>
      </c>
      <c r="B8823" s="5" t="s">
        <v>16107</v>
      </c>
      <c r="C8823" s="6">
        <v>2.0</v>
      </c>
      <c r="D8823" s="7" t="s">
        <v>16108</v>
      </c>
      <c r="E8823" s="8" t="str">
        <f>IFERROR(__xludf.DUMMYFUNCTION("googletranslate(D8823,""id"",""en"")"),"For entrepreneurs, if there is a desperate business place to violate the provisions during the emergency PPKM, the sanctions for revocation of business licenses can be dropped. So, emergency, yeah")</f>
        <v>For entrepreneurs, if there is a desperate business place to violate the provisions during the emergency PPKM, the sanctions for revocation of business licenses can be dropped. So, emergency, yeah</v>
      </c>
    </row>
    <row r="8824" ht="15.75" customHeight="1">
      <c r="A8824" s="2">
        <v>8837.0</v>
      </c>
      <c r="B8824" s="5" t="s">
        <v>16109</v>
      </c>
      <c r="C8824" s="6">
        <v>2.0</v>
      </c>
      <c r="D8824" s="7" t="s">
        <v>16110</v>
      </c>
      <c r="E8824" s="8" t="str">
        <f>IFERROR(__xludf.DUMMYFUNCTION("googletranslate(D8824,""id"",""en"")"),"Seen for several days of emergency PPKM implementation, the community mobility is still high. What is it on unconscious, or not afraid of Corona ?? Emergency, so that this pandemic can be overcome.")</f>
        <v>Seen for several days of emergency PPKM implementation, the community mobility is still high. What is it on unconscious, or not afraid of Corona ?? Emergency, so that this pandemic can be overcome.</v>
      </c>
    </row>
    <row r="8825" ht="15.75" customHeight="1">
      <c r="A8825" s="2">
        <v>8841.0</v>
      </c>
      <c r="B8825" s="5" t="s">
        <v>16111</v>
      </c>
      <c r="C8825" s="6">
        <v>3.0</v>
      </c>
      <c r="D8825" s="7" t="s">
        <v>16112</v>
      </c>
      <c r="E8825" s="8" t="str">
        <f>IFERROR(__xludf.DUMMYFUNCTION("googletranslate(D8825,""id"",""en"")"),"Violations of EconomicPPKM are encountered in a number of regions. Even though the implementation of thePPKM aims to save the community. So ...")</f>
        <v>Violations of EconomicPPKM are encountered in a number of regions. Even though the implementation of thePPKM aims to save the community. So ...</v>
      </c>
    </row>
    <row r="8826" ht="15.75" customHeight="1">
      <c r="A8826" s="2">
        <v>8845.0</v>
      </c>
      <c r="B8826" s="5" t="s">
        <v>16113</v>
      </c>
      <c r="C8826" s="6">
        <v>1.0</v>
      </c>
      <c r="D8826" s="7" t="s">
        <v>16114</v>
      </c>
      <c r="E8826" s="8" t="str">
        <f>IFERROR(__xludf.DUMMYFUNCTION("googletranslate(D8826,""id"",""en"")"),"Again felt like this, so tired at home continued. When it cries cmn because of seeing news that doesn't obey PPKM")</f>
        <v>Again felt like this, so tired at home continued. When it cries cmn because of seeing news that doesn't obey PPKM</v>
      </c>
    </row>
    <row r="8827" ht="15.75" customHeight="1">
      <c r="A8827" s="2">
        <v>8846.0</v>
      </c>
      <c r="B8827" s="5" t="s">
        <v>16115</v>
      </c>
      <c r="C8827" s="6">
        <v>1.0</v>
      </c>
      <c r="D8827" s="7" t="s">
        <v>16115</v>
      </c>
      <c r="E8827" s="8" t="str">
        <f>IFERROR(__xludf.DUMMYFUNCTION("googletranslate(D8827,""id"",""en"")"),"Why is the Vice President who is assigned to be the chairman of the CPKM coordinator? If the one in the Minister of Menstri, it will be difficult to coordinate because there is a secret ego. Menstri ruled another minister of coordination was less effectiv"&amp;"e. So the vice president should be given the role of the 19th covid handling.")</f>
        <v>Why is the Vice President who is assigned to be the chairman of the CPKM coordinator? If the one in the Minister of Menstri, it will be difficult to coordinate because there is a secret ego. Menstri ruled another minister of coordination was less effective. So the vice president should be given the role of the 19th covid handling.</v>
      </c>
    </row>
    <row r="8828" ht="15.75" customHeight="1">
      <c r="A8828" s="2">
        <v>8847.0</v>
      </c>
      <c r="B8828" s="5" t="s">
        <v>16116</v>
      </c>
      <c r="C8828" s="6">
        <v>2.0</v>
      </c>
      <c r="D8828" s="7" t="s">
        <v>16117</v>
      </c>
      <c r="E8828" s="8" t="str">
        <f>IFERROR(__xludf.DUMMYFUNCTION("googletranslate(D8828,""id"",""en"")"),"It's been a PPKM day, it still survives at home")</f>
        <v>It's been a PPKM day, it still survives at home</v>
      </c>
    </row>
    <row r="8829" ht="15.75" customHeight="1">
      <c r="A8829" s="2">
        <v>8848.0</v>
      </c>
      <c r="B8829" s="5" t="s">
        <v>16118</v>
      </c>
      <c r="C8829" s="6">
        <v>3.0</v>
      </c>
      <c r="D8829" s="7" t="s">
        <v>16119</v>
      </c>
      <c r="E8829" s="8" t="str">
        <f>IFERROR(__xludf.DUMMYFUNCTION("googletranslate(D8829,""id"",""en"")"),"Support Papua Some Hosts Implementation of PON XX Papua PPKM Overcome Covid")</f>
        <v>Support Papua Some Hosts Implementation of PON XX Papua PPKM Overcome Covid</v>
      </c>
    </row>
    <row r="8830" ht="15.75" customHeight="1">
      <c r="A8830" s="2">
        <v>8849.0</v>
      </c>
      <c r="B8830" s="5" t="s">
        <v>16120</v>
      </c>
      <c r="C8830" s="6">
        <v>2.0</v>
      </c>
      <c r="D8830" s="7" t="s">
        <v>16121</v>
      </c>
      <c r="E8830" s="8" t="str">
        <f>IFERROR(__xludf.DUMMYFUNCTION("googletranslate(D8830,""id"",""en"")"),"Starting with Bismillah, let's end with Alhamdulillah. Let's hope to still remember, if I want to wait, I wait for the week, it's okay, we can refreshed the dictator !!")</f>
        <v>Starting with Bismillah, let's end with Alhamdulillah. Let's hope to still remember, if I want to wait, I wait for the week, it's okay, we can refreshed the dictator !!</v>
      </c>
    </row>
    <row r="8831" ht="15.75" customHeight="1">
      <c r="A8831" s="2">
        <v>8850.0</v>
      </c>
      <c r="B8831" s="5" t="s">
        <v>16122</v>
      </c>
      <c r="C8831" s="6">
        <v>2.0</v>
      </c>
      <c r="D8831" s="9" t="s">
        <v>16123</v>
      </c>
      <c r="E8831" s="8" t="str">
        <f>IFERROR(__xludf.DUMMYFUNCTION("googletranslate(D8831,""id"",""en"")"),"Fixxxx I am watching vs. but why is the ppkm right now?")</f>
        <v>Fixxxx I am watching vs. but why is the ppkm right now?</v>
      </c>
    </row>
    <row r="8832" ht="15.75" customHeight="1">
      <c r="A8832" s="2">
        <v>8851.0</v>
      </c>
      <c r="B8832" s="5" t="s">
        <v>16124</v>
      </c>
      <c r="C8832" s="6">
        <v>1.0</v>
      </c>
      <c r="D8832" s="7" t="s">
        <v>16125</v>
      </c>
      <c r="E8832" s="8" t="str">
        <f>IFERROR(__xludf.DUMMYFUNCTION("googletranslate(D8832,""id"",""en"")"),"PPKM = Mr. President When to Retreat ... Reverse Woiii ... Damaging the State.")</f>
        <v>PPKM = Mr. President When to Retreat ... Reverse Woiii ... Damaging the State.</v>
      </c>
    </row>
    <row r="8833" ht="15.75" customHeight="1">
      <c r="A8833" s="2">
        <v>8852.0</v>
      </c>
      <c r="B8833" s="5" t="s">
        <v>16126</v>
      </c>
      <c r="C8833" s="6">
        <v>1.0</v>
      </c>
      <c r="D8833" s="7" t="s">
        <v>16127</v>
      </c>
      <c r="E8833" s="8" t="str">
        <f>IFERROR(__xludf.DUMMYFUNCTION("googletranslate(D8833,""id"",""en"")"),"What is the heart of the ""Meal-Meal"" event, the outlet is only JT.Padahal which sold can be hundreds of times the mother. Although not in the PPKM period, the crowd is more severe. This is not justice but .....")</f>
        <v>What is the heart of the "Meal-Meal" event, the outlet is only JT.Padahal which sold can be hundreds of times the mother. Although not in the PPKM period, the crowd is more severe. This is not justice but .....</v>
      </c>
    </row>
    <row r="8834" ht="15.75" customHeight="1">
      <c r="A8834" s="2">
        <v>8853.0</v>
      </c>
      <c r="B8834" s="5" t="s">
        <v>16128</v>
      </c>
      <c r="C8834" s="6">
        <v>1.0</v>
      </c>
      <c r="D8834" s="7" t="s">
        <v>16129</v>
      </c>
      <c r="E8834" s="8" t="str">
        <f>IFERROR(__xludf.DUMMYFUNCTION("googletranslate(D8834,""id"",""en"")"),"To the father dressed in white elegant people just need ""justice"". It's just that often there are regulatory policies popping up. Now PPKM but abai will be ""welfare"".")</f>
        <v>To the father dressed in white elegant people just need "justice". It's just that often there are regulatory policies popping up. Now PPKM but abai will be "welfare".</v>
      </c>
    </row>
    <row r="8835" ht="15.75" customHeight="1">
      <c r="A8835" s="2">
        <v>8854.0</v>
      </c>
      <c r="B8835" s="5" t="s">
        <v>16130</v>
      </c>
      <c r="C8835" s="6">
        <v>3.0</v>
      </c>
      <c r="D8835" s="7" t="s">
        <v>16131</v>
      </c>
      <c r="E8835" s="8" t="str">
        <f>IFERROR(__xludf.DUMMYFUNCTION("googletranslate(D8835,""id"",""en"")"),"Alhamdlillah. Can buy basic necessities in the past ppkm thank you min")</f>
        <v>Alhamdlillah. Can buy basic necessities in the past ppkm thank you min</v>
      </c>
    </row>
    <row r="8836" ht="15.75" customHeight="1">
      <c r="A8836" s="2">
        <v>8855.0</v>
      </c>
      <c r="B8836" s="5" t="s">
        <v>16132</v>
      </c>
      <c r="C8836" s="6">
        <v>2.0</v>
      </c>
      <c r="D8836" s="9" t="s">
        <v>16133</v>
      </c>
      <c r="E8836" s="8" t="str">
        <f>IFERROR(__xludf.DUMMYFUNCTION("googletranslate(D8836,""id"",""en"")"),"Morning Kawula Mataa! Try to tell DOONG LOVE LOVE, what is your version ?? CTH: PPKM = want to go home the emptnye of the exppkm version of my version ............")</f>
        <v>Morning Kawula Mataa! Try to tell DOONG LOVE LOVE, what is your version ?? CTH: PPKM = want to go home the emptnye of the exppkm version of my version ............</v>
      </c>
    </row>
    <row r="8837" ht="15.75" customHeight="1">
      <c r="A8837" s="2">
        <v>8856.0</v>
      </c>
      <c r="B8837" s="5" t="s">
        <v>16134</v>
      </c>
      <c r="C8837" s="6">
        <v>2.0</v>
      </c>
      <c r="D8837" s="7" t="s">
        <v>16135</v>
      </c>
      <c r="E8837" s="8" t="str">
        <f>IFERROR(__xludf.DUMMYFUNCTION("googletranslate(D8837,""id"",""en"")"),"I like PPKM Wihtouut M")</f>
        <v>I like PPKM Wihtouut M</v>
      </c>
    </row>
    <row r="8838" ht="15.75" customHeight="1">
      <c r="A8838" s="2">
        <v>8857.0</v>
      </c>
      <c r="B8838" s="5" t="s">
        <v>16136</v>
      </c>
      <c r="C8838" s="6">
        <v>2.0</v>
      </c>
      <c r="D8838" s="9" t="s">
        <v>16137</v>
      </c>
      <c r="E8838" s="8" t="str">
        <f>IFERROR(__xludf.DUMMYFUNCTION("googletranslate(D8838,""id"",""en"")"),"If it's not gass?")</f>
        <v>If it's not gass?</v>
      </c>
    </row>
    <row r="8839" ht="15.75" customHeight="1">
      <c r="A8839" s="2">
        <v>8858.0</v>
      </c>
      <c r="B8839" s="5" t="s">
        <v>16138</v>
      </c>
      <c r="C8839" s="6">
        <v>1.0</v>
      </c>
      <c r="D8839" s="7" t="s">
        <v>16139</v>
      </c>
      <c r="E8839" s="8" t="str">
        <f>IFERROR(__xludf.DUMMYFUNCTION("googletranslate(D8839,""id"",""en"")"),"Regulations are clearly not going home, still going home instead of raising the Meawan officer. Burned posts. Emergency PPKM told WFH% and essential wfh% still enter too. Opo karepe?")</f>
        <v>Regulations are clearly not going home, still going home instead of raising the Meawan officer. Burned posts. Emergency PPKM told WFH% and essential wfh% still enter too. Opo karepe?</v>
      </c>
    </row>
    <row r="8840" ht="15.75" customHeight="1">
      <c r="A8840" s="2">
        <v>8859.0</v>
      </c>
      <c r="B8840" s="5" t="s">
        <v>16140</v>
      </c>
      <c r="C8840" s="6">
        <v>2.0</v>
      </c>
      <c r="D8840" s="7" t="s">
        <v>16141</v>
      </c>
      <c r="E8840" s="8" t="str">
        <f>IFERROR(__xludf.DUMMYFUNCTION("googletranslate(D8840,""id"",""en"")"),"While for the day of implementing the emergency PPKM held in East Java")</f>
        <v>While for the day of implementing the emergency PPKM held in East Java</v>
      </c>
    </row>
    <row r="8841" ht="15.75" customHeight="1">
      <c r="A8841" s="2">
        <v>8860.0</v>
      </c>
      <c r="B8841" s="5" t="s">
        <v>16142</v>
      </c>
      <c r="C8841" s="6">
        <v>2.0</v>
      </c>
      <c r="D8841" s="9" t="s">
        <v>16142</v>
      </c>
      <c r="E8841" s="8" t="str">
        <f>IFERROR(__xludf.DUMMYFUNCTION("googletranslate(D8841,""id"",""en"")"),"PPKM slowly if you enter")</f>
        <v>PPKM slowly if you enter</v>
      </c>
    </row>
    <row r="8842" ht="15.75" customHeight="1">
      <c r="A8842" s="2">
        <v>8861.0</v>
      </c>
      <c r="B8842" s="5" t="s">
        <v>16143</v>
      </c>
      <c r="C8842" s="6">
        <v>1.0</v>
      </c>
      <c r="D8842" s="9" t="s">
        <v>16144</v>
      </c>
      <c r="E8842" s="8" t="str">
        <f>IFERROR(__xludf.DUMMYFUNCTION("googletranslate(D8842,""id"",""en"")"),"The people can't get compensation from PPKM, ehh even share influencers. Bad scenery.")</f>
        <v>The people can't get compensation from PPKM, ehh even share influencers. Bad scenery.</v>
      </c>
    </row>
    <row r="8843" ht="15.75" customHeight="1">
      <c r="A8843" s="2">
        <v>8862.0</v>
      </c>
      <c r="B8843" s="5" t="s">
        <v>16145</v>
      </c>
      <c r="C8843" s="6">
        <v>2.0</v>
      </c>
      <c r="D8843" s="7" t="s">
        <v>16145</v>
      </c>
      <c r="E8843" s="8" t="str">
        <f>IFERROR(__xludf.DUMMYFUNCTION("googletranslate(D8843,""id"",""en"")"),"PPKM: once cared then disappeared")</f>
        <v>PPKM: once cared then disappeared</v>
      </c>
    </row>
    <row r="8844" ht="15.75" customHeight="1">
      <c r="A8844" s="2">
        <v>8863.0</v>
      </c>
      <c r="B8844" s="5" t="s">
        <v>16146</v>
      </c>
      <c r="C8844" s="6">
        <v>2.0</v>
      </c>
      <c r="D8844" s="9" t="s">
        <v>16146</v>
      </c>
      <c r="E8844" s="8" t="str">
        <f>IFERROR(__xludf.DUMMYFUNCTION("googletranslate(D8844,""id"",""en"")"),"Before the PPKM was already holiday first. But it's a lazy son of males, it doesn't sport, instead add fat. now it's already ppkm, around the village also many who have just started sports")</f>
        <v>Before the PPKM was already holiday first. But it's a lazy son of males, it doesn't sport, instead add fat. now it's already ppkm, around the village also many who have just started sports</v>
      </c>
    </row>
    <row r="8845" ht="15.75" customHeight="1">
      <c r="A8845" s="2">
        <v>8864.0</v>
      </c>
      <c r="B8845" s="5" t="s">
        <v>16147</v>
      </c>
      <c r="C8845" s="6">
        <v>3.0</v>
      </c>
      <c r="D8845" s="7" t="s">
        <v>16148</v>
      </c>
      <c r="E8845" s="8" t="str">
        <f>IFERROR(__xludf.DUMMYFUNCTION("googletranslate(D8845,""id"",""en"")"),"Support the Government of Tumpas Out of Papuan Separatist Movement which inhibits Development in Papua PPKM Overcome Covid")</f>
        <v>Support the Government of Tumpas Out of Papuan Separatist Movement which inhibits Development in Papua PPKM Overcome Covid</v>
      </c>
    </row>
    <row r="8846" ht="15.75" customHeight="1">
      <c r="A8846" s="2">
        <v>8865.0</v>
      </c>
      <c r="B8846" s="5" t="s">
        <v>16149</v>
      </c>
      <c r="C8846" s="6">
        <v>3.0</v>
      </c>
      <c r="D8846" s="7" t="s">
        <v>16150</v>
      </c>
      <c r="E8846" s="8" t="str">
        <f>IFERROR(__xludf.DUMMYFUNCTION("googletranslate(D8846,""id"",""en"")"),"And he gave a warning to non-essential companies by asking employees to record HP videos as a form of direction so that all obey the emergency PPKM policy rules.")</f>
        <v>And he gave a warning to non-essential companies by asking employees to record HP videos as a form of direction so that all obey the emergency PPKM policy rules.</v>
      </c>
    </row>
    <row r="8847" ht="15.75" customHeight="1">
      <c r="A8847" s="2">
        <v>8866.0</v>
      </c>
      <c r="B8847" s="5" t="s">
        <v>16151</v>
      </c>
      <c r="C8847" s="6">
        <v>2.0</v>
      </c>
      <c r="D8847" s="9" t="s">
        <v>16152</v>
      </c>
      <c r="E8847" s="8" t="str">
        <f>IFERROR(__xludf.DUMMYFUNCTION("googletranslate(D8847,""id"",""en"")"),"Open from dawn nder. But or if my ppkm is open at what time")</f>
        <v>Open from dawn nder. But or if my ppkm is open at what time</v>
      </c>
    </row>
    <row r="8848" ht="15.75" customHeight="1">
      <c r="A8848" s="2">
        <v>8867.0</v>
      </c>
      <c r="B8848" s="5" t="s">
        <v>16153</v>
      </c>
      <c r="C8848" s="6">
        <v>1.0</v>
      </c>
      <c r="D8848" s="9" t="s">
        <v>16154</v>
      </c>
      <c r="E8848" s="8" t="str">
        <f>IFERROR(__xludf.DUMMYFUNCTION("googletranslate(D8848,""id"",""en"")"),"Cepet behind the JBR again Dong PPKM troubled BNGET, it was the turn of outsiders into Indo Gas Bnget. People outside Pualau Java want to go to Javanese complicated bnget")</f>
        <v>Cepet behind the JBR again Dong PPKM troubled BNGET, it was the turn of outsiders into Indo Gas Bnget. People outside Pualau Java want to go to Javanese complicated bnget</v>
      </c>
    </row>
    <row r="8849" ht="15.75" customHeight="1">
      <c r="A8849" s="2">
        <v>8868.0</v>
      </c>
      <c r="B8849" s="5" t="s">
        <v>16155</v>
      </c>
      <c r="C8849" s="6">
        <v>1.0</v>
      </c>
      <c r="D8849" s="9" t="s">
        <v>16156</v>
      </c>
      <c r="E8849" s="8" t="str">
        <f>IFERROR(__xludf.DUMMYFUNCTION("googletranslate(D8849,""id"",""en"")"),"Org in the lock down is not given to eat and can't find a meal, slowly we turn off the boz ... it's a ppkm plusetan from the public.")</f>
        <v>Org in the lock down is not given to eat and can't find a meal, slowly we turn off the boz ... it's a ppkm plusetan from the public.</v>
      </c>
    </row>
    <row r="8850" ht="15.75" customHeight="1">
      <c r="A8850" s="2">
        <v>8869.0</v>
      </c>
      <c r="B8850" s="5" t="s">
        <v>16157</v>
      </c>
      <c r="C8850" s="6">
        <v>1.0</v>
      </c>
      <c r="D8850" s="7" t="s">
        <v>16158</v>
      </c>
      <c r="E8850" s="8" t="str">
        <f>IFERROR(__xludf.DUMMYFUNCTION("googletranslate(D8850,""id"",""en"")"),"Obviously it's easy, how much is the resident? Only more Jakarta residents than Brunei right? And the government and Brunei citizens are not stubborn and bro, we have prokes, PSBB and PPKM just against even though the central government does to reduce tra"&amp;"nsmission of viruses.")</f>
        <v>Obviously it's easy, how much is the resident? Only more Jakarta residents than Brunei right? And the government and Brunei citizens are not stubborn and bro, we have prokes, PSBB and PPKM just against even though the central government does to reduce transmission of viruses.</v>
      </c>
    </row>
    <row r="8851" ht="15.75" customHeight="1">
      <c r="A8851" s="2">
        <v>8870.0</v>
      </c>
      <c r="B8851" s="5" t="s">
        <v>16159</v>
      </c>
      <c r="C8851" s="6">
        <v>1.0</v>
      </c>
      <c r="D8851" s="7" t="s">
        <v>16160</v>
      </c>
      <c r="E8851" s="8" t="str">
        <f>IFERROR(__xludf.DUMMYFUNCTION("googletranslate(D8851,""id"",""en"")"),"""Emergency PPKM for the interests of the people or corporates?""")</f>
        <v>"Emergency PPKM for the interests of the people or corporates?"</v>
      </c>
    </row>
    <row r="8852" ht="15.75" customHeight="1">
      <c r="A8852" s="2">
        <v>8871.0</v>
      </c>
      <c r="B8852" s="5" t="s">
        <v>16161</v>
      </c>
      <c r="C8852" s="6">
        <v>2.0</v>
      </c>
      <c r="D8852" s="9" t="s">
        <v>16162</v>
      </c>
      <c r="E8852" s="8" t="str">
        <f>IFERROR(__xludf.DUMMYFUNCTION("googletranslate(D8852,""id"",""en"")"),"Breakfast Kuaci PPKM menu, Water Plus Sereh Veenhangan, Secang AM Booking Jakarta, Indonesia")</f>
        <v>Breakfast Kuaci PPKM menu, Water Plus Sereh Veenhangan, Secang AM Booking Jakarta, Indonesia</v>
      </c>
    </row>
    <row r="8853" ht="15.75" customHeight="1">
      <c r="A8853" s="2">
        <v>8872.0</v>
      </c>
      <c r="B8853" s="5" t="s">
        <v>16163</v>
      </c>
      <c r="C8853" s="6">
        <v>2.0</v>
      </c>
      <c r="D8853" s="7" t="s">
        <v>16164</v>
      </c>
      <c r="E8853" s="8" t="str">
        <f>IFERROR(__xludf.DUMMYFUNCTION("googletranslate(D8853,""id"",""en"")"),"Exciting anime recommendations during PPKM?")</f>
        <v>Exciting anime recommendations during PPKM?</v>
      </c>
    </row>
    <row r="8854" ht="15.75" customHeight="1">
      <c r="A8854" s="2">
        <v>8873.0</v>
      </c>
      <c r="B8854" s="5" t="s">
        <v>16165</v>
      </c>
      <c r="C8854" s="6">
        <v>3.0</v>
      </c>
      <c r="D8854" s="9" t="s">
        <v>16166</v>
      </c>
      <c r="E8854" s="8" t="str">
        <f>IFERROR(__xludf.DUMMYFUNCTION("googletranslate(D8854,""id"",""en"")"),"Alert, hopefully there is the best solution, not enough by dividing basic food and emergency ppkm not only Jakarta")</f>
        <v>Alert, hopefully there is the best solution, not enough by dividing basic food and emergency ppkm not only Jakarta</v>
      </c>
    </row>
    <row r="8855" ht="15.75" customHeight="1">
      <c r="A8855" s="2">
        <v>8874.0</v>
      </c>
      <c r="B8855" s="5" t="s">
        <v>16167</v>
      </c>
      <c r="C8855" s="6">
        <v>3.0</v>
      </c>
      <c r="D8855" s="7" t="s">
        <v>16168</v>
      </c>
      <c r="E8855" s="8" t="str">
        <f>IFERROR(__xludf.DUMMYFUNCTION("googletranslate(D8855,""id"",""en"")"),"Together with Covid's work, the message of the US President the same as the message of the President of Indonesia. It should be so, not nyinyir on sosmed &amp; amp; Make your own noise, but do nothing. Come on vaccines &amp; amp; Satuh Prokes M, Cepet Emergency P"&amp;"PKM Spy finished")</f>
        <v>Together with Covid's work, the message of the US President the same as the message of the President of Indonesia. It should be so, not nyinyir on sosmed &amp; amp; Make your own noise, but do nothing. Come on vaccines &amp; amp; Satuh Prokes M, Cepet Emergency PPKM Spy finished</v>
      </c>
    </row>
    <row r="8856" ht="15.75" customHeight="1">
      <c r="A8856" s="2">
        <v>8875.0</v>
      </c>
      <c r="B8856" s="5" t="s">
        <v>16169</v>
      </c>
      <c r="C8856" s="6">
        <v>2.0</v>
      </c>
      <c r="D8856" s="10" t="s">
        <v>16170</v>
      </c>
      <c r="E8856" s="8" t="str">
        <f>IFERROR(__xludf.DUMMYFUNCTION("googletranslate(D8856,""id"",""en"")"),"Heeeeeh PPKM")</f>
        <v>Heeeeeh PPKM</v>
      </c>
    </row>
    <row r="8857" ht="15.75" customHeight="1">
      <c r="A8857" s="2">
        <v>8876.0</v>
      </c>
      <c r="B8857" s="5" t="s">
        <v>16171</v>
      </c>
      <c r="C8857" s="6">
        <v>3.0</v>
      </c>
      <c r="D8857" s="7" t="s">
        <v>16172</v>
      </c>
      <c r="E8857" s="8" t="str">
        <f>IFERROR(__xludf.DUMMYFUNCTION("googletranslate(D8857,""id"",""en"")"),"Good morning rebahabaann ... what last night? With conditions during PPKM? hopefully physically, heart, and wallets are still safe, yeah .. :: Sikunir Golden Sunrise Wonosoboig:")</f>
        <v>Good morning rebahabaann ... what last night? With conditions during PPKM? hopefully physically, heart, and wallets are still safe, yeah .. :: Sikunir Golden Sunrise Wonosoboig:</v>
      </c>
    </row>
    <row r="8858" ht="15.75" customHeight="1">
      <c r="A8858" s="2">
        <v>8877.0</v>
      </c>
      <c r="B8858" s="5" t="s">
        <v>16173</v>
      </c>
      <c r="C8858" s="6">
        <v>2.0</v>
      </c>
      <c r="D8858" s="7" t="s">
        <v>16173</v>
      </c>
      <c r="E8858" s="8" t="str">
        <f>IFERROR(__xludf.DUMMYFUNCTION("googletranslate(D8858,""id"",""en"")"),"Governor Khofifah and his entourage moved towards Beji Village, Jenu District to review the implementation of vaccination, Covid-19 Test Swab, and monitoring the implementation of emergency PPKM in the local area")</f>
        <v>Governor Khofifah and his entourage moved towards Beji Village, Jenu District to review the implementation of vaccination, Covid-19 Test Swab, and monitoring the implementation of emergency PPKM in the local area</v>
      </c>
    </row>
    <row r="8859" ht="15.75" customHeight="1">
      <c r="A8859" s="2">
        <v>8878.0</v>
      </c>
      <c r="B8859" s="5" t="s">
        <v>16174</v>
      </c>
      <c r="C8859" s="6">
        <v>2.0</v>
      </c>
      <c r="D8859" s="7" t="s">
        <v>16175</v>
      </c>
      <c r="E8859" s="8" t="str">
        <f>IFERROR(__xludf.DUMMYFUNCTION("googletranslate(D8859,""id"",""en"")"),"Is it possible to go to Bandung? Isn't the PPKM?!")</f>
        <v>Is it possible to go to Bandung? Isn't the PPKM?!</v>
      </c>
    </row>
    <row r="8860" ht="15.75" customHeight="1">
      <c r="A8860" s="2">
        <v>8879.0</v>
      </c>
      <c r="B8860" s="5" t="s">
        <v>16176</v>
      </c>
      <c r="C8860" s="6">
        <v>1.0</v>
      </c>
      <c r="D8860" s="7" t="s">
        <v>16176</v>
      </c>
      <c r="E8860" s="8" t="str">
        <f>IFERROR(__xludf.DUMMYFUNCTION("googletranslate(D8860,""id"",""en"")"),"Ppkm: slowly we die slowly")</f>
        <v>Ppkm: slowly we die slowly</v>
      </c>
    </row>
    <row r="8861" ht="15.75" customHeight="1">
      <c r="A8861" s="2">
        <v>8880.0</v>
      </c>
      <c r="B8861" s="5" t="s">
        <v>16177</v>
      </c>
      <c r="C8861" s="6">
        <v>1.0</v>
      </c>
      <c r="D8861" s="7" t="s">
        <v>16178</v>
      </c>
      <c r="E8861" s="8" t="str">
        <f>IFERROR(__xludf.DUMMYFUNCTION("googletranslate(D8861,""id"",""en"")"),"Not strange Gus. Do not mind it. Just make it stressfully see which PPKM gini again.")</f>
        <v>Not strange Gus. Do not mind it. Just make it stressfully see which PPKM gini again.</v>
      </c>
    </row>
    <row r="8862" ht="15.75" customHeight="1">
      <c r="A8862" s="2">
        <v>8881.0</v>
      </c>
      <c r="B8862" s="5" t="s">
        <v>16179</v>
      </c>
      <c r="C8862" s="6">
        <v>1.0</v>
      </c>
      <c r="D8862" s="7" t="s">
        <v>16179</v>
      </c>
      <c r="E8862" s="8" t="str">
        <f>IFERROR(__xludf.DUMMYFUNCTION("googletranslate(D8862,""id"",""en"")"),"in West Jakarta like no PPKM")</f>
        <v>in West Jakarta like no PPKM</v>
      </c>
    </row>
    <row r="8863" ht="15.75" customHeight="1">
      <c r="A8863" s="2">
        <v>8882.0</v>
      </c>
      <c r="B8863" s="5" t="s">
        <v>16180</v>
      </c>
      <c r="C8863" s="6">
        <v>2.0</v>
      </c>
      <c r="D8863" s="7" t="s">
        <v>16181</v>
      </c>
      <c r="E8863" s="8" t="str">
        <f>IFERROR(__xludf.DUMMYFUNCTION("googletranslate(D8863,""id"",""en"")"),"Lgi ppkm, just drmh")</f>
        <v>Lgi ppkm, just drmh</v>
      </c>
    </row>
    <row r="8864" ht="15.75" customHeight="1">
      <c r="A8864" s="2">
        <v>8883.0</v>
      </c>
      <c r="B8864" s="5" t="s">
        <v>16182</v>
      </c>
      <c r="C8864" s="6">
        <v>2.0</v>
      </c>
      <c r="D8864" s="10" t="s">
        <v>16183</v>
      </c>
      <c r="E8864" s="8" t="str">
        <f>IFERROR(__xludf.DUMMYFUNCTION("googletranslate(D8864,""id"",""en"")"),"Again PPKM Woe.")</f>
        <v>Again PPKM Woe.</v>
      </c>
    </row>
    <row r="8865" ht="15.75" customHeight="1">
      <c r="A8865" s="2">
        <v>8884.0</v>
      </c>
      <c r="B8865" s="5" t="s">
        <v>16184</v>
      </c>
      <c r="C8865" s="6">
        <v>1.0</v>
      </c>
      <c r="D8865" s="7" t="s">
        <v>16185</v>
      </c>
      <c r="E8865" s="8" t="str">
        <f>IFERROR(__xludf.DUMMYFUNCTION("googletranslate(D8865,""id"",""en"")"),"Nahh, after all I'm sure after PPKM Case Covid NY will reduce")</f>
        <v>Nahh, after all I'm sure after PPKM Case Covid NY will reduce</v>
      </c>
    </row>
    <row r="8866" ht="15.75" customHeight="1">
      <c r="A8866" s="2">
        <v>8885.0</v>
      </c>
      <c r="B8866" s="5" t="s">
        <v>16186</v>
      </c>
      <c r="C8866" s="6">
        <v>2.0</v>
      </c>
      <c r="D8866" s="7" t="s">
        <v>16186</v>
      </c>
      <c r="E8866" s="8" t="str">
        <f>IFERROR(__xludf.DUMMYFUNCTION("googletranslate(D8866,""id"",""en"")"),"Kirain Kmaren AH PPKM ends you want to bring Adam, Opung Johor, it hasn't been able to get rice all for a long time. Eh ppkm extended weslaaahh")</f>
        <v>Kirain Kmaren AH PPKM ends you want to bring Adam, Opung Johor, it hasn't been able to get rice all for a long time. Eh ppkm extended weslaaahh</v>
      </c>
    </row>
    <row r="8867" ht="15.75" customHeight="1">
      <c r="A8867" s="2">
        <v>8886.0</v>
      </c>
      <c r="B8867" s="5" t="s">
        <v>16187</v>
      </c>
      <c r="C8867" s="6">
        <v>1.0</v>
      </c>
      <c r="D8867" s="9" t="s">
        <v>16188</v>
      </c>
      <c r="E8867" s="8" t="str">
        <f>IFERROR(__xludf.DUMMYFUNCTION("googletranslate(D8867,""id"",""en"")"),"my friend LDR with his girlfriend Udh month. Just now made an IG Story that was like that because the PPKM was extended and access to the difference between the island was getting more difficult")</f>
        <v>my friend LDR with his girlfriend Udh month. Just now made an IG Story that was like that because the PPKM was extended and access to the difference between the island was getting more difficult</v>
      </c>
    </row>
    <row r="8868" ht="15.75" customHeight="1">
      <c r="A8868" s="2">
        <v>8887.0</v>
      </c>
      <c r="B8868" s="5" t="s">
        <v>16189</v>
      </c>
      <c r="C8868" s="6">
        <v>1.0</v>
      </c>
      <c r="D8868" s="7" t="s">
        <v>16190</v>
      </c>
      <c r="E8868" s="8" t="str">
        <f>IFERROR(__xludf.DUMMYFUNCTION("googletranslate(D8868,""id"",""en"")"),"Ppk commererity where is it moral?!")</f>
        <v>Ppk commererity where is it moral?!</v>
      </c>
    </row>
    <row r="8869" ht="15.75" customHeight="1">
      <c r="A8869" s="2">
        <v>8888.0</v>
      </c>
      <c r="B8869" s="5" t="s">
        <v>16191</v>
      </c>
      <c r="C8869" s="6">
        <v>2.0</v>
      </c>
      <c r="D8869" s="7" t="s">
        <v>16192</v>
      </c>
      <c r="E8869" s="8" t="str">
        <f>IFERROR(__xludf.DUMMYFUNCTION("googletranslate(D8869,""id"",""en"")"),"Morning sir Want to ask for checking service battery GMN warranty ...? When this PPKM, I am July the first schedule to check.")</f>
        <v>Morning sir Want to ask for checking service battery GMN warranty ...? When this PPKM, I am July the first schedule to check.</v>
      </c>
    </row>
    <row r="8870" ht="15.75" customHeight="1">
      <c r="A8870" s="2">
        <v>8889.0</v>
      </c>
      <c r="B8870" s="5" t="s">
        <v>16193</v>
      </c>
      <c r="C8870" s="6">
        <v>2.0</v>
      </c>
      <c r="D8870" s="9" t="s">
        <v>16194</v>
      </c>
      <c r="E8870" s="8" t="str">
        <f>IFERROR(__xludf.DUMMYFUNCTION("googletranslate(D8870,""id"",""en"")"),"It could be that I have a dream of PPKM extended until the month of Yaallah")</f>
        <v>It could be that I have a dream of PPKM extended until the month of Yaallah</v>
      </c>
    </row>
    <row r="8871" ht="15.75" customHeight="1">
      <c r="A8871" s="2">
        <v>8890.0</v>
      </c>
      <c r="B8871" s="5" t="s">
        <v>16195</v>
      </c>
      <c r="C8871" s="6">
        <v>1.0</v>
      </c>
      <c r="D8871" s="7" t="s">
        <v>16196</v>
      </c>
      <c r="E8871" s="8" t="str">
        <f>IFERROR(__xludf.DUMMYFUNCTION("googletranslate(D8871,""id"",""en"")"),"ppkm is not effective")</f>
        <v>ppkm is not effective</v>
      </c>
    </row>
    <row r="8872" ht="15.75" customHeight="1">
      <c r="A8872" s="2">
        <v>8891.0</v>
      </c>
      <c r="B8872" s="5" t="s">
        <v>16197</v>
      </c>
      <c r="C8872" s="6">
        <v>2.0</v>
      </c>
      <c r="D8872" s="7" t="s">
        <v>16197</v>
      </c>
      <c r="E8872" s="8" t="str">
        <f>IFERROR(__xludf.DUMMYFUNCTION("googletranslate(D8872,""id"",""en"")"),"Ppkm = pande pande you guys")</f>
        <v>Ppkm = pande pande you guys</v>
      </c>
    </row>
    <row r="8873" ht="15.75" customHeight="1">
      <c r="A8873" s="2">
        <v>8892.0</v>
      </c>
      <c r="B8873" s="5" t="s">
        <v>16198</v>
      </c>
      <c r="C8873" s="6">
        <v>1.0</v>
      </c>
      <c r="D8873" s="7" t="s">
        <v>16199</v>
      </c>
      <c r="E8873" s="8" t="str">
        <f>IFERROR(__xludf.DUMMYFUNCTION("googletranslate(D8873,""id"",""en"")"),"Immediately aired ""the azab minister watching a movie when the miserable people of PPKM""")</f>
        <v>Immediately aired "the azab minister watching a movie when the miserable people of PPKM"</v>
      </c>
    </row>
    <row r="8874" ht="15.75" customHeight="1">
      <c r="A8874" s="2">
        <v>8893.0</v>
      </c>
      <c r="B8874" s="5" t="s">
        <v>16200</v>
      </c>
      <c r="C8874" s="6">
        <v>2.0</v>
      </c>
      <c r="D8874" s="7" t="s">
        <v>16200</v>
      </c>
      <c r="E8874" s="8" t="str">
        <f>IFERROR(__xludf.DUMMYFUNCTION("googletranslate(D8874,""id"",""en"")"),"eh this is the ppkm smpe dated?")</f>
        <v>eh this is the ppkm smpe dated?</v>
      </c>
    </row>
    <row r="8875" ht="15.75" customHeight="1">
      <c r="A8875" s="2">
        <v>8894.0</v>
      </c>
      <c r="B8875" s="5" t="s">
        <v>16201</v>
      </c>
      <c r="C8875" s="6">
        <v>3.0</v>
      </c>
      <c r="D8875" s="9" t="s">
        <v>16202</v>
      </c>
      <c r="E8875" s="8" t="str">
        <f>IFERROR(__xludf.DUMMYFUNCTION("googletranslate(D8875,""id"",""en"")"),"Good morning, you! Keep up the spirit even though the PPKM is extended don't forget breakfast this morning, drink vitamins, and double masks YHA!")</f>
        <v>Good morning, you! Keep up the spirit even though the PPKM is extended don't forget breakfast this morning, drink vitamins, and double masks YHA!</v>
      </c>
    </row>
    <row r="8876" ht="15.75" customHeight="1">
      <c r="A8876" s="2">
        <v>8895.0</v>
      </c>
      <c r="B8876" s="5" t="s">
        <v>16203</v>
      </c>
      <c r="C8876" s="6">
        <v>2.0</v>
      </c>
      <c r="D8876" s="9" t="s">
        <v>16203</v>
      </c>
      <c r="E8876" s="8" t="str">
        <f>IFERROR(__xludf.DUMMYFUNCTION("googletranslate(D8876,""id"",""en"")"),"What do you know what KM job is, how come it agrees to PPKM? JWP JJR Frends.")</f>
        <v>What do you know what KM job is, how come it agrees to PPKM? JWP JJR Frends.</v>
      </c>
    </row>
    <row r="8877" ht="15.75" customHeight="1">
      <c r="A8877" s="2">
        <v>8896.0</v>
      </c>
      <c r="B8877" s="5" t="s">
        <v>16204</v>
      </c>
      <c r="C8877" s="6">
        <v>2.0</v>
      </c>
      <c r="D8877" s="7" t="s">
        <v>16205</v>
      </c>
      <c r="E8877" s="8" t="str">
        <f>IFERROR(__xludf.DUMMYFUNCTION("googletranslate(D8877,""id"",""en"")"),"PPKM Day-15 is really cold")</f>
        <v>PPKM Day-15 is really cold</v>
      </c>
    </row>
    <row r="8878" ht="15.75" customHeight="1">
      <c r="A8878" s="2">
        <v>8897.0</v>
      </c>
      <c r="B8878" s="5" t="s">
        <v>16206</v>
      </c>
      <c r="C8878" s="6">
        <v>2.0</v>
      </c>
      <c r="D8878" s="7" t="s">
        <v>16206</v>
      </c>
      <c r="E8878" s="8" t="str">
        <f>IFERROR(__xludf.DUMMYFUNCTION("googletranslate(D8878,""id"",""en"")"),"During this emergency PPKM, Wahid also ensured learning of high school, vocational school and SLB students in East Java was carried out long distances, aka online.")</f>
        <v>During this emergency PPKM, Wahid also ensured learning of high school, vocational school and SLB students in East Java was carried out long distances, aka online.</v>
      </c>
    </row>
    <row r="8879" ht="15.75" customHeight="1">
      <c r="A8879" s="2">
        <v>8898.0</v>
      </c>
      <c r="B8879" s="5" t="s">
        <v>16207</v>
      </c>
      <c r="C8879" s="6">
        <v>2.0</v>
      </c>
      <c r="D8879" s="7" t="s">
        <v>16208</v>
      </c>
      <c r="E8879" s="8" t="str">
        <f>IFERROR(__xludf.DUMMYFUNCTION("googletranslate(D8879,""id"",""en"")"),"PPKM extended to Julivaksin paid canceled by President of Covid-19/7 increases thousands")</f>
        <v>PPKM extended to Julivaksin paid canceled by President of Covid-19/7 increases thousands</v>
      </c>
    </row>
    <row r="8880" ht="15.75" customHeight="1">
      <c r="A8880" s="2">
        <v>8899.0</v>
      </c>
      <c r="B8880" s="5" t="s">
        <v>16209</v>
      </c>
      <c r="C8880" s="6">
        <v>1.0</v>
      </c>
      <c r="D8880" s="7" t="s">
        <v>16210</v>
      </c>
      <c r="E8880" s="8" t="str">
        <f>IFERROR(__xludf.DUMMYFUNCTION("googletranslate(D8880,""id"",""en"")"),"I regret supporting Pakde if the PPKM is extended again, I experienced myself hard, Kmarin, I drove my sister to go to the hospital, I went to the hospital in Surakarta, Namung all refused to be due to the full quota, YH I was relocating on the closed")</f>
        <v>I regret supporting Pakde if the PPKM is extended again, I experienced myself hard, Kmarin, I drove my sister to go to the hospital, I went to the hospital in Surakarta, Namung all refused to be due to the full quota, YH I was relocating on the closed</v>
      </c>
    </row>
    <row r="8881" ht="15.75" customHeight="1">
      <c r="A8881" s="2">
        <v>8900.0</v>
      </c>
      <c r="B8881" s="5" t="s">
        <v>16211</v>
      </c>
      <c r="C8881" s="6">
        <v>1.0</v>
      </c>
      <c r="D8881" s="9" t="s">
        <v>16212</v>
      </c>
      <c r="E8881" s="8" t="str">
        <f>IFERROR(__xludf.DUMMYFUNCTION("googletranslate(D8881,""id"",""en"")"),"Instead of extended PPKM ... it's better ... there is a vaccine certificate? !!")</f>
        <v>Instead of extended PPKM ... it's better ... there is a vaccine certificate? !!</v>
      </c>
    </row>
    <row r="8882" ht="15.75" customHeight="1">
      <c r="A8882" s="2">
        <v>8901.0</v>
      </c>
      <c r="B8882" s="5" t="s">
        <v>16213</v>
      </c>
      <c r="C8882" s="6">
        <v>2.0</v>
      </c>
      <c r="D8882" s="10" t="s">
        <v>16214</v>
      </c>
      <c r="E8882" s="8" t="str">
        <f>IFERROR(__xludf.DUMMYFUNCTION("googletranslate(D8882,""id"",""en"")"),"PPKM closes")</f>
        <v>PPKM closes</v>
      </c>
    </row>
    <row r="8883" ht="15.75" customHeight="1">
      <c r="A8883" s="2">
        <v>8902.0</v>
      </c>
      <c r="B8883" s="5" t="s">
        <v>16215</v>
      </c>
      <c r="C8883" s="6">
        <v>2.0</v>
      </c>
      <c r="D8883" s="7" t="s">
        <v>16215</v>
      </c>
      <c r="E8883" s="8" t="str">
        <f>IFERROR(__xludf.DUMMYFUNCTION("googletranslate(D8883,""id"",""en"")"),"ppkm extends this?")</f>
        <v>ppkm extends this?</v>
      </c>
    </row>
    <row r="8884" ht="15.75" customHeight="1">
      <c r="A8884" s="2">
        <v>8903.0</v>
      </c>
      <c r="B8884" s="5" t="s">
        <v>16216</v>
      </c>
      <c r="C8884" s="6">
        <v>2.0</v>
      </c>
      <c r="D8884" s="9" t="s">
        <v>16217</v>
      </c>
      <c r="E8884" s="8" t="str">
        <f>IFERROR(__xludf.DUMMYFUNCTION("googletranslate(D8884,""id"",""en"")"),"Has been prepared long before PPKM but the condition is this time, you are in Kompas Nulis news What is the performance ad?")</f>
        <v>Has been prepared long before PPKM but the condition is this time, you are in Kompas Nulis news What is the performance ad?</v>
      </c>
    </row>
    <row r="8885" ht="15.75" customHeight="1">
      <c r="A8885" s="2">
        <v>8904.0</v>
      </c>
      <c r="B8885" s="5" t="s">
        <v>16218</v>
      </c>
      <c r="C8885" s="6">
        <v>1.0</v>
      </c>
      <c r="D8885" s="7" t="s">
        <v>16218</v>
      </c>
      <c r="E8885" s="8" t="str">
        <f>IFERROR(__xludf.DUMMYFUNCTION("googletranslate(D8885,""id"",""en"")"),"Seeing the news on the internet during the PPKM Kok Kayak Kayak is colonized by Yawla's own country")</f>
        <v>Seeing the news on the internet during the PPKM Kok Kayak Kayak is colonized by Yawla's own country</v>
      </c>
    </row>
    <row r="8886" ht="15.75" customHeight="1">
      <c r="A8886" s="2">
        <v>8905.0</v>
      </c>
      <c r="B8886" s="5" t="s">
        <v>16219</v>
      </c>
      <c r="C8886" s="6">
        <v>2.0</v>
      </c>
      <c r="D8886" s="7" t="s">
        <v>16220</v>
      </c>
      <c r="E8886" s="8" t="str">
        <f>IFERROR(__xludf.DUMMYFUNCTION("googletranslate(D8886,""id"",""en"")"),"PPKM Night Atmosphere in Batu Retno Wonogiri")</f>
        <v>PPKM Night Atmosphere in Batu Retno Wonogiri</v>
      </c>
    </row>
    <row r="8887" ht="15.75" customHeight="1">
      <c r="A8887" s="2">
        <v>8906.0</v>
      </c>
      <c r="B8887" s="5" t="s">
        <v>16221</v>
      </c>
      <c r="C8887" s="6">
        <v>1.0</v>
      </c>
      <c r="D8887" s="7" t="s">
        <v>16222</v>
      </c>
      <c r="E8887" s="8" t="str">
        <f>IFERROR(__xludf.DUMMYFUNCTION("googletranslate(D8887,""id"",""en"")"),"PPKM: We slowly leave")</f>
        <v>PPKM: We slowly leave</v>
      </c>
    </row>
    <row r="8888" ht="15.75" customHeight="1">
      <c r="A8888" s="2">
        <v>8907.0</v>
      </c>
      <c r="B8888" s="5" t="s">
        <v>16223</v>
      </c>
      <c r="C8888" s="6">
        <v>1.0</v>
      </c>
      <c r="D8888" s="9" t="s">
        <v>16224</v>
      </c>
      <c r="E8888" s="8" t="str">
        <f>IFERROR(__xludf.DUMMYFUNCTION("googletranslate(D8888,""id"",""en"")"),"Jiji see people so alim, caught covid, klean who uda giring psbb, ppkm, clamp the government, covid volunteers etc. but widened hoax vaccines want klian giring hunger jd angry right? Yes, I know from which group you come from it's just a dog of your robe "&amp;"DEVIL !")</f>
        <v>Jiji see people so alim, caught covid, klean who uda giring psbb, ppkm, clamp the government, covid volunteers etc. but widened hoax vaccines want klian giring hunger jd angry right? Yes, I know from which group you come from it's just a dog of your robe DEVIL !</v>
      </c>
    </row>
    <row r="8889" ht="15.75" customHeight="1">
      <c r="A8889" s="2">
        <v>8910.0</v>
      </c>
      <c r="B8889" s="5" t="s">
        <v>16225</v>
      </c>
      <c r="C8889" s="6">
        <v>1.0</v>
      </c>
      <c r="D8889" s="9" t="s">
        <v>16226</v>
      </c>
      <c r="E8889" s="8" t="str">
        <f>IFERROR(__xludf.DUMMYFUNCTION("googletranslate(D8889,""id"",""en"")"),"gpp apologizes using text or not, but don't stones heiii pak luhuuuutt ... another life that has been affected during the ppkm can't go back again pakk ... so don't what is the srabat srebet your policy, lbh time is smart or not the minister. just pull th"&amp;"e pak trading cilok")</f>
        <v>gpp apologizes using text or not, but don't stones heiii pak luhuuuutt ... another life that has been affected during the ppkm can't go back again pakk ... so don't what is the srabat srebet your policy, lbh time is smart or not the minister. just pull the pak trading cilok</v>
      </c>
    </row>
    <row r="8890" ht="15.75" customHeight="1">
      <c r="A8890" s="2">
        <v>8911.0</v>
      </c>
      <c r="B8890" s="5" t="s">
        <v>16227</v>
      </c>
      <c r="C8890" s="6">
        <v>2.0</v>
      </c>
      <c r="D8890" s="9" t="s">
        <v>16228</v>
      </c>
      <c r="E8890" s="8" t="str">
        <f>IFERROR(__xludf.DUMMYFUNCTION("googletranslate(D8890,""id"",""en"")"),"PPKM When Ends Extends Mulu Kek SIM. Already miss the mountain")</f>
        <v>PPKM When Ends Extends Mulu Kek SIM. Already miss the mountain</v>
      </c>
    </row>
    <row r="8891" ht="15.75" customHeight="1">
      <c r="A8891" s="2">
        <v>8912.0</v>
      </c>
      <c r="B8891" s="5" t="s">
        <v>16229</v>
      </c>
      <c r="C8891" s="6">
        <v>2.0</v>
      </c>
      <c r="D8891" s="7" t="s">
        <v>16229</v>
      </c>
      <c r="E8891" s="8" t="str">
        <f>IFERROR(__xludf.DUMMYFUNCTION("googletranslate(D8891,""id"",""en"")"),"PPKM was postponed until Hamin lived again")</f>
        <v>PPKM was postponed until Hamin lived again</v>
      </c>
    </row>
    <row r="8892" ht="15.75" customHeight="1">
      <c r="A8892" s="2">
        <v>8913.0</v>
      </c>
      <c r="B8892" s="5" t="s">
        <v>16230</v>
      </c>
      <c r="C8892" s="6">
        <v>3.0</v>
      </c>
      <c r="D8892" s="7" t="s">
        <v>16231</v>
      </c>
      <c r="E8892" s="8" t="str">
        <f>IFERROR(__xludf.DUMMYFUNCTION("googletranslate(D8892,""id"",""en"")"),"Student vaccine. PPKM restores the nation")</f>
        <v>Student vaccine. PPKM restores the nation</v>
      </c>
    </row>
    <row r="8893" ht="15.75" customHeight="1">
      <c r="A8893" s="2">
        <v>8914.0</v>
      </c>
      <c r="B8893" s="5" t="s">
        <v>16232</v>
      </c>
      <c r="C8893" s="6">
        <v>2.0</v>
      </c>
      <c r="D8893" s="7" t="s">
        <v>16233</v>
      </c>
      <c r="E8893" s="8" t="str">
        <f>IFERROR(__xludf.DUMMYFUNCTION("googletranslate(D8893,""id"",""en"")"),"Extension ppkmmmmmmmmmmmmmmmmmmmmmmmmmmmmmmmmmmmmmmmmmmmmmmmmmmmmmmmmmmmmmmmmmmmmmmmmmmmmmmmmmmmmmmmmmmmmmmmmmmmmmmmmmmmmmmmmmmm")</f>
        <v>Extension ppkmmmmmmmmmmmmmmmmmmmmmmmmmmmmmmmmmmmmmmmmmmmmmmmmmmmmmmmmmmmmmmmmmmmmmmmmmmmmmmmmmmmmmmmmmmmmmmmmmmmmmmmmmmmmmmmmmmm</v>
      </c>
    </row>
    <row r="8894" ht="15.75" customHeight="1">
      <c r="A8894" s="2">
        <v>8915.0</v>
      </c>
      <c r="B8894" s="5" t="s">
        <v>16234</v>
      </c>
      <c r="C8894" s="6">
        <v>3.0</v>
      </c>
      <c r="D8894" s="7" t="s">
        <v>16235</v>
      </c>
      <c r="E8894" s="8" t="str">
        <f>IFERROR(__xludf.DUMMYFUNCTION("googletranslate(D8894,""id"",""en"")"),"RB testing is the government of the government should be a minial testing of BGT RB every day while there is still PPKM")</f>
        <v>RB testing is the government of the government should be a minial testing of BGT RB every day while there is still PPKM</v>
      </c>
    </row>
    <row r="8895" ht="15.75" customHeight="1">
      <c r="A8895" s="2">
        <v>8916.0</v>
      </c>
      <c r="B8895" s="5" t="s">
        <v>16236</v>
      </c>
      <c r="C8895" s="6">
        <v>2.0</v>
      </c>
      <c r="D8895" s="7" t="s">
        <v>16237</v>
      </c>
      <c r="E8895" s="8" t="str">
        <f>IFERROR(__xludf.DUMMYFUNCTION("googletranslate(D8895,""id"",""en"")"),"Yaampun kak namu when we sacred kak wait for ppkm finished yaa")</f>
        <v>Yaampun kak namu when we sacred kak wait for ppkm finished yaa</v>
      </c>
    </row>
    <row r="8896" ht="15.75" customHeight="1">
      <c r="A8896" s="2">
        <v>8917.0</v>
      </c>
      <c r="B8896" s="5" t="s">
        <v>16238</v>
      </c>
      <c r="C8896" s="6">
        <v>1.0</v>
      </c>
      <c r="D8896" s="7" t="s">
        <v>16239</v>
      </c>
      <c r="E8896" s="8" t="str">
        <f>IFERROR(__xludf.DUMMYFUNCTION("googletranslate(D8896,""id"",""en"")"),"I don't know whatever the impression of the buzerrp is bang ... I also don't agree that the PPKM is extended ...")</f>
        <v>I don't know whatever the impression of the buzerrp is bang ... I also don't agree that the PPKM is extended ...</v>
      </c>
    </row>
    <row r="8897" ht="15.75" customHeight="1">
      <c r="A8897" s="2">
        <v>8918.0</v>
      </c>
      <c r="B8897" s="5" t="s">
        <v>16240</v>
      </c>
      <c r="C8897" s="6">
        <v>2.0</v>
      </c>
      <c r="D8897" s="7" t="s">
        <v>16241</v>
      </c>
      <c r="E8897" s="8" t="str">
        <f>IFERROR(__xludf.DUMMYFUNCTION("googletranslate(D8897,""id"",""en"")"),"There is no problem with the Cun PPKM ... as long as it was carried out, the people of TTP could get a meal, surely agreed with the PPKM")</f>
        <v>There is no problem with the Cun PPKM ... as long as it was carried out, the people of TTP could get a meal, surely agreed with the PPKM</v>
      </c>
    </row>
    <row r="8898" ht="15.75" customHeight="1">
      <c r="A8898" s="2">
        <v>8919.0</v>
      </c>
      <c r="B8898" s="5" t="s">
        <v>16242</v>
      </c>
      <c r="C8898" s="6">
        <v>1.0</v>
      </c>
      <c r="D8898" s="7" t="s">
        <v>16243</v>
      </c>
      <c r="E8898" s="8" t="str">
        <f>IFERROR(__xludf.DUMMYFUNCTION("googletranslate(D8898,""id"",""en"")"),"Nyari, which can you invite chat at a minimum. Bored of Emergency PPKM without Chat")</f>
        <v>Nyari, which can you invite chat at a minimum. Bored of Emergency PPKM without Chat</v>
      </c>
    </row>
    <row r="8899" ht="15.75" customHeight="1">
      <c r="A8899" s="2">
        <v>8920.0</v>
      </c>
      <c r="B8899" s="5" t="s">
        <v>16244</v>
      </c>
      <c r="C8899" s="6">
        <v>1.0</v>
      </c>
      <c r="D8899" s="7" t="s">
        <v>16245</v>
      </c>
      <c r="E8899" s="8" t="str">
        <f>IFERROR(__xludf.DUMMYFUNCTION("googletranslate(D8899,""id"",""en"")"),"Hunger whacking starts whacking, because the effort is closed (dissolved) when PPKM is not given ...")</f>
        <v>Hunger whacking starts whacking, because the effort is closed (dissolved) when PPKM is not given ...</v>
      </c>
    </row>
    <row r="8900" ht="15.75" customHeight="1">
      <c r="A8900" s="2">
        <v>8921.0</v>
      </c>
      <c r="B8900" s="5" t="s">
        <v>16246</v>
      </c>
      <c r="C8900" s="6">
        <v>1.0</v>
      </c>
      <c r="D8900" s="9" t="s">
        <v>16247</v>
      </c>
      <c r="E8900" s="8" t="str">
        <f>IFERROR(__xludf.DUMMYFUNCTION("googletranslate(D8900,""id"",""en"")"),"Min I have been complained by cust because of the package from the smp skrg mandeg in solo. Ngerni, ppkm, but this package is not sent.")</f>
        <v>Min I have been complained by cust because of the package from the smp skrg mandeg in solo. Ngerni, ppkm, but this package is not sent.</v>
      </c>
    </row>
    <row r="8901" ht="15.75" customHeight="1">
      <c r="A8901" s="2">
        <v>8922.0</v>
      </c>
      <c r="B8901" s="5" t="s">
        <v>16248</v>
      </c>
      <c r="C8901" s="6">
        <v>2.0</v>
      </c>
      <c r="D8901" s="7" t="s">
        <v>16249</v>
      </c>
      <c r="E8901" s="8" t="str">
        <f>IFERROR(__xludf.DUMMYFUNCTION("googletranslate(D8901,""id"",""en"")"),"It's definitely laaaah. Where is the PPKM gini. Maybe the one who open is just a rich in the side of the road, you know")</f>
        <v>It's definitely laaaah. Where is the PPKM gini. Maybe the one who open is just a rich in the side of the road, you know</v>
      </c>
    </row>
    <row r="8902" ht="15.75" customHeight="1">
      <c r="A8902" s="2">
        <v>8923.0</v>
      </c>
      <c r="B8902" s="5" t="s">
        <v>16250</v>
      </c>
      <c r="C8902" s="6">
        <v>1.0</v>
      </c>
      <c r="D8902" s="7" t="s">
        <v>16251</v>
      </c>
      <c r="E8902" s="8" t="str">
        <f>IFERROR(__xludf.DUMMYFUNCTION("googletranslate(D8902,""id"",""en"")"),"Savings ... PTGAS PPKM Until Mnghilangkn Sebellah His Eye ... Tngggu Azab Allah S.w.t ... the world while the hereafter ...")</f>
        <v>Savings ... PTGAS PPKM Until Mnghilangkn Sebellah His Eye ... Tngggu Azab Allah S.w.t ... the world while the hereafter ...</v>
      </c>
    </row>
    <row r="8903" ht="15.75" customHeight="1">
      <c r="A8903" s="2">
        <v>8924.0</v>
      </c>
      <c r="B8903" s="5" t="s">
        <v>16252</v>
      </c>
      <c r="C8903" s="6">
        <v>2.0</v>
      </c>
      <c r="D8903" s="7" t="s">
        <v>16253</v>
      </c>
      <c r="E8903" s="8" t="str">
        <f>IFERROR(__xludf.DUMMYFUNCTION("googletranslate(D8903,""id"",""en"")"),"PPKM Morning - night title")</f>
        <v>PPKM Morning - night title</v>
      </c>
    </row>
    <row r="8904" ht="15.75" customHeight="1">
      <c r="A8904" s="2">
        <v>8925.0</v>
      </c>
      <c r="B8904" s="5" t="s">
        <v>16254</v>
      </c>
      <c r="C8904" s="6">
        <v>1.0</v>
      </c>
      <c r="D8904" s="9" t="s">
        <v>16255</v>
      </c>
      <c r="E8904" s="8" t="str">
        <f>IFERROR(__xludf.DUMMYFUNCTION("googletranslate(D8904,""id"",""en"")"),"It is precisely because you have a lord, you can't apply LD, it can make the PPKM, Masy Trakagagah, ""I made a quarantine law, implement it, I didn't afford it")</f>
        <v>It is precisely because you have a lord, you can't apply LD, it can make the PPKM, Masy Trakagagah, "I made a quarantine law, implement it, I didn't afford it</v>
      </c>
    </row>
    <row r="8905" ht="15.75" customHeight="1">
      <c r="A8905" s="2">
        <v>8926.0</v>
      </c>
      <c r="B8905" s="5" t="s">
        <v>16256</v>
      </c>
      <c r="C8905" s="6">
        <v>1.0</v>
      </c>
      <c r="D8905" s="7" t="s">
        <v>16257</v>
      </c>
      <c r="E8905" s="8" t="str">
        <f>IFERROR(__xludf.DUMMYFUNCTION("googletranslate(D8905,""id"",""en"")"),"Jleeeeeb. The reason for the LG PPKM, watching every day Bodoamaaaat.")</f>
        <v>Jleeeeeb. The reason for the LG PPKM, watching every day Bodoamaaaat.</v>
      </c>
    </row>
    <row r="8906" ht="15.75" customHeight="1">
      <c r="A8906" s="2">
        <v>8927.0</v>
      </c>
      <c r="B8906" s="5" t="s">
        <v>16258</v>
      </c>
      <c r="C8906" s="6">
        <v>3.0</v>
      </c>
      <c r="D8906" s="9" t="s">
        <v>16259</v>
      </c>
      <c r="E8906" s="8" t="str">
        <f>IFERROR(__xludf.DUMMYFUNCTION("googletranslate(D8906,""id"",""en"")"),"The sir, the vaccination program is made by the hub per regional head just at the mayor's level, try the father, see the area, which is a percent of the residents who have vaccinated so that in the future I want Micro PPKM can marry an area that is indeed"&amp;" a lot of transmission cases and lots of vaksin")</f>
        <v>The sir, the vaccination program is made by the hub per regional head just at the mayor's level, try the father, see the area, which is a percent of the residents who have vaccinated so that in the future I want Micro PPKM can marry an area that is indeed a lot of transmission cases and lots of vaksin</v>
      </c>
    </row>
    <row r="8907" ht="15.75" customHeight="1">
      <c r="A8907" s="2">
        <v>8928.0</v>
      </c>
      <c r="B8907" s="5" t="s">
        <v>16260</v>
      </c>
      <c r="C8907" s="6">
        <v>2.0</v>
      </c>
      <c r="D8907" s="7" t="s">
        <v>16261</v>
      </c>
      <c r="E8907" s="8" t="str">
        <f>IFERROR(__xludf.DUMMYFUNCTION("googletranslate(D8907,""id"",""en"")"),"Hahhahahah okay okay, but still masi ppkm gini cu where can it be")</f>
        <v>Hahhahahah okay okay, but still masi ppkm gini cu where can it be</v>
      </c>
    </row>
    <row r="8908" ht="15.75" customHeight="1">
      <c r="A8908" s="2">
        <v>8929.0</v>
      </c>
      <c r="B8908" s="5" t="s">
        <v>16262</v>
      </c>
      <c r="C8908" s="6">
        <v>1.0</v>
      </c>
      <c r="D8908" s="9" t="s">
        <v>16263</v>
      </c>
      <c r="E8908" s="8" t="str">
        <f>IFERROR(__xludf.DUMMYFUNCTION("googletranslate(D8908,""id"",""en"")"),"This is again suga huhu kak really want me if it's just able to photograph the box with the binder because of the ppkm g, it can go back to huhu house, in Bali it's fierce ""his insulation is"" tired of himself, how come he confides to be frustrated")</f>
        <v>This is again suga huhu kak really want me if it's just able to photograph the box with the binder because of the ppkm g, it can go back to huhu house, in Bali it's fierce "his insulation is" tired of himself, how come he confides to be frustrated</v>
      </c>
    </row>
    <row r="8909" ht="15.75" customHeight="1">
      <c r="A8909" s="2">
        <v>8930.0</v>
      </c>
      <c r="B8909" s="5" t="s">
        <v>16264</v>
      </c>
      <c r="C8909" s="6">
        <v>2.0</v>
      </c>
      <c r="D8909" s="9" t="s">
        <v>16265</v>
      </c>
      <c r="E8909" s="8" t="str">
        <f>IFERROR(__xludf.DUMMYFUNCTION("googletranslate(D8909,""id"",""en"")"),"You're welcome. BLUM BOK, KAN LG PPKM")</f>
        <v>You're welcome. BLUM BOK, KAN LG PPKM</v>
      </c>
    </row>
    <row r="8910" ht="15.75" customHeight="1">
      <c r="A8910" s="2">
        <v>8931.0</v>
      </c>
      <c r="B8910" s="5" t="s">
        <v>16266</v>
      </c>
      <c r="C8910" s="6">
        <v>3.0</v>
      </c>
      <c r="D8910" s="9" t="s">
        <v>16267</v>
      </c>
      <c r="E8910" s="8" t="str">
        <f>IFERROR(__xludf.DUMMYFUNCTION("googletranslate(D8910,""id"",""en"")"),"Bansos distribution. PPKM restores the nation")</f>
        <v>Bansos distribution. PPKM restores the nation</v>
      </c>
    </row>
    <row r="8911" ht="15.75" customHeight="1">
      <c r="A8911" s="2">
        <v>8932.0</v>
      </c>
      <c r="B8911" s="5" t="s">
        <v>16268</v>
      </c>
      <c r="C8911" s="6">
        <v>2.0</v>
      </c>
      <c r="D8911" s="7" t="s">
        <v>16269</v>
      </c>
      <c r="E8911" s="8" t="str">
        <f>IFERROR(__xludf.DUMMYFUNCTION("googletranslate(D8911,""id"",""en"")"),"AK Catholic Church is usually half-done at the clock. But now it's online because the Christian ppkmkalau doesn't know, it's usually longer")</f>
        <v>AK Catholic Church is usually half-done at the clock. But now it's online because the Christian ppkmkalau doesn't know, it's usually longer</v>
      </c>
    </row>
    <row r="8912" ht="15.75" customHeight="1">
      <c r="A8912" s="2">
        <v>8933.0</v>
      </c>
      <c r="B8912" s="5" t="s">
        <v>16270</v>
      </c>
      <c r="C8912" s="6">
        <v>1.0</v>
      </c>
      <c r="D8912" s="9" t="s">
        <v>16271</v>
      </c>
      <c r="E8912" s="8" t="str">
        <f>IFERROR(__xludf.DUMMYFUNCTION("googletranslate(D8912,""id"",""en"")"),"it proved the government had enough money for nanggulation of efect ppkm cm slow in its implementation because it was afraid of being corrupt ... it was surprised by Mrs. Risma Jd Temperamental ... I saw it ...")</f>
        <v>it proved the government had enough money for nanggulation of efect ppkm cm slow in its implementation because it was afraid of being corrupt ... it was surprised by Mrs. Risma Jd Temperamental ... I saw it ...</v>
      </c>
    </row>
    <row r="8913" ht="15.75" customHeight="1">
      <c r="A8913" s="2">
        <v>8934.0</v>
      </c>
      <c r="B8913" s="5" t="s">
        <v>16272</v>
      </c>
      <c r="C8913" s="6">
        <v>1.0</v>
      </c>
      <c r="D8913" s="7" t="s">
        <v>16273</v>
      </c>
      <c r="E8913" s="8" t="str">
        <f>IFERROR(__xludf.DUMMYFUNCTION("googletranslate(D8913,""id"",""en"")"),"Extended PPKM X is not going to overcome the plague during the cadrun there is still there ...")</f>
        <v>Extended PPKM X is not going to overcome the plague during the cadrun there is still there ...</v>
      </c>
    </row>
    <row r="8914" ht="15.75" customHeight="1">
      <c r="A8914" s="2">
        <v>8935.0</v>
      </c>
      <c r="B8914" s="5" t="s">
        <v>16274</v>
      </c>
      <c r="C8914" s="6">
        <v>1.0</v>
      </c>
      <c r="D8914" s="7" t="s">
        <v>16275</v>
      </c>
      <c r="E8914" s="8" t="str">
        <f>IFERROR(__xludf.DUMMYFUNCTION("googletranslate(D8914,""id"",""en"")"),"Want to pulkam to Surabaya Pas PPKM Emergency Difficult Beud, impromptu especially, coupled with the terms and conditions apply")</f>
        <v>Want to pulkam to Surabaya Pas PPKM Emergency Difficult Beud, impromptu especially, coupled with the terms and conditions apply</v>
      </c>
    </row>
    <row r="8915" ht="15.75" customHeight="1">
      <c r="A8915" s="2">
        <v>8936.0</v>
      </c>
      <c r="B8915" s="5" t="s">
        <v>16276</v>
      </c>
      <c r="C8915" s="6">
        <v>2.0</v>
      </c>
      <c r="D8915" s="7" t="s">
        <v>16277</v>
      </c>
      <c r="E8915" s="8" t="str">
        <f>IFERROR(__xludf.DUMMYFUNCTION("googletranslate(D8915,""id"",""en"")"),"Delicious, no PPKM in space")</f>
        <v>Delicious, no PPKM in space</v>
      </c>
    </row>
    <row r="8916" ht="15.75" customHeight="1">
      <c r="A8916" s="2">
        <v>8937.0</v>
      </c>
      <c r="B8916" s="5" t="s">
        <v>16278</v>
      </c>
      <c r="C8916" s="6">
        <v>1.0</v>
      </c>
      <c r="D8916" s="7" t="s">
        <v>16279</v>
      </c>
      <c r="E8916" s="8" t="str">
        <f>IFERROR(__xludf.DUMMYFUNCTION("googletranslate(D8916,""id"",""en"")"),"The victim fell out where it turned out that the handling of the maximum PPKM PPKM, the same time the same arrival of Chinese TKA JG Maximum, WIS2 RUWET ... RUWET")</f>
        <v>The victim fell out where it turned out that the handling of the maximum PPKM PPKM, the same time the same arrival of Chinese TKA JG Maximum, WIS2 RUWET ... RUWET</v>
      </c>
    </row>
    <row r="8917" ht="15.75" customHeight="1">
      <c r="A8917" s="2">
        <v>8938.0</v>
      </c>
      <c r="B8917" s="5" t="s">
        <v>16280</v>
      </c>
      <c r="C8917" s="6">
        <v>1.0</v>
      </c>
      <c r="D8917" s="7" t="s">
        <v>16281</v>
      </c>
      <c r="E8917" s="8" t="str">
        <f>IFERROR(__xludf.DUMMYFUNCTION("googletranslate(D8917,""id"",""en"")"),"Peter the culverts are ... lick so we can get a bicycle ... or wait for the commissioner of PT PPKM")</f>
        <v>Peter the culverts are ... lick so we can get a bicycle ... or wait for the commissioner of PT PPKM</v>
      </c>
    </row>
    <row r="8918" ht="15.75" customHeight="1">
      <c r="A8918" s="2">
        <v>8939.0</v>
      </c>
      <c r="B8918" s="5" t="s">
        <v>16282</v>
      </c>
      <c r="C8918" s="6">
        <v>3.0</v>
      </c>
      <c r="D8918" s="9" t="s">
        <v>16283</v>
      </c>
      <c r="E8918" s="8" t="str">
        <f>IFERROR(__xludf.DUMMYFUNCTION("googletranslate(D8918,""id"",""en"")"),"Actually in this PPKM period it doesn't need to be added an emergency if all people know and understand the condition of the pandemic today. All must prioritize prokes.")</f>
        <v>Actually in this PPKM period it doesn't need to be added an emergency if all people know and understand the condition of the pandemic today. All must prioritize prokes.</v>
      </c>
    </row>
    <row r="8919" ht="15.75" customHeight="1">
      <c r="A8919" s="2">
        <v>8940.0</v>
      </c>
      <c r="B8919" s="5" t="s">
        <v>16284</v>
      </c>
      <c r="C8919" s="6">
        <v>1.0</v>
      </c>
      <c r="D8919" s="7" t="s">
        <v>16285</v>
      </c>
      <c r="E8919" s="8" t="str">
        <f>IFERROR(__xludf.DUMMYFUNCTION("googletranslate(D8919,""id"",""en"")"),"Instead of PPKM the market just closed the hour the night came the night")</f>
        <v>Instead of PPKM the market just closed the hour the night came the night</v>
      </c>
    </row>
    <row r="8920" ht="15.75" customHeight="1">
      <c r="A8920" s="2">
        <v>8941.0</v>
      </c>
      <c r="B8920" s="5" t="s">
        <v>16286</v>
      </c>
      <c r="C8920" s="6">
        <v>1.0</v>
      </c>
      <c r="D8920" s="7" t="s">
        <v>16287</v>
      </c>
      <c r="E8920" s="8" t="str">
        <f>IFERROR(__xludf.DUMMYFUNCTION("googletranslate(D8920,""id"",""en"")"),"There is no harm in learning from other countries in the case of facing Corona Pandemics, one example of multilevel PPKM / Spicy Level Kiripik Ma icih Each Different Area level depends on severity")</f>
        <v>There is no harm in learning from other countries in the case of facing Corona Pandemics, one example of multilevel PPKM / Spicy Level Kiripik Ma icih Each Different Area level depends on severity</v>
      </c>
    </row>
    <row r="8921" ht="15.75" customHeight="1">
      <c r="A8921" s="2">
        <v>8942.0</v>
      </c>
      <c r="B8921" s="5" t="s">
        <v>16288</v>
      </c>
      <c r="C8921" s="6">
        <v>1.0</v>
      </c>
      <c r="D8921" s="9" t="s">
        <v>16289</v>
      </c>
      <c r="E8921" s="8" t="str">
        <f>IFERROR(__xludf.DUMMYFUNCTION("googletranslate(D8921,""id"",""en"")"),"Cave, see from above. Until under AD who said this would want to practice, if this wants to practice it might not be when the pandemic they want to enter Indo and their position is very strategic for war ... our army in MNA in the PPKM at the AP at the MN"&amp;"A")</f>
        <v>Cave, see from above. Until under AD who said this would want to practice, if this wants to practice it might not be when the pandemic they want to enter Indo and their position is very strategic for war ... our army in MNA in the PPKM at the AP at the MNA</v>
      </c>
    </row>
    <row r="8922" ht="15.75" customHeight="1">
      <c r="A8922" s="2">
        <v>8943.0</v>
      </c>
      <c r="B8922" s="5" t="s">
        <v>16290</v>
      </c>
      <c r="C8922" s="6">
        <v>3.0</v>
      </c>
      <c r="D8922" s="9" t="s">
        <v>16291</v>
      </c>
      <c r="E8922" s="8" t="str">
        <f>IFERROR(__xludf.DUMMYFUNCTION("googletranslate(D8922,""id"",""en"")"),"Pak Luhut if someone gave input, please listen, put ego ego! It's a suggestion from experts so that Emergency PPKM succeeds.")</f>
        <v>Pak Luhut if someone gave input, please listen, put ego ego! It's a suggestion from experts so that Emergency PPKM succeeds.</v>
      </c>
    </row>
    <row r="8923" ht="15.75" customHeight="1">
      <c r="A8923" s="2">
        <v>8944.0</v>
      </c>
      <c r="B8923" s="5" t="s">
        <v>16292</v>
      </c>
      <c r="C8923" s="6">
        <v>3.0</v>
      </c>
      <c r="D8923" s="9" t="s">
        <v>16293</v>
      </c>
      <c r="E8923" s="8" t="str">
        <f>IFERROR(__xludf.DUMMYFUNCTION("googletranslate(D8923,""id"",""en"")"),"It should be the leaders of the National Police to back up subordinates to struggle in the field to set PPKM to be pushed, withdrawn. I salute the police who are on duty still standing up the car. Police leadership should not be firmly firmly firmly firml"&amp;"y")</f>
        <v>It should be the leaders of the National Police to back up subordinates to struggle in the field to set PPKM to be pushed, withdrawn. I salute the police who are on duty still standing up the car. Police leadership should not be firmly firmly firmly firmly</v>
      </c>
    </row>
    <row r="8924" ht="15.75" customHeight="1">
      <c r="A8924" s="2">
        <v>8945.0</v>
      </c>
      <c r="B8924" s="5" t="s">
        <v>16294</v>
      </c>
      <c r="C8924" s="6">
        <v>1.0</v>
      </c>
      <c r="D8924" s="7" t="s">
        <v>16295</v>
      </c>
      <c r="E8924" s="8" t="str">
        <f>IFERROR(__xludf.DUMMYFUNCTION("googletranslate(D8924,""id"",""en"")"),"The position is high but the brain is not used. The Governor of PPKM but who violates is imprisoned, the basis is not concerned.")</f>
        <v>The position is high but the brain is not used. The Governor of PPKM but who violates is imprisoned, the basis is not concerned.</v>
      </c>
    </row>
    <row r="8925" ht="15.75" customHeight="1">
      <c r="A8925" s="2">
        <v>8946.0</v>
      </c>
      <c r="B8925" s="5" t="s">
        <v>16296</v>
      </c>
      <c r="C8925" s="6">
        <v>2.0</v>
      </c>
      <c r="D8925" s="7" t="s">
        <v>16296</v>
      </c>
      <c r="E8925" s="8" t="str">
        <f>IFERROR(__xludf.DUMMYFUNCTION("googletranslate(D8925,""id"",""en"")"),"I'm ready to enliven the coffee sky and bring a bottle of drinking my palace abis ppkm")</f>
        <v>I'm ready to enliven the coffee sky and bring a bottle of drinking my palace abis ppkm</v>
      </c>
    </row>
    <row r="8926" ht="15.75" customHeight="1">
      <c r="A8926" s="2">
        <v>8947.0</v>
      </c>
      <c r="B8926" s="5" t="s">
        <v>16297</v>
      </c>
      <c r="C8926" s="6">
        <v>1.0</v>
      </c>
      <c r="D8926" s="9" t="s">
        <v>16298</v>
      </c>
      <c r="E8926" s="8" t="str">
        <f>IFERROR(__xludf.DUMMYFUNCTION("googletranslate(D8926,""id"",""en"")"),"As a street food trader, I really relate to the reply of the MBA. Dr. Before the PPKM was a turnover, it had slumped far away, even for a day, there was a week from Simpenan's money. And now the ppkm makes it more miserable when the expenditure continues "&amp;"to exist but there is nothing")</f>
        <v>As a street food trader, I really relate to the reply of the MBA. Dr. Before the PPKM was a turnover, it had slumped far away, even for a day, there was a week from Simpenan's money. And now the ppkm makes it more miserable when the expenditure continues to exist but there is nothing</v>
      </c>
    </row>
    <row r="8927" ht="15.75" customHeight="1">
      <c r="A8927" s="2">
        <v>8948.0</v>
      </c>
      <c r="B8927" s="5" t="s">
        <v>16299</v>
      </c>
      <c r="C8927" s="6">
        <v>1.0</v>
      </c>
      <c r="D8927" s="9" t="s">
        <v>16300</v>
      </c>
      <c r="E8927" s="8" t="str">
        <f>IFERROR(__xludf.DUMMYFUNCTION("googletranslate(D8927,""id"",""en"")"),"Must be complete Dong. The continuation of the PPKM is now fulfilling the basic needs of all the people in Wil PPKM. If you don't know, you caught together with the Buzzerp propaganda, it will be used as a reason for STOP PPKM. And disaster lbh BSR before"&amp;" the eyes.")</f>
        <v>Must be complete Dong. The continuation of the PPKM is now fulfilling the basic needs of all the people in Wil PPKM. If you don't know, you caught together with the Buzzerp propaganda, it will be used as a reason for STOP PPKM. And disaster lbh BSR before the eyes.</v>
      </c>
    </row>
    <row r="8928" ht="15.75" customHeight="1">
      <c r="A8928" s="2">
        <v>8949.0</v>
      </c>
      <c r="B8928" s="5" t="s">
        <v>16301</v>
      </c>
      <c r="C8928" s="6">
        <v>3.0</v>
      </c>
      <c r="D8928" s="7" t="s">
        <v>16302</v>
      </c>
      <c r="E8928" s="8" t="str">
        <f>IFERROR(__xludf.DUMMYFUNCTION("googletranslate(D8928,""id"",""en"")"),"Stop deception. PPKM restores the nation")</f>
        <v>Stop deception. PPKM restores the nation</v>
      </c>
    </row>
    <row r="8929" ht="15.75" customHeight="1">
      <c r="A8929" s="2">
        <v>8950.0</v>
      </c>
      <c r="B8929" s="5" t="s">
        <v>16303</v>
      </c>
      <c r="C8929" s="6">
        <v>2.0</v>
      </c>
      <c r="D8929" s="7" t="s">
        <v>16303</v>
      </c>
      <c r="E8929" s="8" t="str">
        <f>IFERROR(__xludf.DUMMYFUNCTION("googletranslate(D8929,""id"",""en"")"),"Extended PPKM Becomes PPPppppppkkkkkmmmmm")</f>
        <v>Extended PPKM Becomes PPPppppppkkkkkmmmmm</v>
      </c>
    </row>
    <row r="8930" ht="15.75" customHeight="1">
      <c r="A8930" s="2">
        <v>8951.0</v>
      </c>
      <c r="B8930" s="5" t="s">
        <v>16304</v>
      </c>
      <c r="C8930" s="6">
        <v>1.0</v>
      </c>
      <c r="D8930" s="9" t="s">
        <v>16305</v>
      </c>
      <c r="E8930" s="8" t="str">
        <f>IFERROR(__xludf.DUMMYFUNCTION("googletranslate(D8930,""id"",""en"")"),"Buzzer stagang normal by rejecting PPKM belga Rakyat even though Tkut riots then replace leadership and they are imprisoned ..")</f>
        <v>Buzzer stagang normal by rejecting PPKM belga Rakyat even though Tkut riots then replace leadership and they are imprisoned ..</v>
      </c>
    </row>
    <row r="8931" ht="15.75" customHeight="1">
      <c r="A8931" s="2">
        <v>8952.0</v>
      </c>
      <c r="B8931" s="5" t="s">
        <v>16306</v>
      </c>
      <c r="C8931" s="6">
        <v>1.0</v>
      </c>
      <c r="D8931" s="7" t="s">
        <v>16307</v>
      </c>
      <c r="E8931" s="8" t="str">
        <f>IFERROR(__xludf.DUMMYFUNCTION("googletranslate(D8931,""id"",""en"")"),"We better ppkm ..pura our pretania according to ... than slowly we die ...")</f>
        <v>We better ppkm ..pura our pretania according to ... than slowly we die ...</v>
      </c>
    </row>
    <row r="8932" ht="15.75" customHeight="1">
      <c r="A8932" s="2">
        <v>8955.0</v>
      </c>
      <c r="B8932" s="5" t="s">
        <v>16308</v>
      </c>
      <c r="C8932" s="6">
        <v>2.0</v>
      </c>
      <c r="D8932" s="9" t="s">
        <v>16309</v>
      </c>
      <c r="E8932" s="8" t="str">
        <f>IFERROR(__xludf.DUMMYFUNCTION("googletranslate(D8932,""id"",""en"")"),"Mas Bojo work in Suramadu Guys. He is part of the team that monitors the Suramadu Bridge. Kayak the wind, cctv sensors, lights, etc. Incidentally during the PPKM like this &amp; amp; Madurese if you want Eid al-Adha always going back and forth, so it goes in "&amp;"hours. Usually shift.")</f>
        <v>Mas Bojo work in Suramadu Guys. He is part of the team that monitors the Suramadu Bridge. Kayak the wind, cctv sensors, lights, etc. Incidentally during the PPKM like this &amp; amp; Madurese if you want Eid al-Adha always going back and forth, so it goes in hours. Usually shift.</v>
      </c>
    </row>
    <row r="8933" ht="15.75" customHeight="1">
      <c r="A8933" s="2">
        <v>8956.0</v>
      </c>
      <c r="B8933" s="5" t="s">
        <v>16310</v>
      </c>
      <c r="C8933" s="6">
        <v>1.0</v>
      </c>
      <c r="D8933" s="7" t="s">
        <v>16311</v>
      </c>
      <c r="E8933" s="8" t="str">
        <f>IFERROR(__xludf.DUMMYFUNCTION("googletranslate(D8933,""id"",""en"")"),"Mbak Puan where the assistance of the council in the affected community of Emergency PPKM, PKL is very affected to eat hard.")</f>
        <v>Mbak Puan where the assistance of the council in the affected community of Emergency PPKM, PKL is very affected to eat hard.</v>
      </c>
    </row>
    <row r="8934" ht="15.75" customHeight="1">
      <c r="A8934" s="2">
        <v>8957.0</v>
      </c>
      <c r="B8934" s="5" t="s">
        <v>16312</v>
      </c>
      <c r="C8934" s="6">
        <v>2.0</v>
      </c>
      <c r="D8934" s="7" t="s">
        <v>16313</v>
      </c>
      <c r="E8934" s="8" t="str">
        <f>IFERROR(__xludf.DUMMYFUNCTION("googletranslate(D8934,""id"",""en"")"),"Yok ppkm gini tp kangen jogja: '")</f>
        <v>Yok ppkm gini tp kangen jogja: '</v>
      </c>
    </row>
    <row r="8935" ht="15.75" customHeight="1">
      <c r="A8935" s="2">
        <v>8958.0</v>
      </c>
      <c r="B8935" s="5" t="s">
        <v>16314</v>
      </c>
      <c r="C8935" s="6">
        <v>3.0</v>
      </c>
      <c r="D8935" s="9" t="s">
        <v>16315</v>
      </c>
      <c r="E8935" s="8" t="str">
        <f>IFERROR(__xludf.DUMMYFUNCTION("googletranslate(D8935,""id"",""en"")"),"It's already correctly giving a small pd masy bansos that have been affected because you try in the middle of the emergency ppkm masy, it won't be significant, it can't sell online because it's reluctant to leave the house, it's not necessary to get to no"&amp;"rmal conditions")</f>
        <v>It's already correctly giving a small pd masy bansos that have been affected because you try in the middle of the emergency ppkm masy, it won't be significant, it can't sell online because it's reluctant to leave the house, it's not necessary to get to normal conditions</v>
      </c>
    </row>
    <row r="8936" ht="15.75" customHeight="1">
      <c r="A8936" s="2">
        <v>8959.0</v>
      </c>
      <c r="B8936" s="5" t="s">
        <v>16316</v>
      </c>
      <c r="C8936" s="6">
        <v>2.0</v>
      </c>
      <c r="D8936" s="7" t="s">
        <v>16316</v>
      </c>
      <c r="E8936" s="8" t="str">
        <f>IFERROR(__xludf.DUMMYFUNCTION("googletranslate(D8936,""id"",""en"")"),"Waiting for the name of the new Emergency PPKM ... whether changing the name to PPKM standby, or Emergency PPKM Revision II, or PPKM Emergency Volume II with adjustments, it can also be emergency PPKM relaxation, it seems that clearly more tight compared "&amp;"to those skrg")</f>
        <v>Waiting for the name of the new Emergency PPKM ... whether changing the name to PPKM standby, or Emergency PPKM Revision II, or PPKM Emergency Volume II with adjustments, it can also be emergency PPKM relaxation, it seems that clearly more tight compared to those skrg</v>
      </c>
    </row>
    <row r="8937" ht="15.75" customHeight="1">
      <c r="A8937" s="2">
        <v>8960.0</v>
      </c>
      <c r="B8937" s="5" t="s">
        <v>16317</v>
      </c>
      <c r="C8937" s="6">
        <v>2.0</v>
      </c>
      <c r="D8937" s="9" t="s">
        <v>16318</v>
      </c>
      <c r="E8937" s="8" t="str">
        <f>IFERROR(__xludf.DUMMYFUNCTION("googletranslate(D8937,""id"",""en"")"),"Last night was just a lot of VCAN with grandfather because the grandfather said my name continued to be called .. because it was quite far more much more ppkm so there was no chance to meet again after a few weeks")</f>
        <v>Last night was just a lot of VCAN with grandfather because the grandfather said my name continued to be called .. because it was quite far more much more ppkm so there was no chance to meet again after a few weeks</v>
      </c>
    </row>
    <row r="8938" ht="15.75" customHeight="1">
      <c r="A8938" s="2">
        <v>8961.0</v>
      </c>
      <c r="B8938" s="5" t="s">
        <v>16319</v>
      </c>
      <c r="C8938" s="6">
        <v>2.0</v>
      </c>
      <c r="D8938" s="7" t="s">
        <v>16320</v>
      </c>
      <c r="E8938" s="8" t="str">
        <f>IFERROR(__xludf.DUMMYFUNCTION("googletranslate(D8938,""id"",""en"")"),"I don't have any difference, what do you want PPKM, still the work of the work")</f>
        <v>I don't have any difference, what do you want PPKM, still the work of the work</v>
      </c>
    </row>
    <row r="8939" ht="15.75" customHeight="1">
      <c r="A8939" s="2">
        <v>8962.0</v>
      </c>
      <c r="B8939" s="5" t="s">
        <v>16321</v>
      </c>
      <c r="C8939" s="6">
        <v>2.0</v>
      </c>
      <c r="D8939" s="7" t="s">
        <v>16321</v>
      </c>
      <c r="E8939" s="8" t="str">
        <f>IFERROR(__xludf.DUMMYFUNCTION("googletranslate(D8939,""id"",""en"")"),"/ KLE PPKM Really Extends Junior High School Final July?")</f>
        <v>/ KLE PPKM Really Extends Junior High School Final July?</v>
      </c>
    </row>
    <row r="8940" ht="15.75" customHeight="1">
      <c r="A8940" s="2">
        <v>8963.0</v>
      </c>
      <c r="B8940" s="5" t="s">
        <v>16322</v>
      </c>
      <c r="C8940" s="6">
        <v>2.0</v>
      </c>
      <c r="D8940" s="7" t="s">
        <v>16323</v>
      </c>
      <c r="E8940" s="8" t="str">
        <f>IFERROR(__xludf.DUMMYFUNCTION("googletranslate(D8940,""id"",""en"")"),"Here right ppkm bkn lockdown different dong gabisa before")</f>
        <v>Here right ppkm bkn lockdown different dong gabisa before</v>
      </c>
    </row>
    <row r="8941" ht="15.75" customHeight="1">
      <c r="A8941" s="2">
        <v>8964.0</v>
      </c>
      <c r="B8941" s="5" t="s">
        <v>16324</v>
      </c>
      <c r="C8941" s="6">
        <v>2.0</v>
      </c>
      <c r="D8941" s="7" t="s">
        <v>16324</v>
      </c>
      <c r="E8941" s="8" t="str">
        <f>IFERROR(__xludf.DUMMYFUNCTION("googletranslate(D8941,""id"",""en"")"),"If the PPKM is extended and the results are the same, is it followed by an extra time round?")</f>
        <v>If the PPKM is extended and the results are the same, is it followed by an extra time round?</v>
      </c>
    </row>
    <row r="8942" ht="15.75" customHeight="1">
      <c r="A8942" s="2">
        <v>8965.0</v>
      </c>
      <c r="B8942" s="5" t="s">
        <v>16325</v>
      </c>
      <c r="C8942" s="6">
        <v>2.0</v>
      </c>
      <c r="D8942" s="7" t="s">
        <v>16326</v>
      </c>
      <c r="E8942" s="8" t="str">
        <f>IFERROR(__xludf.DUMMYFUNCTION("googletranslate(D8942,""id"",""en"")"),"After the PPKM, it seems that it will be determined to Bali MOTORAN itself")</f>
        <v>After the PPKM, it seems that it will be determined to Bali MOTORAN itself</v>
      </c>
    </row>
    <row r="8943" ht="15.75" customHeight="1">
      <c r="A8943" s="2">
        <v>8966.0</v>
      </c>
      <c r="B8943" s="5" t="s">
        <v>16327</v>
      </c>
      <c r="C8943" s="6">
        <v>3.0</v>
      </c>
      <c r="D8943" s="7" t="s">
        <v>16328</v>
      </c>
      <c r="E8943" s="8" t="str">
        <f>IFERROR(__xludf.DUMMYFUNCTION("googletranslate(D8943,""id"",""en"")"),"Dlm sikon ppkm, for ordinary people nourishing enough, hopefully Barokah &amp; amp; Healthy ... Aamiin.")</f>
        <v>Dlm sikon ppkm, for ordinary people nourishing enough, hopefully Barokah &amp; amp; Healthy ... Aamiin.</v>
      </c>
    </row>
    <row r="8944" ht="15.75" customHeight="1">
      <c r="A8944" s="2">
        <v>8967.0</v>
      </c>
      <c r="B8944" s="5" t="s">
        <v>16329</v>
      </c>
      <c r="C8944" s="6">
        <v>1.0</v>
      </c>
      <c r="D8944" s="9" t="s">
        <v>16329</v>
      </c>
      <c r="E8944" s="8" t="str">
        <f>IFERROR(__xludf.DUMMYFUNCTION("googletranslate(D8944,""id"",""en"")"),"Tros said it was not nerapin Lokdon and using the term macem ""Kyk psbb or ppkm ye was namanye discretion bund. Never to invite"" which is in the principle of benefit. If you reach the legal sanctions, it's still a reference to ""YBS. It's not a problem w"&amp;"ith MAH FELL. XDD")</f>
        <v>Tros said it was not nerapin Lokdon and using the term macem "Kyk psbb or ppkm ye was namanye discretion bund. Never to invite" which is in the principle of benefit. If you reach the legal sanctions, it's still a reference to "YBS. It's not a problem with MAH FELL. XDD</v>
      </c>
    </row>
    <row r="8945" ht="15.75" customHeight="1">
      <c r="A8945" s="2">
        <v>8968.0</v>
      </c>
      <c r="B8945" s="5" t="s">
        <v>16330</v>
      </c>
      <c r="C8945" s="6">
        <v>1.0</v>
      </c>
      <c r="D8945" s="7" t="s">
        <v>16331</v>
      </c>
      <c r="E8945" s="8" t="str">
        <f>IFERROR(__xludf.DUMMYFUNCTION("googletranslate(D8945,""id"",""en"")"),"Perhaps the meaning of PPKM stands for the project full of corruption and stalled times aa")</f>
        <v>Perhaps the meaning of PPKM stands for the project full of corruption and stalled times aa</v>
      </c>
    </row>
    <row r="8946" ht="15.75" customHeight="1">
      <c r="A8946" s="2">
        <v>8969.0</v>
      </c>
      <c r="B8946" s="5" t="s">
        <v>16332</v>
      </c>
      <c r="C8946" s="6">
        <v>2.0</v>
      </c>
      <c r="D8946" s="7" t="s">
        <v>16333</v>
      </c>
      <c r="E8946" s="8" t="str">
        <f>IFERROR(__xludf.DUMMYFUNCTION("googletranslate(D8946,""id"",""en"")"),"With this PPKM try trading from RB last night, it can start Open Mind! Money Management must be strong! Hehe my friends might play or not?")</f>
        <v>With this PPKM try trading from RB last night, it can start Open Mind! Money Management must be strong! Hehe my friends might play or not?</v>
      </c>
    </row>
    <row r="8947" ht="15.75" customHeight="1">
      <c r="A8947" s="2">
        <v>8970.0</v>
      </c>
      <c r="B8947" s="5" t="s">
        <v>16334</v>
      </c>
      <c r="C8947" s="6">
        <v>3.0</v>
      </c>
      <c r="D8947" s="9" t="s">
        <v>16335</v>
      </c>
      <c r="E8947" s="8" t="str">
        <f>IFERROR(__xludf.DUMMYFUNCTION("googletranslate(D8947,""id"",""en"")"),"PPKM: Believe must be a state of improvement. So, don't think u / give up through the more difficult day. Rest assured the help PSTI &amp; amp; What God plans our BG inevitability O / Anyone. the best renc. Yuuk works lagisemangaataat God and us")</f>
        <v>PPKM: Believe must be a state of improvement. So, don't think u / give up through the more difficult day. Rest assured the help PSTI &amp; amp; What God plans our BG inevitability O / Anyone. the best renc. Yuuk works lagisemangaataat God and us</v>
      </c>
    </row>
    <row r="8948" ht="15.75" customHeight="1">
      <c r="A8948" s="2">
        <v>8971.0</v>
      </c>
      <c r="B8948" s="5" t="s">
        <v>16336</v>
      </c>
      <c r="C8948" s="6">
        <v>1.0</v>
      </c>
      <c r="D8948" s="9" t="s">
        <v>16336</v>
      </c>
      <c r="E8948" s="8" t="str">
        <f>IFERROR(__xludf.DUMMYFUNCTION("googletranslate(D8948,""id"",""en"")"),"Plunder plongo koq led .... ppkm")</f>
        <v>Plunder plongo koq led .... ppkm</v>
      </c>
    </row>
    <row r="8949" ht="15.75" customHeight="1">
      <c r="A8949" s="2">
        <v>8972.0</v>
      </c>
      <c r="B8949" s="5" t="s">
        <v>16337</v>
      </c>
      <c r="C8949" s="6">
        <v>3.0</v>
      </c>
      <c r="D8949" s="10" t="s">
        <v>16338</v>
      </c>
      <c r="E8949" s="8" t="str">
        <f>IFERROR(__xludf.DUMMYFUNCTION("googletranslate(D8949,""id"",""en"")"),"Obey PPKM ...")</f>
        <v>Obey PPKM ...</v>
      </c>
    </row>
    <row r="8950" ht="15.75" customHeight="1">
      <c r="A8950" s="2">
        <v>8973.0</v>
      </c>
      <c r="B8950" s="5" t="s">
        <v>16339</v>
      </c>
      <c r="C8950" s="6">
        <v>1.0</v>
      </c>
      <c r="D8950" s="7" t="s">
        <v>16340</v>
      </c>
      <c r="E8950" s="8" t="str">
        <f>IFERROR(__xludf.DUMMYFUNCTION("googletranslate(D8950,""id"",""en"")"),"The mosque may be used by Muadzin or MrK which can indeed replete but certainly not used like it is not emergency. KL Emergency Emergency TDJ is supported then Masy's economy and health will continue to be affected by DSN")</f>
        <v>The mosque may be used by Muadzin or MrK which can indeed replete but certainly not used like it is not emergency. KL Emergency Emergency TDJ is supported then Masy's economy and health will continue to be affected by DSN</v>
      </c>
    </row>
    <row r="8951" ht="15.75" customHeight="1">
      <c r="A8951" s="2">
        <v>8974.0</v>
      </c>
      <c r="B8951" s="5" t="s">
        <v>16341</v>
      </c>
      <c r="C8951" s="6">
        <v>2.0</v>
      </c>
      <c r="D8951" s="7" t="s">
        <v>16341</v>
      </c>
      <c r="E8951" s="8" t="str">
        <f>IFERROR(__xludf.DUMMYFUNCTION("googletranslate(D8951,""id"",""en"")"),"Ppkm - slowly you disappear")</f>
        <v>Ppkm - slowly you disappear</v>
      </c>
    </row>
    <row r="8952" ht="15.75" customHeight="1">
      <c r="A8952" s="2">
        <v>8975.0</v>
      </c>
      <c r="B8952" s="5" t="s">
        <v>16342</v>
      </c>
      <c r="C8952" s="6">
        <v>3.0</v>
      </c>
      <c r="D8952" s="7" t="s">
        <v>16343</v>
      </c>
      <c r="E8952" s="8" t="str">
        <f>IFERROR(__xludf.DUMMYFUNCTION("googletranslate(D8952,""id"",""en"")"),"We support PPKM")</f>
        <v>We support PPKM</v>
      </c>
    </row>
    <row r="8953" ht="15.75" customHeight="1">
      <c r="A8953" s="2">
        <v>8976.0</v>
      </c>
      <c r="B8953" s="5" t="s">
        <v>16344</v>
      </c>
      <c r="C8953" s="6">
        <v>1.0</v>
      </c>
      <c r="D8953" s="7" t="s">
        <v>16345</v>
      </c>
      <c r="E8953" s="8" t="str">
        <f>IFERROR(__xludf.DUMMYFUNCTION("googletranslate(D8953,""id"",""en"")"),"This which damaged PPKM, he himself told people to gather")</f>
        <v>This which damaged PPKM, he himself told people to gather</v>
      </c>
    </row>
    <row r="8954" ht="15.75" customHeight="1">
      <c r="A8954" s="2">
        <v>8977.0</v>
      </c>
      <c r="B8954" s="5" t="s">
        <v>16346</v>
      </c>
      <c r="C8954" s="6">
        <v>2.0</v>
      </c>
      <c r="D8954" s="9" t="s">
        <v>16346</v>
      </c>
      <c r="E8954" s="8" t="str">
        <f>IFERROR(__xludf.DUMMYFUNCTION("googletranslate(D8954,""id"",""en"")"),"Ppkm extended until all people khatam madilog")</f>
        <v>Ppkm extended until all people khatam madilog</v>
      </c>
    </row>
    <row r="8955" ht="15.75" customHeight="1">
      <c r="A8955" s="2">
        <v>8978.0</v>
      </c>
      <c r="B8955" s="5" t="s">
        <v>16347</v>
      </c>
      <c r="C8955" s="6">
        <v>2.0</v>
      </c>
      <c r="D8955" s="9" t="s">
        <v>16348</v>
      </c>
      <c r="E8955" s="8" t="str">
        <f>IFERROR(__xludf.DUMMYFUNCTION("googletranslate(D8955,""id"",""en"")"),"Dah PPKM Lom Early?")</f>
        <v>Dah PPKM Lom Early?</v>
      </c>
    </row>
    <row r="8956" ht="15.75" customHeight="1">
      <c r="A8956" s="2">
        <v>8979.0</v>
      </c>
      <c r="B8956" s="5" t="s">
        <v>16349</v>
      </c>
      <c r="C8956" s="6">
        <v>3.0</v>
      </c>
      <c r="D8956" s="7" t="s">
        <v>16350</v>
      </c>
      <c r="E8956" s="8" t="str">
        <f>IFERROR(__xludf.DUMMYFUNCTION("googletranslate(D8956,""id"",""en"")"),"Ppkppercayalahpasticumumblow lives to live better, today here now enjoy your life")</f>
        <v>Ppkppercayalahpasticumumblow lives to live better, today here now enjoy your life</v>
      </c>
    </row>
    <row r="8957" ht="15.75" customHeight="1">
      <c r="A8957" s="2">
        <v>8980.0</v>
      </c>
      <c r="B8957" s="5" t="s">
        <v>16351</v>
      </c>
      <c r="C8957" s="6">
        <v>1.0</v>
      </c>
      <c r="D8957" s="9" t="s">
        <v>16352</v>
      </c>
      <c r="E8957" s="8" t="str">
        <f>IFERROR(__xludf.DUMMYFUNCTION("googletranslate(D8957,""id"",""en"")"),"Even though there is comorbid, bro ... it's brave enough without a mask ... PPKM PP ... it doesn't think of the family and to his colleague, it will be later ... it's selfish this man ..")</f>
        <v>Even though there is comorbid, bro ... it's brave enough without a mask ... PPKM PP ... it doesn't think of the family and to his colleague, it will be later ... it's selfish this man ..</v>
      </c>
    </row>
    <row r="8958" ht="15.75" customHeight="1">
      <c r="A8958" s="2">
        <v>8981.0</v>
      </c>
      <c r="B8958" s="5" t="s">
        <v>16353</v>
      </c>
      <c r="C8958" s="6">
        <v>1.0</v>
      </c>
      <c r="D8958" s="9" t="s">
        <v>16354</v>
      </c>
      <c r="E8958" s="8" t="str">
        <f>IFERROR(__xludf.DUMMYFUNCTION("googletranslate(D8958,""id"",""en"")"),"If the crowd is like this does not include violations of PPKM ...?")</f>
        <v>If the crowd is like this does not include violations of PPKM ...?</v>
      </c>
    </row>
    <row r="8959" ht="15.75" customHeight="1">
      <c r="A8959" s="2">
        <v>8982.0</v>
      </c>
      <c r="B8959" s="5" t="s">
        <v>16355</v>
      </c>
      <c r="C8959" s="6">
        <v>2.0</v>
      </c>
      <c r="D8959" s="7" t="s">
        <v>16356</v>
      </c>
      <c r="E8959" s="8" t="str">
        <f>IFERROR(__xludf.DUMMYFUNCTION("googletranslate(D8959,""id"",""en"")"),"The case has increased the red zone, it seems like it is and there is also a regent regarding PPKM but from the beginning of the district, it can't be related to the percentage of employees, the restrictions on service just say")</f>
        <v>The case has increased the red zone, it seems like it is and there is also a regent regarding PPKM but from the beginning of the district, it can't be related to the percentage of employees, the restrictions on service just say</v>
      </c>
    </row>
    <row r="8960" ht="15.75" customHeight="1">
      <c r="A8960" s="2">
        <v>8983.0</v>
      </c>
      <c r="B8960" s="5" t="s">
        <v>16357</v>
      </c>
      <c r="C8960" s="6">
        <v>1.0</v>
      </c>
      <c r="D8960" s="9" t="s">
        <v>16358</v>
      </c>
      <c r="E8960" s="8" t="str">
        <f>IFERROR(__xludf.DUMMYFUNCTION("googletranslate(D8960,""id"",""en"")"),"it's a standard, it's strange if it doesn't close, when India is initial to increase the country that closes but strangely Indonesia there is even an Indian who enters PSWT chartered, after it is spread by the Indian variant, even then it doesn't directly"&amp;" lockdown but finally the ppkm appears.")</f>
        <v>it's a standard, it's strange if it doesn't close, when India is initial to increase the country that closes but strangely Indonesia there is even an Indian who enters PSWT chartered, after it is spread by the Indian variant, even then it doesn't directly lockdown but finally the ppkm appears.</v>
      </c>
    </row>
    <row r="8961" ht="15.75" customHeight="1">
      <c r="A8961" s="2">
        <v>8984.0</v>
      </c>
      <c r="B8961" s="5" t="s">
        <v>16359</v>
      </c>
      <c r="C8961" s="6">
        <v>2.0</v>
      </c>
      <c r="D8961" s="7" t="s">
        <v>16360</v>
      </c>
      <c r="E8961" s="8" t="str">
        <f>IFERROR(__xludf.DUMMYFUNCTION("googletranslate(D8961,""id"",""en"")"),"PPKM time is extended and if the results are the same, the penalty will be carried out")</f>
        <v>PPKM time is extended and if the results are the same, the penalty will be carried out</v>
      </c>
    </row>
    <row r="8962" ht="15.75" customHeight="1">
      <c r="A8962" s="2">
        <v>8985.0</v>
      </c>
      <c r="B8962" s="5" t="s">
        <v>16361</v>
      </c>
      <c r="C8962" s="6">
        <v>1.0</v>
      </c>
      <c r="D8962" s="9" t="s">
        <v>16362</v>
      </c>
      <c r="E8962" s="8" t="str">
        <f>IFERROR(__xludf.DUMMYFUNCTION("googletranslate(D8962,""id"",""en"")"),"Koar-koar lu first and densi who finally made a ppkm now, how come it throws savage talk to people? Don't realize yourself so?")</f>
        <v>Koar-koar lu first and densi who finally made a ppkm now, how come it throws savage talk to people? Don't realize yourself so?</v>
      </c>
    </row>
    <row r="8963" ht="15.75" customHeight="1">
      <c r="A8963" s="2">
        <v>8986.0</v>
      </c>
      <c r="B8963" s="5" t="s">
        <v>16363</v>
      </c>
      <c r="C8963" s="6">
        <v>1.0</v>
      </c>
      <c r="D8963" s="7" t="s">
        <v>16363</v>
      </c>
      <c r="E8963" s="8" t="str">
        <f>IFERROR(__xludf.DUMMYFUNCTION("googletranslate(D8963,""id"",""en"")"),"Again PPKM a lot of fire, what do people don't get more emotions ???")</f>
        <v>Again PPKM a lot of fire, what do people don't get more emotions ???</v>
      </c>
    </row>
    <row r="8964" ht="15.75" customHeight="1">
      <c r="A8964" s="2">
        <v>8987.0</v>
      </c>
      <c r="B8964" s="5" t="s">
        <v>16364</v>
      </c>
      <c r="C8964" s="6">
        <v>1.0</v>
      </c>
      <c r="D8964" s="7" t="s">
        <v>16365</v>
      </c>
      <c r="E8964" s="8" t="str">
        <f>IFERROR(__xludf.DUMMYFUNCTION("googletranslate(D8964,""id"",""en"")"),"During the PPKM so shift malem, the eyes become more slanted")</f>
        <v>During the PPKM so shift malem, the eyes become more slanted</v>
      </c>
    </row>
    <row r="8965" ht="15.75" customHeight="1">
      <c r="A8965" s="2">
        <v>8988.0</v>
      </c>
      <c r="B8965" s="5" t="s">
        <v>16366</v>
      </c>
      <c r="C8965" s="6">
        <v>1.0</v>
      </c>
      <c r="D8965" s="7" t="s">
        <v>16367</v>
      </c>
      <c r="E8965" s="8" t="str">
        <f>IFERROR(__xludf.DUMMYFUNCTION("googletranslate(D8965,""id"",""en"")"),"Mr. President of the PPKM program why did the tip of the tip of closing a small small shop? The smallest shop is the most and even then alternately, maybe far away with the group of PPKM teams? Great sin let something for office")</f>
        <v>Mr. President of the PPKM program why did the tip of the tip of closing a small small shop? The smallest shop is the most and even then alternately, maybe far away with the group of PPKM teams? Great sin let something for office</v>
      </c>
    </row>
    <row r="8966" ht="15.75" customHeight="1">
      <c r="A8966" s="2">
        <v>8989.0</v>
      </c>
      <c r="B8966" s="5" t="s">
        <v>16368</v>
      </c>
      <c r="C8966" s="6">
        <v>2.0</v>
      </c>
      <c r="D8966" s="9" t="s">
        <v>16369</v>
      </c>
      <c r="E8966" s="8" t="str">
        <f>IFERROR(__xludf.DUMMYFUNCTION("googletranslate(D8966,""id"",""en"")"),"Tigas regional government recorded well that the emergency ppkm impacted without missing shg emergency ppkm BS takes place well and mrk mrk is not aware that it is increasingly conscious and it is reluctant to come out especially if it can stay at the hou"&amp;"se, it still makes me down the bottom it will be affected")</f>
        <v>Tigas regional government recorded well that the emergency ppkm impacted without missing shg emergency ppkm BS takes place well and mrk mrk is not aware that it is increasingly conscious and it is reluctant to come out especially if it can stay at the house, it still makes me down the bottom it will be affected</v>
      </c>
    </row>
    <row r="8967" ht="15.75" customHeight="1">
      <c r="A8967" s="2">
        <v>8990.0</v>
      </c>
      <c r="B8967" s="5" t="s">
        <v>16370</v>
      </c>
      <c r="C8967" s="6">
        <v>2.0</v>
      </c>
      <c r="D8967" s="7" t="s">
        <v>16371</v>
      </c>
      <c r="E8967" s="8" t="str">
        <f>IFERROR(__xludf.DUMMYFUNCTION("googletranslate(D8967,""id"",""en"")"),"Agree. Not to imagine when PPKM was held, at the end of the normal moment it would be circulating to circulate this Delta variant. Except when he survived at home, vaccination was encouraged by a maximum of $ NUMBER $ million per day.")</f>
        <v>Agree. Not to imagine when PPKM was held, at the end of the normal moment it would be circulating to circulate this Delta variant. Except when he survived at home, vaccination was encouraged by a maximum of $ NUMBER $ million per day.</v>
      </c>
    </row>
    <row r="8968" ht="15.75" customHeight="1">
      <c r="A8968" s="2">
        <v>8991.0</v>
      </c>
      <c r="B8968" s="5" t="s">
        <v>16372</v>
      </c>
      <c r="C8968" s="6">
        <v>1.0</v>
      </c>
      <c r="D8968" s="9" t="s">
        <v>16373</v>
      </c>
      <c r="E8968" s="8" t="str">
        <f>IFERROR(__xludf.DUMMYFUNCTION("googletranslate(D8968,""id"",""en"")"),"ppkm mulu this dong mah, until the prophet is going down")</f>
        <v>ppkm mulu this dong mah, until the prophet is going down</v>
      </c>
    </row>
    <row r="8969" ht="15.75" customHeight="1">
      <c r="A8969" s="2">
        <v>8992.0</v>
      </c>
      <c r="B8969" s="5" t="s">
        <v>16374</v>
      </c>
      <c r="C8969" s="6">
        <v>1.0</v>
      </c>
      <c r="D8969" s="7" t="s">
        <v>16375</v>
      </c>
      <c r="E8969" s="8" t="str">
        <f>IFERROR(__xludf.DUMMYFUNCTION("googletranslate(D8969,""id"",""en"")"),"YLBHI: Government Use the term PSBB to PPKM to avoid the obligation to fulfill the needs of citizens == Ari legal side Salah n in terms of non-law is not really, Dzolim &amp; amp; stingy on the people, it can be interpreted to protect crony corruptors &amp; amp; "&amp;"oligarka. ===.")</f>
        <v>YLBHI: Government Use the term PSBB to PPKM to avoid the obligation to fulfill the needs of citizens == Ari legal side Salah n in terms of non-law is not really, Dzolim &amp; amp; stingy on the people, it can be interpreted to protect crony corruptors &amp; amp; oligarka. ===.</v>
      </c>
    </row>
    <row r="8970" ht="15.75" customHeight="1">
      <c r="A8970" s="2">
        <v>8993.0</v>
      </c>
      <c r="B8970" s="5" t="s">
        <v>16376</v>
      </c>
      <c r="C8970" s="6">
        <v>2.0</v>
      </c>
      <c r="D8970" s="7" t="s">
        <v>16377</v>
      </c>
      <c r="E8970" s="8" t="str">
        <f>IFERROR(__xludf.DUMMYFUNCTION("googletranslate(D8970,""id"",""en"")"),"Domestic News !!! Due to the PPKM which extended many residents who opened Open Bo services. That is all and thank you")</f>
        <v>Domestic News !!! Due to the PPKM which extended many residents who opened Open Bo services. That is all and thank you</v>
      </c>
    </row>
    <row r="8971" ht="15.75" customHeight="1">
      <c r="A8971" s="2">
        <v>8994.0</v>
      </c>
      <c r="B8971" s="5" t="s">
        <v>16378</v>
      </c>
      <c r="C8971" s="6">
        <v>1.0</v>
      </c>
      <c r="D8971" s="9" t="s">
        <v>16379</v>
      </c>
      <c r="E8971" s="8" t="str">
        <f>IFERROR(__xludf.DUMMYFUNCTION("googletranslate(D8971,""id"",""en"")"),"Try to rebuke KY DR to Dr. Lois Period PPKM Even Honeymoonklp The people who like it, don't protest Tuhttp Fair and objectively Docs")</f>
        <v>Try to rebuke KY DR to Dr. Lois Period PPKM Even Honeymoonklp The people who like it, don't protest Tuhttp Fair and objectively Docs</v>
      </c>
    </row>
    <row r="8972" ht="15.75" customHeight="1">
      <c r="A8972" s="2">
        <v>8995.0</v>
      </c>
      <c r="B8972" s="5" t="s">
        <v>16380</v>
      </c>
      <c r="C8972" s="6">
        <v>2.0</v>
      </c>
      <c r="D8972" s="7" t="s">
        <v>16381</v>
      </c>
      <c r="E8972" s="8" t="str">
        <f>IFERROR(__xludf.DUMMYFUNCTION("googletranslate(D8972,""id"",""en"")"),"LDR + PPKM, I can what Siss")</f>
        <v>LDR + PPKM, I can what Siss</v>
      </c>
    </row>
    <row r="8973" ht="15.75" customHeight="1">
      <c r="A8973" s="2">
        <v>8996.0</v>
      </c>
      <c r="B8973" s="5" t="s">
        <v>16382</v>
      </c>
      <c r="C8973" s="6">
        <v>1.0</v>
      </c>
      <c r="D8973" s="7" t="s">
        <v>16383</v>
      </c>
      <c r="E8973" s="8" t="str">
        <f>IFERROR(__xludf.DUMMYFUNCTION("googletranslate(D8973,""id"",""en"")"),"This can not be an approvage, it doesn't work anymore, the PPKM is afraid of a bank covering fast, if you panic ... Can you do it or not *** Open a decrease in permanent UKT? I mean, my father retired his salary goes down .. Kl every semester must be comp"&amp;"licated for the complicated online cuymana, I don't get-")</f>
        <v>This can not be an approvage, it doesn't work anymore, the PPKM is afraid of a bank covering fast, if you panic ... Can you do it or not *** Open a decrease in permanent UKT? I mean, my father retired his salary goes down .. Kl every semester must be complicated for the complicated online cuymana, I don't get-</v>
      </c>
    </row>
    <row r="8974" ht="15.75" customHeight="1">
      <c r="A8974" s="2">
        <v>8997.0</v>
      </c>
      <c r="B8974" s="5" t="s">
        <v>16384</v>
      </c>
      <c r="C8974" s="6">
        <v>2.0</v>
      </c>
      <c r="D8974" s="7" t="s">
        <v>16384</v>
      </c>
      <c r="E8974" s="8" t="str">
        <f>IFERROR(__xludf.DUMMYFUNCTION("googletranslate(D8974,""id"",""en"")"),"The headset grew next to the cable charger torn plus PPKM")</f>
        <v>The headset grew next to the cable charger torn plus PPKM</v>
      </c>
    </row>
    <row r="8975" ht="15.75" customHeight="1">
      <c r="A8975" s="2">
        <v>8998.0</v>
      </c>
      <c r="B8975" s="5" t="s">
        <v>16385</v>
      </c>
      <c r="C8975" s="6">
        <v>2.0</v>
      </c>
      <c r="D8975" s="7" t="s">
        <v>16386</v>
      </c>
      <c r="E8975" s="8" t="str">
        <f>IFERROR(__xludf.DUMMYFUNCTION("googletranslate(D8975,""id"",""en"")"),"Interest, CMN PPKM")</f>
        <v>Interest, CMN PPKM</v>
      </c>
    </row>
    <row r="8976" ht="15.75" customHeight="1">
      <c r="A8976" s="2">
        <v>9001.0</v>
      </c>
      <c r="B8976" s="5" t="s">
        <v>2805</v>
      </c>
      <c r="C8976" s="6">
        <v>2.0</v>
      </c>
      <c r="D8976" s="9" t="s">
        <v>2806</v>
      </c>
      <c r="E8976" s="8" t="str">
        <f>IFERROR(__xludf.DUMMYFUNCTION("googletranslate(D8976,""id"",""en"")"),"PPKM with a new concept. PPKM needs to reduce the positive number of Covid and suppress the spread of transmission. What needs to be evaluated because all the lines of life have to walk. Do you vaccine ... !!! Come on vaccines ... !!")</f>
        <v>PPKM with a new concept. PPKM needs to reduce the positive number of Covid and suppress the spread of transmission. What needs to be evaluated because all the lines of life have to walk. Do you vaccine ... !!! Come on vaccines ... !!</v>
      </c>
    </row>
    <row r="8977" ht="15.75" customHeight="1">
      <c r="A8977" s="2">
        <v>9005.0</v>
      </c>
      <c r="B8977" s="5" t="s">
        <v>16387</v>
      </c>
      <c r="C8977" s="6">
        <v>2.0</v>
      </c>
      <c r="D8977" s="9" t="s">
        <v>16388</v>
      </c>
      <c r="E8977" s="8" t="str">
        <f>IFERROR(__xludf.DUMMYFUNCTION("googletranslate(D8977,""id"",""en"")"),"Happy Eid al-Adha Hmy First Time Lebaran far from the family: ') For those of you who are kids rantau or what I can't get a family gather, hopefully everything is given patience and strength, aamiin.Ngadain Ied prayer in the mosque / field isn't you? or m"&amp;"sh ppkm too?")</f>
        <v>Happy Eid al-Adha Hmy First Time Lebaran far from the family: ') For those of you who are kids rantau or what I can't get a family gather, hopefully everything is given patience and strength, aamiin.Ngadain Ied prayer in the mosque / field isn't you? or msh ppkm too?</v>
      </c>
    </row>
    <row r="8978" ht="15.75" customHeight="1">
      <c r="A8978" s="2">
        <v>9007.0</v>
      </c>
      <c r="B8978" s="5" t="s">
        <v>2815</v>
      </c>
      <c r="C8978" s="6">
        <v>1.0</v>
      </c>
      <c r="D8978" s="7" t="s">
        <v>2816</v>
      </c>
      <c r="E8978" s="8" t="str">
        <f>IFERROR(__xludf.DUMMYFUNCTION("googletranslate(D8978,""id"",""en"")"),"PPKM, Live Conferences")</f>
        <v>PPKM, Live Conferences</v>
      </c>
    </row>
    <row r="8979" ht="15.75" customHeight="1">
      <c r="A8979" s="2">
        <v>9013.0</v>
      </c>
      <c r="B8979" s="5" t="s">
        <v>16389</v>
      </c>
      <c r="C8979" s="6">
        <v>2.0</v>
      </c>
      <c r="D8979" s="7" t="s">
        <v>16390</v>
      </c>
      <c r="E8979" s="8" t="str">
        <f>IFERROR(__xludf.DUMMYFUNCTION("googletranslate(D8979,""id"",""en"")"),"Ortu W Kekeuh Bat is looking for a mosque that has the IED prayer. Ready, PPKM.")</f>
        <v>Ortu W Kekeuh Bat is looking for a mosque that has the IED prayer. Ready, PPKM.</v>
      </c>
    </row>
    <row r="8980" ht="15.75" customHeight="1">
      <c r="A8980" s="2">
        <v>9014.0</v>
      </c>
      <c r="B8980" s="5" t="s">
        <v>16391</v>
      </c>
      <c r="C8980" s="6">
        <v>2.0</v>
      </c>
      <c r="D8980" s="7" t="s">
        <v>16392</v>
      </c>
      <c r="E8980" s="8" t="str">
        <f>IFERROR(__xludf.DUMMYFUNCTION("googletranslate(D8980,""id"",""en"")"),"Corona, Covid-19, Coronces, PPKM, Micro PPKM, Thickening Micro PPKM, Emergency PPKM, New Normal (SKIP), HERD Immunity, PSBB, PSBL, AKB, $ number $ M, Prokes, ODP, PDP, OTG, RAPID, PCR, Genose, nose, home,. Thats All We Have And Happy")</f>
        <v>Corona, Covid-19, Coronces, PPKM, Micro PPKM, Thickening Micro PPKM, Emergency PPKM, New Normal (SKIP), HERD Immunity, PSBB, PSBL, AKB, $ number $ M, Prokes, ODP, PDP, OTG, RAPID, PCR, Genose, nose, home,. Thats All We Have And Happy</v>
      </c>
    </row>
    <row r="8981" ht="15.75" customHeight="1">
      <c r="A8981" s="2">
        <v>9015.0</v>
      </c>
      <c r="B8981" s="5" t="s">
        <v>16393</v>
      </c>
      <c r="C8981" s="6">
        <v>2.0</v>
      </c>
      <c r="D8981" s="7" t="s">
        <v>16394</v>
      </c>
      <c r="E8981" s="8" t="str">
        <f>IFERROR(__xludf.DUMMYFUNCTION("googletranslate(D8981,""id"",""en"")"),"Hooh ,,,, it seems because of the ppkm")</f>
        <v>Hooh ,,,, it seems because of the ppkm</v>
      </c>
    </row>
    <row r="8982" ht="15.75" customHeight="1">
      <c r="A8982" s="2">
        <v>9021.0</v>
      </c>
      <c r="B8982" s="5" t="s">
        <v>2835</v>
      </c>
      <c r="C8982" s="6">
        <v>2.0</v>
      </c>
      <c r="D8982" s="9" t="s">
        <v>2836</v>
      </c>
      <c r="E8982" s="8" t="str">
        <f>IFERROR(__xludf.DUMMYFUNCTION("googletranslate(D8982,""id"",""en"")"),"If the emergency ppkm must be today to attack")</f>
        <v>If the emergency ppkm must be today to attack</v>
      </c>
    </row>
    <row r="8983" ht="15.75" customHeight="1">
      <c r="A8983" s="2">
        <v>9027.0</v>
      </c>
      <c r="B8983" s="5" t="s">
        <v>2845</v>
      </c>
      <c r="C8983" s="6">
        <v>2.0</v>
      </c>
      <c r="D8983" s="9" t="s">
        <v>2846</v>
      </c>
      <c r="E8983" s="8" t="str">
        <f>IFERROR(__xludf.DUMMYFUNCTION("googletranslate(D8983,""id"",""en"")"),"why don't you make a borong of warung merchandise open when the ppkm just let it be closed on time, it's not closed simultaneously during the week, so that it is even if you don't do a good winning solution, it is class, the transparency is gaadajeritanik"&amp;"at")</f>
        <v>why don't you make a borong of warung merchandise open when the ppkm just let it be closed on time, it's not closed simultaneously during the week, so that it is even if you don't do a good winning solution, it is class, the transparency is gaadajeritanikat</v>
      </c>
    </row>
    <row r="8984" ht="15.75" customHeight="1">
      <c r="A8984" s="2">
        <v>9028.0</v>
      </c>
      <c r="B8984" s="5" t="s">
        <v>16395</v>
      </c>
      <c r="C8984" s="6">
        <v>2.0</v>
      </c>
      <c r="D8984" s="7" t="s">
        <v>16395</v>
      </c>
      <c r="E8984" s="8" t="str">
        <f>IFERROR(__xludf.DUMMYFUNCTION("googletranslate(D8984,""id"",""en"")"),"Lebaran Goat PPKM Edition: Lonely Benerrr")</f>
        <v>Lebaran Goat PPKM Edition: Lonely Benerrr</v>
      </c>
    </row>
    <row r="8985" ht="15.75" customHeight="1">
      <c r="A8985" s="2">
        <v>9031.0</v>
      </c>
      <c r="B8985" s="5" t="s">
        <v>2850</v>
      </c>
      <c r="C8985" s="6">
        <v>2.0</v>
      </c>
      <c r="D8985" s="9" t="s">
        <v>2851</v>
      </c>
      <c r="E8985" s="8" t="str">
        <f>IFERROR(__xludf.DUMMYFUNCTION("googletranslate(D8985,""id"",""en"")"),"sir if there is a PPKM, please consider LG related to transportation to work outside the city. Local kerneta is closed, finally passengers on running to the bus in the general economic bus Prokes are lacking in my opinion especially if the road fleet is n"&amp;"ot%")</f>
        <v>sir if there is a PPKM, please consider LG related to transportation to work outside the city. Local kerneta is closed, finally passengers on running to the bus in the general economic bus Prokes are lacking in my opinion especially if the road fleet is not%</v>
      </c>
    </row>
    <row r="8986" ht="15.75" customHeight="1">
      <c r="A8986" s="2">
        <v>9039.0</v>
      </c>
      <c r="B8986" s="5" t="s">
        <v>16396</v>
      </c>
      <c r="C8986" s="6">
        <v>2.0</v>
      </c>
      <c r="D8986" s="7" t="s">
        <v>16397</v>
      </c>
      <c r="E8986" s="8" t="str">
        <f>IFERROR(__xludf.DUMMYFUNCTION("googletranslate(D8986,""id"",""en"")"),"Heeee, why is it, it's not good for UEUEEEE")</f>
        <v>Heeee, why is it, it's not good for UEUEEEE</v>
      </c>
    </row>
    <row r="8987" ht="15.75" customHeight="1">
      <c r="A8987" s="2">
        <v>9048.0</v>
      </c>
      <c r="B8987" s="5" t="s">
        <v>3124</v>
      </c>
      <c r="C8987" s="6">
        <v>2.0</v>
      </c>
      <c r="D8987" s="7" t="s">
        <v>3125</v>
      </c>
      <c r="E8987" s="8" t="str">
        <f>IFERROR(__xludf.DUMMYFUNCTION("googletranslate(D8987,""id"",""en"")"),"Dah, it's time for us to work now. Ppkm dah Selsai right? How come, at home, the number goes up,")</f>
        <v>Dah, it's time for us to work now. Ppkm dah Selsai right? How come, at home, the number goes up,</v>
      </c>
    </row>
    <row r="8988" ht="15.75" customHeight="1">
      <c r="A8988" s="2">
        <v>9050.0</v>
      </c>
      <c r="B8988" s="5" t="s">
        <v>3128</v>
      </c>
      <c r="C8988" s="6">
        <v>2.0</v>
      </c>
      <c r="D8988" s="7" t="s">
        <v>3128</v>
      </c>
      <c r="E8988" s="8" t="str">
        <f>IFERROR(__xludf.DUMMYFUNCTION("googletranslate(D8988,""id"",""en"")"),"Is the PPKM a form of government failure ...? So that the validity period is extended.")</f>
        <v>Is the PPKM a form of government failure ...? So that the validity period is extended.</v>
      </c>
    </row>
    <row r="8989" ht="15.75" customHeight="1">
      <c r="A8989" s="2">
        <v>9053.0</v>
      </c>
      <c r="B8989" s="5" t="s">
        <v>16398</v>
      </c>
      <c r="C8989" s="6">
        <v>2.0</v>
      </c>
      <c r="D8989" s="7" t="s">
        <v>16399</v>
      </c>
      <c r="E8989" s="8" t="str">
        <f>IFERROR(__xludf.DUMMYFUNCTION("googletranslate(D8989,""id"",""en"")"),"Retreat. O God, hopefully next week it's already an emergency ppkm")</f>
        <v>Retreat. O God, hopefully next week it's already an emergency ppkm</v>
      </c>
    </row>
    <row r="8990" ht="15.75" customHeight="1">
      <c r="A8990" s="2">
        <v>9054.0</v>
      </c>
      <c r="B8990" s="5" t="s">
        <v>16400</v>
      </c>
      <c r="C8990" s="6">
        <v>3.0</v>
      </c>
      <c r="D8990" s="7" t="s">
        <v>16401</v>
      </c>
      <c r="E8990" s="8" t="str">
        <f>IFERROR(__xludf.DUMMYFUNCTION("googletranslate(D8990,""id"",""en"")"),"Yes, it's easy all those who have sacrificed at PPKM can be patient, because if the health system is kollaps like other countries that have many victims so it's hard to find funerals, it can definitely be fried that the government has failed. The governme"&amp;"nt must look for balance and accelerate the vaccine")</f>
        <v>Yes, it's easy all those who have sacrificed at PPKM can be patient, because if the health system is kollaps like other countries that have many victims so it's hard to find funerals, it can definitely be fried that the government has failed. The government must look for balance and accelerate the vaccine</v>
      </c>
    </row>
    <row r="8991" ht="15.75" customHeight="1">
      <c r="A8991" s="2">
        <v>9055.0</v>
      </c>
      <c r="B8991" s="5" t="s">
        <v>3132</v>
      </c>
      <c r="C8991" s="6">
        <v>2.0</v>
      </c>
      <c r="D8991" s="7" t="s">
        <v>3133</v>
      </c>
      <c r="E8991" s="8" t="str">
        <f>IFERROR(__xludf.DUMMYFUNCTION("googletranslate(D8991,""id"",""en"")"),"Buzzerp failed to stem PPKM")</f>
        <v>Buzzerp failed to stem PPKM</v>
      </c>
    </row>
    <row r="8992" ht="15.75" customHeight="1">
      <c r="A8992" s="2">
        <v>9059.0</v>
      </c>
      <c r="B8992" s="5" t="s">
        <v>16402</v>
      </c>
      <c r="C8992" s="6">
        <v>2.0</v>
      </c>
      <c r="D8992" s="7" t="s">
        <v>16403</v>
      </c>
      <c r="E8992" s="8" t="str">
        <f>IFERROR(__xludf.DUMMYFUNCTION("googletranslate(D8992,""id"",""en"")"),"This emergency PPKM is actually easy and does not require fees until trillions, do not need to make up until it makes a scene. Just close all the gas stations there are no vehicles that are on the day after being closed. Do not believe? Just try the pleci"&amp;"d")</f>
        <v>This emergency PPKM is actually easy and does not require fees until trillions, do not need to make up until it makes a scene. Just close all the gas stations there are no vehicles that are on the day after being closed. Do not believe? Just try the plecid</v>
      </c>
    </row>
    <row r="8993" ht="15.75" customHeight="1">
      <c r="A8993" s="2">
        <v>9062.0</v>
      </c>
      <c r="B8993" s="5" t="s">
        <v>3146</v>
      </c>
      <c r="C8993" s="6">
        <v>2.0</v>
      </c>
      <c r="D8993" s="9" t="s">
        <v>3147</v>
      </c>
      <c r="E8993" s="8" t="str">
        <f>IFERROR(__xludf.DUMMYFUNCTION("googletranslate(D8993,""id"",""en"")"),"Met morning Gaes, it doesn't count the wFH DG PPKM. It feels like it's convenient with the xtra work that works more work. I feel productive, but so it's ttp pingin break too. Applg Klu look at the empty road, it looks good for walking. Stay spirit for WF"&amp;"H. Have a great wednesday My Friends")</f>
        <v>Met morning Gaes, it doesn't count the wFH DG PPKM. It feels like it's convenient with the xtra work that works more work. I feel productive, but so it's ttp pingin break too. Applg Klu look at the empty road, it looks good for walking. Stay spirit for WFH. Have a great wednesday My Friends</v>
      </c>
    </row>
    <row r="8994" ht="15.75" customHeight="1">
      <c r="A8994" s="2">
        <v>9065.0</v>
      </c>
      <c r="B8994" s="5" t="s">
        <v>3152</v>
      </c>
      <c r="C8994" s="6">
        <v>2.0</v>
      </c>
      <c r="D8994" s="7" t="s">
        <v>3153</v>
      </c>
      <c r="E8994" s="8" t="str">
        <f>IFERROR(__xludf.DUMMYFUNCTION("googletranslate(D8994,""id"",""en"")"),"CPT finished Kek PPKM Mo home nihh")</f>
        <v>CPT finished Kek PPKM Mo home nihh</v>
      </c>
    </row>
    <row r="8995" ht="15.75" customHeight="1">
      <c r="A8995" s="2">
        <v>9071.0</v>
      </c>
      <c r="B8995" s="5" t="s">
        <v>16404</v>
      </c>
      <c r="C8995" s="6">
        <v>2.0</v>
      </c>
      <c r="D8995" s="7" t="s">
        <v>16405</v>
      </c>
      <c r="E8995" s="8" t="str">
        <f>IFERROR(__xludf.DUMMYFUNCTION("googletranslate(D8995,""id"",""en"")"),"this is the effect of the PPKM extended times, so this is less than working on hastag")</f>
        <v>this is the effect of the PPKM extended times, so this is less than working on hastag</v>
      </c>
    </row>
    <row r="8996" ht="15.75" customHeight="1">
      <c r="A8996" s="2">
        <v>9073.0</v>
      </c>
      <c r="B8996" s="5" t="s">
        <v>16406</v>
      </c>
      <c r="C8996" s="6">
        <v>2.0</v>
      </c>
      <c r="D8996" s="7" t="s">
        <v>16407</v>
      </c>
      <c r="E8996" s="8" t="str">
        <f>IFERROR(__xludf.DUMMYFUNCTION("googletranslate(D8996,""id"",""en"")"),"with Sis ... my school has been ptm when the exam is yesterday, eh, the ppkm ahshshsgs:")</f>
        <v>with Sis ... my school has been ptm when the exam is yesterday, eh, the ppkm ahshshsgs:</v>
      </c>
    </row>
    <row r="8997" ht="15.75" customHeight="1">
      <c r="A8997" s="2">
        <v>9076.0</v>
      </c>
      <c r="B8997" s="5" t="s">
        <v>3170</v>
      </c>
      <c r="C8997" s="6">
        <v>2.0</v>
      </c>
      <c r="D8997" s="9" t="s">
        <v>3171</v>
      </c>
      <c r="E8997" s="8" t="str">
        <f>IFERROR(__xludf.DUMMYFUNCTION("googletranslate(D8997,""id"",""en"")"),"Large Terminal &amp; Amp; Extensive, then because of the PPKM so all of them were banned including the door jg. So yes, run there - run here.")</f>
        <v>Large Terminal &amp; Amp; Extensive, then because of the PPKM so all of them were banned including the door jg. So yes, run there - run here.</v>
      </c>
    </row>
    <row r="8998" ht="15.75" customHeight="1">
      <c r="A8998" s="2">
        <v>9089.0</v>
      </c>
      <c r="B8998" s="5" t="s">
        <v>16408</v>
      </c>
      <c r="C8998" s="6">
        <v>2.0</v>
      </c>
      <c r="D8998" s="9" t="s">
        <v>16409</v>
      </c>
      <c r="E8998" s="8" t="str">
        <f>IFERROR(__xludf.DUMMYFUNCTION("googletranslate(D8998,""id"",""en"")"),"""If you want to master the fool, wrap it with religious robes."" Forget the person who has this quote. Welcome morning Bang Ferdinandpontianak Durian Season Nehh, .ppkm is finished you can visit ....")</f>
        <v>"If you want to master the fool, wrap it with religious robes." Forget the person who has this quote. Welcome morning Bang Ferdinandpontianak Durian Season Nehh, .ppkm is finished you can visit ....</v>
      </c>
    </row>
    <row r="8999" ht="15.75" customHeight="1">
      <c r="A8999" s="2">
        <v>9093.0</v>
      </c>
      <c r="B8999" s="5" t="s">
        <v>3458</v>
      </c>
      <c r="C8999" s="6">
        <v>1.0</v>
      </c>
      <c r="D8999" s="7" t="s">
        <v>3458</v>
      </c>
      <c r="E8999" s="8" t="str">
        <f>IFERROR(__xludf.DUMMYFUNCTION("googletranslate(D8999,""id"",""en"")"),"/ Wal During the PPKM on Java, package delivery is slower? Or just the same?")</f>
        <v>/ Wal During the PPKM on Java, package delivery is slower? Or just the same?</v>
      </c>
    </row>
    <row r="9000" ht="15.75" customHeight="1">
      <c r="A9000" s="2">
        <v>9103.0</v>
      </c>
      <c r="B9000" s="5" t="s">
        <v>16410</v>
      </c>
      <c r="C9000" s="6">
        <v>2.0</v>
      </c>
      <c r="D9000" s="10" t="s">
        <v>16411</v>
      </c>
      <c r="E9000" s="8" t="str">
        <f>IFERROR(__xludf.DUMMYFUNCTION("googletranslate(D9000,""id"",""en"")"),"skip ppkm.")</f>
        <v>skip ppkm.</v>
      </c>
    </row>
    <row r="9001" ht="15.75" customHeight="1">
      <c r="A9001" s="2">
        <v>9104.0</v>
      </c>
      <c r="B9001" s="5" t="s">
        <v>16412</v>
      </c>
      <c r="C9001" s="6">
        <v>2.0</v>
      </c>
      <c r="D9001" s="9" t="s">
        <v>16412</v>
      </c>
      <c r="E9001" s="8" t="str">
        <f>IFERROR(__xludf.DUMMYFUNCTION("googletranslate(D9001,""id"",""en"")"),"The case of the Covid, which is now a lot after before the PPKM is really suggy? Why does the PPKM target the case decrease along with the Krlar PPKM? Should it be like it's like, the target of STLH PPKM? The impact of the PPKM to the case of the case see"&amp;"ms to be just a few weeks later.")</f>
        <v>The case of the Covid, which is now a lot after before the PPKM is really suggy? Why does the PPKM target the case decrease along with the Krlar PPKM? Should it be like it's like, the target of STLH PPKM? The impact of the PPKM to the case of the case seems to be just a few weeks later.</v>
      </c>
    </row>
    <row r="9002" ht="15.75" customHeight="1">
      <c r="A9002" s="2">
        <v>9107.0</v>
      </c>
      <c r="B9002" s="5" t="s">
        <v>16413</v>
      </c>
      <c r="C9002" s="6">
        <v>2.0</v>
      </c>
      <c r="D9002" s="7" t="s">
        <v>16414</v>
      </c>
      <c r="E9002" s="8" t="str">
        <f>IFERROR(__xludf.DUMMYFUNCTION("googletranslate(D9002,""id"",""en"")"),"PPKM Nexxth Levbeullll")</f>
        <v>PPKM Nexxth Levbeullll</v>
      </c>
    </row>
    <row r="9003" ht="15.75" customHeight="1">
      <c r="A9003" s="2">
        <v>9112.0</v>
      </c>
      <c r="B9003" s="5" t="s">
        <v>16415</v>
      </c>
      <c r="C9003" s="6">
        <v>2.0</v>
      </c>
      <c r="D9003" s="7" t="s">
        <v>16416</v>
      </c>
      <c r="E9003" s="8" t="str">
        <f>IFERROR(__xludf.DUMMYFUNCTION("googletranslate(D9003,""id"",""en"")"),"Starting comfortable with the stage, I have to stagnate because of PPKM, Yok Korona Udh Yok.")</f>
        <v>Starting comfortable with the stage, I have to stagnate because of PPKM, Yok Korona Udh Yok.</v>
      </c>
    </row>
    <row r="9004" ht="15.75" customHeight="1">
      <c r="A9004" s="2">
        <v>9114.0</v>
      </c>
      <c r="B9004" s="5" t="s">
        <v>3498</v>
      </c>
      <c r="C9004" s="6">
        <v>2.0</v>
      </c>
      <c r="D9004" s="7" t="s">
        <v>3499</v>
      </c>
      <c r="E9004" s="8" t="str">
        <f>IFERROR(__xludf.DUMMYFUNCTION("googletranslate(D9004,""id"",""en"")"),"Maybe because it feels like it might make a super emergency PPKM term, after that there will be more Emergency Super Duper PPKM if the case increases after the Emergency PPKM applies, the selection of the term is increasingly difficult ...")</f>
        <v>Maybe because it feels like it might make a super emergency PPKM term, after that there will be more Emergency Super Duper PPKM if the case increases after the Emergency PPKM applies, the selection of the term is increasingly difficult ...</v>
      </c>
    </row>
    <row r="9005" ht="15.75" customHeight="1">
      <c r="A9005" s="2">
        <v>9120.0</v>
      </c>
      <c r="B9005" s="5" t="s">
        <v>16417</v>
      </c>
      <c r="C9005" s="6">
        <v>3.0</v>
      </c>
      <c r="D9005" s="7" t="s">
        <v>16418</v>
      </c>
      <c r="E9005" s="8" t="str">
        <f>IFERROR(__xludf.DUMMYFUNCTION("googletranslate(D9005,""id"",""en"")"),"Who wants to continue the canal is limited in the move, especially for someone whose income is daily ... let's obey the rigorous proces and support PPKM so that the positive number of Covid19 will soon decrease and PPKM is stopped.")</f>
        <v>Who wants to continue the canal is limited in the move, especially for someone whose income is daily ... let's obey the rigorous proces and support PPKM so that the positive number of Covid19 will soon decrease and PPKM is stopped.</v>
      </c>
    </row>
    <row r="9006" ht="15.75" customHeight="1">
      <c r="A9006" s="2">
        <v>9122.0</v>
      </c>
      <c r="B9006" s="5" t="s">
        <v>16419</v>
      </c>
      <c r="C9006" s="6">
        <v>2.0</v>
      </c>
      <c r="D9006" s="7" t="s">
        <v>16420</v>
      </c>
      <c r="E9006" s="8" t="str">
        <f>IFERROR(__xludf.DUMMYFUNCTION("googletranslate(D9006,""id"",""en"")"),"PPKM is you (the young dick youth),")</f>
        <v>PPKM is you (the young dick youth),</v>
      </c>
    </row>
    <row r="9007" ht="15.75" customHeight="1">
      <c r="A9007" s="2">
        <v>9123.0</v>
      </c>
      <c r="B9007" s="5" t="s">
        <v>3516</v>
      </c>
      <c r="C9007" s="6">
        <v>2.0</v>
      </c>
      <c r="D9007" s="7" t="s">
        <v>3517</v>
      </c>
      <c r="E9007" s="8" t="str">
        <f>IFERROR(__xludf.DUMMYFUNCTION("googletranslate(D9007,""id"",""en"")"),"Ihh really aduin org lgi ppkm worship at home too")</f>
        <v>Ihh really aduin org lgi ppkm worship at home too</v>
      </c>
    </row>
    <row r="9008" ht="15.75" customHeight="1">
      <c r="A9008" s="2">
        <v>9124.0</v>
      </c>
      <c r="B9008" s="5" t="s">
        <v>16421</v>
      </c>
      <c r="C9008" s="6">
        <v>3.0</v>
      </c>
      <c r="D9008" s="7" t="s">
        <v>16422</v>
      </c>
      <c r="E9008" s="8" t="str">
        <f>IFERROR(__xludf.DUMMYFUNCTION("googletranslate(D9008,""id"",""en"")"),"This emergency PPKM inevitably has to be extended because the FASKES load is still high, the mortality rate is still high, so if it is not extended this will contribute to the situation worse, but certainly cannot be long.")</f>
        <v>This emergency PPKM inevitably has to be extended because the FASKES load is still high, the mortality rate is still high, so if it is not extended this will contribute to the situation worse, but certainly cannot be long.</v>
      </c>
    </row>
    <row r="9009" ht="15.75" customHeight="1">
      <c r="A9009" s="2">
        <v>9125.0</v>
      </c>
      <c r="B9009" s="5" t="s">
        <v>3518</v>
      </c>
      <c r="C9009" s="6">
        <v>2.0</v>
      </c>
      <c r="D9009" s="7" t="s">
        <v>3519</v>
      </c>
      <c r="E9009" s="8" t="str">
        <f>IFERROR(__xludf.DUMMYFUNCTION("googletranslate(D9009,""id"",""en"")"),"good morning gangs again the emergency ppkm day but still gbs kmn huahahaha")</f>
        <v>good morning gangs again the emergency ppkm day but still gbs kmn huahahaha</v>
      </c>
    </row>
    <row r="9010" ht="15.75" customHeight="1">
      <c r="A9010" s="2">
        <v>9128.0</v>
      </c>
      <c r="B9010" s="5" t="s">
        <v>3526</v>
      </c>
      <c r="C9010" s="6">
        <v>2.0</v>
      </c>
      <c r="D9010" s="9" t="s">
        <v>3527</v>
      </c>
      <c r="E9010" s="8" t="str">
        <f>IFERROR(__xludf.DUMMYFUNCTION("googletranslate(D9010,""id"",""en"")"),"PPKM stands for the enactment of restrictions on community activities, bang. Gow it, don't hang out at Warkop, read the news occasionally. At least if you want to be a burden on the family must have social awareness too.")</f>
        <v>PPKM stands for the enactment of restrictions on community activities, bang. Gow it, don't hang out at Warkop, read the news occasionally. At least if you want to be a burden on the family must have social awareness too.</v>
      </c>
    </row>
    <row r="9011" ht="15.75" customHeight="1">
      <c r="A9011" s="2">
        <v>9133.0</v>
      </c>
      <c r="B9011" s="5" t="s">
        <v>3757</v>
      </c>
      <c r="C9011" s="6">
        <v>2.0</v>
      </c>
      <c r="D9011" s="9" t="s">
        <v>3758</v>
      </c>
      <c r="E9011" s="8" t="str">
        <f>IFERROR(__xludf.DUMMYFUNCTION("googletranslate(D9011,""id"",""en"")"),"Yes, like a jammed opportunity due to PPKM, the driver is creating with officers. SS is just the audience ??")</f>
        <v>Yes, like a jammed opportunity due to PPKM, the driver is creating with officers. SS is just the audience ??</v>
      </c>
    </row>
    <row r="9012" ht="15.75" customHeight="1">
      <c r="A9012" s="2">
        <v>9137.0</v>
      </c>
      <c r="B9012" s="5" t="s">
        <v>3764</v>
      </c>
      <c r="C9012" s="6">
        <v>2.0</v>
      </c>
      <c r="D9012" s="9" t="s">
        <v>3765</v>
      </c>
      <c r="E9012" s="8" t="str">
        <f>IFERROR(__xludf.DUMMYFUNCTION("googletranslate(D9012,""id"",""en"")"),"Please close the entire entrance to Indonesia from abroad both sea and air land. Virus C19 variants come from many flying flights. If PPKM applies, foreign flights are also stopped without exception.")</f>
        <v>Please close the entire entrance to Indonesia from abroad both sea and air land. Virus C19 variants come from many flying flights. If PPKM applies, foreign flights are also stopped without exception.</v>
      </c>
    </row>
    <row r="9013" ht="15.75" customHeight="1">
      <c r="A9013" s="2">
        <v>9140.0</v>
      </c>
      <c r="B9013" s="5" t="s">
        <v>16423</v>
      </c>
      <c r="C9013" s="6">
        <v>3.0</v>
      </c>
      <c r="D9013" s="7" t="s">
        <v>16424</v>
      </c>
      <c r="E9013" s="8" t="str">
        <f>IFERROR(__xludf.DUMMYFUNCTION("googletranslate(D9013,""id"",""en"")"),"Anies: """" The idiot wants it essential what esenseres should take part in the PPKM rules, this is all for the safety of residents so that they don't fall a lot of deaths again ""'")</f>
        <v>Anies: "" The idiot wants it essential what esenseres should take part in the PPKM rules, this is all for the safety of residents so that they don't fall a lot of deaths again "'</v>
      </c>
    </row>
    <row r="9014" ht="15.75" customHeight="1">
      <c r="A9014" s="2">
        <v>9160.0</v>
      </c>
      <c r="B9014" s="5" t="s">
        <v>3804</v>
      </c>
      <c r="C9014" s="6">
        <v>2.0</v>
      </c>
      <c r="D9014" s="9" t="s">
        <v>3805</v>
      </c>
      <c r="E9014" s="8" t="str">
        <f>IFERROR(__xludf.DUMMYFUNCTION("googletranslate(D9014,""id"",""en"")"),"Same Si, I work on the field. Who must be prepared in the city, outside the city, even outside the city and all. Especially now there is PPKM, even before this PPKM I've tried the list in the office to join the vaccine. But it turned out that the discours"&amp;"e didang, and finally I was positive for and isan")</f>
        <v>Same Si, I work on the field. Who must be prepared in the city, outside the city, even outside the city and all. Especially now there is PPKM, even before this PPKM I've tried the list in the office to join the vaccine. But it turned out that the discourse didang, and finally I was positive for and isan</v>
      </c>
    </row>
    <row r="9015" ht="15.75" customHeight="1">
      <c r="A9015" s="2">
        <v>9169.0</v>
      </c>
      <c r="B9015" s="5" t="s">
        <v>16425</v>
      </c>
      <c r="C9015" s="6">
        <v>2.0</v>
      </c>
      <c r="D9015" s="7" t="s">
        <v>16426</v>
      </c>
      <c r="E9015" s="8" t="str">
        <f>IFERROR(__xludf.DUMMYFUNCTION("googletranslate(D9015,""id"",""en"")"),"why does the padang must be PPKM")</f>
        <v>why does the padang must be PPKM</v>
      </c>
    </row>
    <row r="9016" ht="15.75" customHeight="1">
      <c r="A9016" s="2">
        <v>9170.0</v>
      </c>
      <c r="B9016" s="5" t="s">
        <v>16427</v>
      </c>
      <c r="C9016" s="6">
        <v>2.0</v>
      </c>
      <c r="D9016" s="7" t="s">
        <v>16428</v>
      </c>
      <c r="E9016" s="8" t="str">
        <f>IFERROR(__xludf.DUMMYFUNCTION("googletranslate(D9016,""id"",""en"")"),"The DKI Provincial Government conducts monitoring companies in Jakarta during the Emergency PPKM. From the office, as many companies are temporarily closed.")</f>
        <v>The DKI Provincial Government conducts monitoring companies in Jakarta during the Emergency PPKM. From the office, as many companies are temporarily closed.</v>
      </c>
    </row>
    <row r="9017" ht="15.75" customHeight="1">
      <c r="A9017" s="2">
        <v>9174.0</v>
      </c>
      <c r="B9017" s="5" t="s">
        <v>16429</v>
      </c>
      <c r="C9017" s="6">
        <v>3.0</v>
      </c>
      <c r="D9017" s="7" t="s">
        <v>16430</v>
      </c>
      <c r="E9017" s="8" t="str">
        <f>IFERROR(__xludf.DUMMYFUNCTION("googletranslate(D9017,""id"",""en"")"),"Yeah, it's getting more like this, the government will get a long time, the PPKM incorrectly, it's already cape, I know this two years, everything is prohibited. Let's make us obey prokes, using the same mask don't crowded pliss. Can you get it, so that t"&amp;"his covid is fast enough")</f>
        <v>Yeah, it's getting more like this, the government will get a long time, the PPKM incorrectly, it's already cape, I know this two years, everything is prohibited. Let's make us obey prokes, using the same mask don't crowded pliss. Can you get it, so that this covid is fast enough</v>
      </c>
    </row>
    <row r="9018" ht="15.75" customHeight="1">
      <c r="A9018" s="2">
        <v>9175.0</v>
      </c>
      <c r="B9018" s="5" t="s">
        <v>3829</v>
      </c>
      <c r="C9018" s="6">
        <v>2.0</v>
      </c>
      <c r="D9018" s="9" t="s">
        <v>3830</v>
      </c>
      <c r="E9018" s="8" t="str">
        <f>IFERROR(__xludf.DUMMYFUNCTION("googletranslate(D9018,""id"",""en"")"),"Try behind his perspective, the food wrapped and eating at the house is pleasure, because it is safe and not much potential infected, and is forced to eat outside because it is working is compulsion. Working for PPKM may be a lot, doctors, nakes, police, "&amp;"other officers ...")</f>
        <v>Try behind his perspective, the food wrapped and eating at the house is pleasure, because it is safe and not much potential infected, and is forced to eat outside because it is working is compulsion. Working for PPKM may be a lot, doctors, nakes, police, other officers ...</v>
      </c>
    </row>
    <row r="9019" ht="15.75" customHeight="1">
      <c r="A9019" s="2">
        <v>9178.0</v>
      </c>
      <c r="B9019" s="5" t="s">
        <v>16431</v>
      </c>
      <c r="C9019" s="6">
        <v>1.0</v>
      </c>
      <c r="D9019" s="9" t="s">
        <v>16431</v>
      </c>
      <c r="E9019" s="8" t="str">
        <f>IFERROR(__xludf.DUMMYFUNCTION("googletranslate(D9019,""id"",""en"")"),"It's getting up in the morning and wfh ehhh even ppkm, if gag ppkm can be gowes.")</f>
        <v>It's getting up in the morning and wfh ehhh even ppkm, if gag ppkm can be gowes.</v>
      </c>
    </row>
    <row r="9020" ht="15.75" customHeight="1">
      <c r="A9020" s="2">
        <v>9179.0</v>
      </c>
      <c r="B9020" s="5" t="s">
        <v>16432</v>
      </c>
      <c r="C9020" s="6">
        <v>1.0</v>
      </c>
      <c r="D9020" s="7" t="s">
        <v>16433</v>
      </c>
      <c r="E9020" s="8" t="str">
        <f>IFERROR(__xludf.DUMMYFUNCTION("googletranslate(D9020,""id"",""en"")"),"This month's plan to go to Jogja, the Gajadi GRGM Emergency GRGR is sad, it doesn't turn back")</f>
        <v>This month's plan to go to Jogja, the Gajadi GRGM Emergency GRGR is sad, it doesn't turn back</v>
      </c>
    </row>
    <row r="9021" ht="15.75" customHeight="1">
      <c r="A9021" s="2">
        <v>9180.0</v>
      </c>
      <c r="B9021" s="5" t="s">
        <v>16434</v>
      </c>
      <c r="C9021" s="6">
        <v>1.0</v>
      </c>
      <c r="D9021" s="7" t="s">
        <v>16435</v>
      </c>
      <c r="E9021" s="8" t="str">
        <f>IFERROR(__xludf.DUMMYFUNCTION("googletranslate(D9021,""id"",""en"")"),"PPKmpan-soft pockets")</f>
        <v>PPKmpan-soft pockets</v>
      </c>
    </row>
    <row r="9022" ht="15.75" customHeight="1">
      <c r="A9022" s="2">
        <v>9181.0</v>
      </c>
      <c r="B9022" s="5" t="s">
        <v>16436</v>
      </c>
      <c r="C9022" s="6">
        <v>1.0</v>
      </c>
      <c r="D9022" s="7" t="s">
        <v>16437</v>
      </c>
      <c r="E9022" s="8" t="str">
        <f>IFERROR(__xludf.DUMMYFUNCTION("googletranslate(D9022,""id"",""en"")"),"PPKM: MARIT MARIT Corruption Fan Party. Starving")</f>
        <v>PPKM: MARIT MARIT Corruption Fan Party. Starving</v>
      </c>
    </row>
    <row r="9023" ht="15.75" customHeight="1">
      <c r="A9023" s="2">
        <v>9182.0</v>
      </c>
      <c r="B9023" s="5" t="s">
        <v>16438</v>
      </c>
      <c r="C9023" s="6">
        <v>2.0</v>
      </c>
      <c r="D9023" s="7" t="s">
        <v>16439</v>
      </c>
      <c r="E9023" s="8" t="str">
        <f>IFERROR(__xludf.DUMMYFUNCTION("googletranslate(D9023,""id"",""en"")"),"The policy turned off the lights had been implemented but instead there was a mini market burglary. Is the longer the PPKM crime level high? Wow, I can't do it")</f>
        <v>The policy turned off the lights had been implemented but instead there was a mini market burglary. Is the longer the PPKM crime level high? Wow, I can't do it</v>
      </c>
    </row>
    <row r="9024" ht="15.75" customHeight="1">
      <c r="A9024" s="2">
        <v>9183.0</v>
      </c>
      <c r="B9024" s="5" t="s">
        <v>16440</v>
      </c>
      <c r="C9024" s="6">
        <v>2.0</v>
      </c>
      <c r="D9024" s="7" t="s">
        <v>16441</v>
      </c>
      <c r="E9024" s="8" t="str">
        <f>IFERROR(__xludf.DUMMYFUNCTION("googletranslate(D9024,""id"",""en"")"),"I crave, bro, but wait for PPKM to be done")</f>
        <v>I crave, bro, but wait for PPKM to be done</v>
      </c>
    </row>
    <row r="9025" ht="15.75" customHeight="1">
      <c r="A9025" s="2">
        <v>9184.0</v>
      </c>
      <c r="B9025" s="5" t="s">
        <v>16442</v>
      </c>
      <c r="C9025" s="6">
        <v>3.0</v>
      </c>
      <c r="D9025" s="7" t="s">
        <v>16443</v>
      </c>
      <c r="E9025" s="8" t="str">
        <f>IFERROR(__xludf.DUMMYFUNCTION("googletranslate(D9025,""id"",""en"")"),"PPKM is correct in facing a pandemic, let's discipline PPKM")</f>
        <v>PPKM is correct in facing a pandemic, let's discipline PPKM</v>
      </c>
    </row>
    <row r="9026" ht="15.75" customHeight="1">
      <c r="A9026" s="2">
        <v>9185.0</v>
      </c>
      <c r="B9026" s="5" t="s">
        <v>16444</v>
      </c>
      <c r="C9026" s="6">
        <v>1.0</v>
      </c>
      <c r="D9026" s="7" t="s">
        <v>16445</v>
      </c>
      <c r="E9026" s="8" t="str">
        <f>IFERROR(__xludf.DUMMYFUNCTION("googletranslate(D9026,""id"",""en"")"),"Just the article for sanctions for the violator of the Championship Law alone, whose fulfillment of living needs for the people during the PPKM is not fulfilled.")</f>
        <v>Just the article for sanctions for the violator of the Championship Law alone, whose fulfillment of living needs for the people during the PPKM is not fulfilled.</v>
      </c>
    </row>
    <row r="9027" ht="15.75" customHeight="1">
      <c r="A9027" s="2">
        <v>9186.0</v>
      </c>
      <c r="B9027" s="5" t="s">
        <v>16446</v>
      </c>
      <c r="C9027" s="6">
        <v>1.0</v>
      </c>
      <c r="D9027" s="9" t="s">
        <v>16446</v>
      </c>
      <c r="E9027" s="8" t="str">
        <f>IFERROR(__xludf.DUMMYFUNCTION("googletranslate(D9027,""id"",""en"")"),"When emergency PPKM like this, there are still flights from abroad. Either those who come told to isolate first or directly to the destination.")</f>
        <v>When emergency PPKM like this, there are still flights from abroad. Either those who come told to isolate first or directly to the destination.</v>
      </c>
    </row>
    <row r="9028" ht="15.75" customHeight="1">
      <c r="A9028" s="2">
        <v>9187.0</v>
      </c>
      <c r="B9028" s="5" t="s">
        <v>16447</v>
      </c>
      <c r="C9028" s="6">
        <v>2.0</v>
      </c>
      <c r="D9028" s="9" t="s">
        <v>16448</v>
      </c>
      <c r="E9028" s="8" t="str">
        <f>IFERROR(__xludf.DUMMYFUNCTION("googletranslate(D9028,""id"",""en"")"),"I hope that the year of Article Paragraph Law is not wrong, the affected by PPKM, please, please notice, we are only an odd employee.")</f>
        <v>I hope that the year of Article Paragraph Law is not wrong, the affected by PPKM, please, please notice, we are only an odd employee.</v>
      </c>
    </row>
    <row r="9029" ht="15.75" customHeight="1">
      <c r="A9029" s="2">
        <v>9188.0</v>
      </c>
      <c r="B9029" s="5" t="s">
        <v>16449</v>
      </c>
      <c r="C9029" s="6">
        <v>1.0</v>
      </c>
      <c r="D9029" s="7" t="s">
        <v>16450</v>
      </c>
      <c r="E9029" s="8" t="str">
        <f>IFERROR(__xludf.DUMMYFUNCTION("googletranslate(D9029,""id"",""en"")"),"Ironically, they were fined because they were determined to survive when the PPKM conditions, but this was the Ngadain court, the face-to-face trial was a stupid government in my country CKCKCKC")</f>
        <v>Ironically, they were fined because they were determined to survive when the PPKM conditions, but this was the Ngadain court, the face-to-face trial was a stupid government in my country CKCKCKC</v>
      </c>
    </row>
    <row r="9030" ht="15.75" customHeight="1">
      <c r="A9030" s="2">
        <v>9189.0</v>
      </c>
      <c r="B9030" s="5" t="s">
        <v>16451</v>
      </c>
      <c r="C9030" s="6">
        <v>2.0</v>
      </c>
      <c r="D9030" s="7" t="s">
        <v>16452</v>
      </c>
      <c r="E9030" s="8" t="str">
        <f>IFERROR(__xludf.DUMMYFUNCTION("googletranslate(D9030,""id"",""en"")"),"MU MNIEEZ AP PPKM")</f>
        <v>MU MNIEEZ AP PPKM</v>
      </c>
    </row>
    <row r="9031" ht="15.75" customHeight="1">
      <c r="A9031" s="2">
        <v>9190.0</v>
      </c>
      <c r="B9031" s="5" t="s">
        <v>16453</v>
      </c>
      <c r="C9031" s="6">
        <v>2.0</v>
      </c>
      <c r="D9031" s="9" t="s">
        <v>16453</v>
      </c>
      <c r="E9031" s="8" t="str">
        <f>IFERROR(__xludf.DUMMYFUNCTION("googletranslate(D9031,""id"",""en"")"),"Monitor directly about the emergency PPKM insulation situation through the air.")</f>
        <v>Monitor directly about the emergency PPKM insulation situation through the air.</v>
      </c>
    </row>
    <row r="9032" ht="15.75" customHeight="1">
      <c r="A9032" s="2">
        <v>9191.0</v>
      </c>
      <c r="B9032" s="5" t="s">
        <v>16454</v>
      </c>
      <c r="C9032" s="6">
        <v>1.0</v>
      </c>
      <c r="D9032" s="7" t="s">
        <v>16455</v>
      </c>
      <c r="E9032" s="8" t="str">
        <f>IFERROR(__xludf.DUMMYFUNCTION("googletranslate(D9032,""id"",""en"")"),"Clay the news every day during the PPKM around even more, TKA China entered Indonesia via Soekarno Hatta Airport for Kendari, Manado, Morowali and without Protocol.Yakin Indonesia alone ??")</f>
        <v>Clay the news every day during the PPKM around even more, TKA China entered Indonesia via Soekarno Hatta Airport for Kendari, Manado, Morowali and without Protocol.Yakin Indonesia alone ??</v>
      </c>
    </row>
    <row r="9033" ht="15.75" customHeight="1">
      <c r="A9033" s="2">
        <v>9192.0</v>
      </c>
      <c r="B9033" s="5" t="s">
        <v>16456</v>
      </c>
      <c r="C9033" s="6">
        <v>1.0</v>
      </c>
      <c r="D9033" s="9" t="s">
        <v>16457</v>
      </c>
      <c r="E9033" s="8" t="str">
        <f>IFERROR(__xludf.DUMMYFUNCTION("googletranslate(D9033,""id"",""en"")"),"The PPKM only creates a new Covid transmission cluster that will affect the $ number $ number later. So the Covid-19 problem will never go down but makes it even higher and can no longer be handled by RS facilities and clinics. Mummet * Video of Events in"&amp;" Surabaya, * Sumber WK.")</f>
        <v>The PPKM only creates a new Covid transmission cluster that will affect the $ number $ number later. So the Covid-19 problem will never go down but makes it even higher and can no longer be handled by RS facilities and clinics. Mummet * Video of Events in Surabaya, * Sumber WK.</v>
      </c>
    </row>
    <row r="9034" ht="15.75" customHeight="1">
      <c r="A9034" s="2">
        <v>9193.0</v>
      </c>
      <c r="B9034" s="5" t="s">
        <v>16458</v>
      </c>
      <c r="C9034" s="6">
        <v>2.0</v>
      </c>
      <c r="D9034" s="7" t="s">
        <v>16459</v>
      </c>
      <c r="E9034" s="8" t="str">
        <f>IFERROR(__xludf.DUMMYFUNCTION("googletranslate(D9034,""id"",""en"")"),"How are you PIK? About PPKM or not?")</f>
        <v>How are you PIK? About PPKM or not?</v>
      </c>
    </row>
    <row r="9035" ht="15.75" customHeight="1">
      <c r="A9035" s="2">
        <v>9194.0</v>
      </c>
      <c r="B9035" s="5" t="s">
        <v>16460</v>
      </c>
      <c r="C9035" s="6">
        <v>3.0</v>
      </c>
      <c r="D9035" s="7" t="s">
        <v>16461</v>
      </c>
      <c r="E9035" s="8" t="str">
        <f>IFERROR(__xludf.DUMMYFUNCTION("googletranslate(D9035,""id"",""en"")"),"What's important now ... any party is striving for the people especially those who help directly in the middle of Emergency PPKM, must be supported! * Different views may not be up to each other in each other or not guys ??")</f>
        <v>What's important now ... any party is striving for the people especially those who help directly in the middle of Emergency PPKM, must be supported! * Different views may not be up to each other in each other or not guys ??</v>
      </c>
    </row>
    <row r="9036" ht="15.75" customHeight="1">
      <c r="A9036" s="2">
        <v>9195.0</v>
      </c>
      <c r="B9036" s="5" t="s">
        <v>16462</v>
      </c>
      <c r="C9036" s="6">
        <v>2.0</v>
      </c>
      <c r="D9036" s="7" t="s">
        <v>16463</v>
      </c>
      <c r="E9036" s="8" t="str">
        <f>IFERROR(__xludf.DUMMYFUNCTION("googletranslate(D9036,""id"",""en"")"),"Gas, after the new PPKM can")</f>
        <v>Gas, after the new PPKM can</v>
      </c>
    </row>
    <row r="9037" ht="15.75" customHeight="1">
      <c r="A9037" s="2">
        <v>9196.0</v>
      </c>
      <c r="B9037" s="5" t="s">
        <v>16464</v>
      </c>
      <c r="C9037" s="6">
        <v>3.0</v>
      </c>
      <c r="D9037" s="9" t="s">
        <v>16464</v>
      </c>
      <c r="E9037" s="8" t="str">
        <f>IFERROR(__xludf.DUMMYFUNCTION("googletranslate(D9037,""id"",""en"")"),"Is this udh ppkm today? Until I forgot this because of the house. Jiakkkhhhhh")</f>
        <v>Is this udh ppkm today? Until I forgot this because of the house. Jiakkkhhhhh</v>
      </c>
    </row>
    <row r="9038" ht="15.75" customHeight="1">
      <c r="A9038" s="2">
        <v>9197.0</v>
      </c>
      <c r="B9038" s="5" t="s">
        <v>16465</v>
      </c>
      <c r="C9038" s="6">
        <v>1.0</v>
      </c>
      <c r="D9038" s="7" t="s">
        <v>16466</v>
      </c>
      <c r="E9038" s="8" t="str">
        <f>IFERROR(__xludf.DUMMYFUNCTION("googletranslate(D9038,""id"",""en"")"),"I've been looking for eating hard even held PPKM, the people doused with flush eh now ask for help")</f>
        <v>I've been looking for eating hard even held PPKM, the people doused with flush eh now ask for help</v>
      </c>
    </row>
    <row r="9039" ht="15.75" customHeight="1">
      <c r="A9039" s="2">
        <v>9198.0</v>
      </c>
      <c r="B9039" s="5" t="s">
        <v>16467</v>
      </c>
      <c r="C9039" s="6">
        <v>1.0</v>
      </c>
      <c r="D9039" s="7" t="s">
        <v>16468</v>
      </c>
      <c r="E9039" s="8" t="str">
        <f>IFERROR(__xludf.DUMMYFUNCTION("googletranslate(D9039,""id"",""en"")"),"Emergency PPKM to July, will sanction for those who violate, in fact TKA easily arrived. Why does this keep recurring? See the answer in the MMC Channel! Keywords YouTube KM: Loose to Tkappkm: Strictly to the government of the government more sided with f"&amp;"oreigners")</f>
        <v>Emergency PPKM to July, will sanction for those who violate, in fact TKA easily arrived. Why does this keep recurring? See the answer in the MMC Channel! Keywords YouTube KM: Loose to Tkappkm: Strictly to the government of the government more sided with foreigners</v>
      </c>
    </row>
    <row r="9040" ht="15.75" customHeight="1">
      <c r="A9040" s="2">
        <v>9199.0</v>
      </c>
      <c r="B9040" s="5" t="s">
        <v>16469</v>
      </c>
      <c r="C9040" s="6">
        <v>1.0</v>
      </c>
      <c r="D9040" s="7" t="s">
        <v>16469</v>
      </c>
      <c r="E9040" s="8" t="str">
        <f>IFERROR(__xludf.DUMMYFUNCTION("googletranslate(D9040,""id"",""en"")"),"He said he was an emergency PPKM but where was his compensation, but at a fine!")</f>
        <v>He said he was an emergency PPKM but where was his compensation, but at a fine!</v>
      </c>
    </row>
    <row r="9041" ht="15.75" customHeight="1">
      <c r="A9041" s="2">
        <v>9200.0</v>
      </c>
      <c r="B9041" s="5" t="s">
        <v>16470</v>
      </c>
      <c r="C9041" s="6">
        <v>3.0</v>
      </c>
      <c r="D9041" s="7" t="s">
        <v>16470</v>
      </c>
      <c r="E9041" s="8" t="str">
        <f>IFERROR(__xludf.DUMMYFUNCTION("googletranslate(D9041,""id"",""en"")"),"One of the policies to support the emergency PPKM rules is to reduce the way to reduce the mobility of the population")</f>
        <v>One of the policies to support the emergency PPKM rules is to reduce the way to reduce the mobility of the population</v>
      </c>
    </row>
    <row r="9042" ht="15.75" customHeight="1">
      <c r="A9042" s="2">
        <v>9201.0</v>
      </c>
      <c r="B9042" s="5" t="s">
        <v>16471</v>
      </c>
      <c r="C9042" s="6">
        <v>1.0</v>
      </c>
      <c r="D9042" s="9" t="s">
        <v>16472</v>
      </c>
      <c r="E9042" s="8" t="str">
        <f>IFERROR(__xludf.DUMMYFUNCTION("googletranslate(D9042,""id"",""en"")"),"PPKM makes me Halu")</f>
        <v>PPKM makes me Halu</v>
      </c>
    </row>
    <row r="9043" ht="15.75" customHeight="1">
      <c r="A9043" s="2">
        <v>9202.0</v>
      </c>
      <c r="B9043" s="5" t="s">
        <v>16473</v>
      </c>
      <c r="C9043" s="6">
        <v>1.0</v>
      </c>
      <c r="D9043" s="7" t="s">
        <v>16473</v>
      </c>
      <c r="E9043" s="8" t="str">
        <f>IFERROR(__xludf.DUMMYFUNCTION("googletranslate(D9043,""id"",""en"")"),"ppkm fast finished kek already bored bat to work again")</f>
        <v>ppkm fast finished kek already bored bat to work again</v>
      </c>
    </row>
    <row r="9044" ht="15.75" customHeight="1">
      <c r="A9044" s="2">
        <v>9203.0</v>
      </c>
      <c r="B9044" s="5" t="s">
        <v>16474</v>
      </c>
      <c r="C9044" s="6">
        <v>2.0</v>
      </c>
      <c r="D9044" s="9" t="s">
        <v>16474</v>
      </c>
      <c r="E9044" s="8" t="str">
        <f>IFERROR(__xludf.DUMMYFUNCTION("googletranslate(D9044,""id"",""en"")"),"If you want to be said to be congregation at the mosque it is allowed at this time with a way of distance, then in the Church, Pura, Temple, a temple can also be done with a distance. But, in the PPKM rules it is not mentioned * allowed by a *.")</f>
        <v>If you want to be said to be congregation at the mosque it is allowed at this time with a way of distance, then in the Church, Pura, Temple, a temple can also be done with a distance. But, in the PPKM rules it is not mentioned * allowed by a *.</v>
      </c>
    </row>
    <row r="9045" ht="15.75" customHeight="1">
      <c r="A9045" s="2">
        <v>9204.0</v>
      </c>
      <c r="B9045" s="5" t="s">
        <v>16475</v>
      </c>
      <c r="C9045" s="6">
        <v>1.0</v>
      </c>
      <c r="D9045" s="7" t="s">
        <v>16476</v>
      </c>
      <c r="E9045" s="8" t="str">
        <f>IFERROR(__xludf.DUMMYFUNCTION("googletranslate(D9045,""id"",""en"")"),"Ppkm child wife doesn't eat it tasty so it's presidencuma talking")</f>
        <v>Ppkm child wife doesn't eat it tasty so it's presidencuma talking</v>
      </c>
    </row>
    <row r="9046" ht="15.75" customHeight="1">
      <c r="A9046" s="2">
        <v>9205.0</v>
      </c>
      <c r="B9046" s="5" t="s">
        <v>16477</v>
      </c>
      <c r="C9046" s="6">
        <v>2.0</v>
      </c>
      <c r="D9046" s="7" t="s">
        <v>16477</v>
      </c>
      <c r="E9046" s="8" t="str">
        <f>IFERROR(__xludf.DUMMYFUNCTION("googletranslate(D9046,""id"",""en"")"),"ppkm, morning morning miss mbakx")</f>
        <v>ppkm, morning morning miss mbakx</v>
      </c>
    </row>
    <row r="9047" ht="15.75" customHeight="1">
      <c r="A9047" s="2">
        <v>9206.0</v>
      </c>
      <c r="B9047" s="5" t="s">
        <v>16478</v>
      </c>
      <c r="C9047" s="6">
        <v>2.0</v>
      </c>
      <c r="D9047" s="7" t="s">
        <v>16478</v>
      </c>
      <c r="E9047" s="8" t="str">
        <f>IFERROR(__xludf.DUMMYFUNCTION("googletranslate(D9047,""id"",""en"")"),"PPKM = never attention later disappeared.")</f>
        <v>PPKM = never attention later disappeared.</v>
      </c>
    </row>
    <row r="9048" ht="15.75" customHeight="1">
      <c r="A9048" s="2">
        <v>9207.0</v>
      </c>
      <c r="B9048" s="5" t="s">
        <v>16479</v>
      </c>
      <c r="C9048" s="6">
        <v>3.0</v>
      </c>
      <c r="D9048" s="7" t="s">
        <v>16480</v>
      </c>
      <c r="E9048" s="8" t="str">
        <f>IFERROR(__xludf.DUMMYFUNCTION("googletranslate(D9048,""id"",""en"")"),"Emergency PPKM save the people ...")</f>
        <v>Emergency PPKM save the people ...</v>
      </c>
    </row>
    <row r="9049" ht="15.75" customHeight="1">
      <c r="A9049" s="2">
        <v>9208.0</v>
      </c>
      <c r="B9049" s="5" t="s">
        <v>16481</v>
      </c>
      <c r="C9049" s="6">
        <v>2.0</v>
      </c>
      <c r="D9049" s="7" t="s">
        <v>16482</v>
      </c>
      <c r="E9049" s="8" t="str">
        <f>IFERROR(__xludf.DUMMYFUNCTION("googletranslate(D9049,""id"",""en"")"),"Monggo Pak ... Main to Ta ... SiaaAppp Basically ... It's Starting Season ... after our PPKM Wait ... Hehe ...")</f>
        <v>Monggo Pak ... Main to Ta ... SiaaAppp Basically ... It's Starting Season ... after our PPKM Wait ... Hehe ...</v>
      </c>
    </row>
    <row r="9050" ht="15.75" customHeight="1">
      <c r="A9050" s="2">
        <v>9209.0</v>
      </c>
      <c r="B9050" s="5" t="s">
        <v>16483</v>
      </c>
      <c r="C9050" s="6">
        <v>3.0</v>
      </c>
      <c r="D9050" s="7" t="s">
        <v>16484</v>
      </c>
      <c r="E9050" s="8" t="str">
        <f>IFERROR(__xludf.DUMMYFUNCTION("googletranslate(D9050,""id"",""en"")"),"Emergency PPKM means your life is up to be silent we all congratulations -----")</f>
        <v>Emergency PPKM means your life is up to be silent we all congratulations -----</v>
      </c>
    </row>
    <row r="9051" ht="15.75" customHeight="1">
      <c r="A9051" s="2">
        <v>9210.0</v>
      </c>
      <c r="B9051" s="5" t="s">
        <v>16485</v>
      </c>
      <c r="C9051" s="6">
        <v>2.0</v>
      </c>
      <c r="D9051" s="9" t="s">
        <v>16485</v>
      </c>
      <c r="E9051" s="8" t="str">
        <f>IFERROR(__xludf.DUMMYFUNCTION("googletranslate(D9051,""id"",""en"")"),"The enactment of the limitation of emergency community activities (PPKM) has entered the 4th day in its implementation!")</f>
        <v>The enactment of the limitation of emergency community activities (PPKM) has entered the 4th day in its implementation!</v>
      </c>
    </row>
    <row r="9052" ht="15.75" customHeight="1">
      <c r="A9052" s="2">
        <v>9211.0</v>
      </c>
      <c r="B9052" s="5" t="s">
        <v>16486</v>
      </c>
      <c r="C9052" s="6">
        <v>2.0</v>
      </c>
      <c r="D9052" s="7" t="s">
        <v>16486</v>
      </c>
      <c r="E9052" s="8" t="str">
        <f>IFERROR(__xludf.DUMMYFUNCTION("googletranslate(D9052,""id"",""en"")"),"PPKM. Morning morning you miss.")</f>
        <v>PPKM. Morning morning you miss.</v>
      </c>
    </row>
    <row r="9053" ht="15.75" customHeight="1">
      <c r="A9053" s="2">
        <v>9212.0</v>
      </c>
      <c r="B9053" s="5" t="s">
        <v>16487</v>
      </c>
      <c r="C9053" s="6">
        <v>1.0</v>
      </c>
      <c r="D9053" s="9" t="s">
        <v>16488</v>
      </c>
      <c r="E9053" s="8" t="str">
        <f>IFERROR(__xludf.DUMMYFUNCTION("googletranslate(D9053,""id"",""en"")"),"Cruel to small people, polite to corruptors &amp; amp; TKA ... I don't give Lockdown's funds, but it's shaking up the dend ... sad! After the porridge, it was the turn of the meatball seller fined million because of the emergency PPKM violate | Islamic portal")</f>
        <v>Cruel to small people, polite to corruptors &amp; amp; TKA ... I don't give Lockdown's funds, but it's shaking up the dend ... sad! After the porridge, it was the turn of the meatball seller fined million because of the emergency PPKM violate | Islamic portal</v>
      </c>
    </row>
    <row r="9054" ht="15.75" customHeight="1">
      <c r="A9054" s="2">
        <v>9213.0</v>
      </c>
      <c r="B9054" s="5" t="s">
        <v>16489</v>
      </c>
      <c r="C9054" s="6">
        <v>2.0</v>
      </c>
      <c r="D9054" s="10" t="s">
        <v>10054</v>
      </c>
      <c r="E9054" s="8" t="str">
        <f>IFERROR(__xludf.DUMMYFUNCTION("googletranslate(D9054,""id"",""en"")"),"PPKM Cui.")</f>
        <v>PPKM Cui.</v>
      </c>
    </row>
    <row r="9055" ht="15.75" customHeight="1">
      <c r="A9055" s="2">
        <v>9214.0</v>
      </c>
      <c r="B9055" s="5" t="s">
        <v>16490</v>
      </c>
      <c r="C9055" s="6">
        <v>1.0</v>
      </c>
      <c r="D9055" s="7" t="s">
        <v>16490</v>
      </c>
      <c r="E9055" s="8" t="str">
        <f>IFERROR(__xludf.DUMMYFUNCTION("googletranslate(D9055,""id"",""en"")"),"The emergency PPKM violates will be fined, there are just a gap of the Cuan, wkwk ...")</f>
        <v>The emergency PPKM violates will be fined, there are just a gap of the Cuan, wkwk ...</v>
      </c>
    </row>
    <row r="9056" ht="15.75" customHeight="1">
      <c r="A9056" s="2">
        <v>9215.0</v>
      </c>
      <c r="B9056" s="5" t="s">
        <v>16491</v>
      </c>
      <c r="C9056" s="6">
        <v>3.0</v>
      </c>
      <c r="D9056" s="7" t="s">
        <v>16492</v>
      </c>
      <c r="E9056" s="8" t="str">
        <f>IFERROR(__xludf.DUMMYFUNCTION("googletranslate(D9056,""id"",""en"")"),"Must obey the PPKM JGN until full must be% of capacity")</f>
        <v>Must obey the PPKM JGN until full must be% of capacity</v>
      </c>
    </row>
    <row r="9057" ht="15.75" customHeight="1">
      <c r="A9057" s="2">
        <v>9216.0</v>
      </c>
      <c r="B9057" s="5" t="s">
        <v>16493</v>
      </c>
      <c r="C9057" s="6">
        <v>2.0</v>
      </c>
      <c r="D9057" s="7" t="s">
        <v>16494</v>
      </c>
      <c r="E9057" s="8" t="str">
        <f>IFERROR(__xludf.DUMMYFUNCTION("googletranslate(D9057,""id"",""en"")"),"Just to the Puskesmas, the consul can be online during the PPKM, as long as there is a safe BPJS.")</f>
        <v>Just to the Puskesmas, the consul can be online during the PPKM, as long as there is a safe BPJS.</v>
      </c>
    </row>
    <row r="9058" ht="15.75" customHeight="1">
      <c r="A9058" s="2">
        <v>9217.0</v>
      </c>
      <c r="B9058" s="5" t="s">
        <v>16495</v>
      </c>
      <c r="C9058" s="6">
        <v>1.0</v>
      </c>
      <c r="D9058" s="7" t="s">
        <v>16496</v>
      </c>
      <c r="E9058" s="8" t="str">
        <f>IFERROR(__xludf.DUMMYFUNCTION("googletranslate(D9058,""id"",""en"")"),"Here stands for PPKM for a rotten politician. Party fans of corruption languishing.")</f>
        <v>Here stands for PPKM for a rotten politician. Party fans of corruption languishing.</v>
      </c>
    </row>
    <row r="9059" ht="15.75" customHeight="1">
      <c r="A9059" s="2">
        <v>9218.0</v>
      </c>
      <c r="B9059" s="5" t="s">
        <v>16497</v>
      </c>
      <c r="C9059" s="6">
        <v>3.0</v>
      </c>
      <c r="D9059" s="7" t="s">
        <v>16498</v>
      </c>
      <c r="E9059" s="8" t="str">
        <f>IFERROR(__xludf.DUMMYFUNCTION("googletranslate(D9059,""id"",""en"")"),"Emergency PPKM Solution Right")</f>
        <v>Emergency PPKM Solution Right</v>
      </c>
    </row>
    <row r="9060" ht="15.75" customHeight="1">
      <c r="A9060" s="2">
        <v>9219.0</v>
      </c>
      <c r="B9060" s="5" t="s">
        <v>16499</v>
      </c>
      <c r="C9060" s="6">
        <v>1.0</v>
      </c>
      <c r="D9060" s="7" t="s">
        <v>16500</v>
      </c>
      <c r="E9060" s="8" t="str">
        <f>IFERROR(__xludf.DUMMYFUNCTION("googletranslate(D9060,""id"",""en"")"),"This is MAH FIX gets PPKM. Don't move the package")</f>
        <v>This is MAH FIX gets PPKM. Don't move the package</v>
      </c>
    </row>
    <row r="9061" ht="15.75" customHeight="1">
      <c r="A9061" s="2">
        <v>9220.0</v>
      </c>
      <c r="B9061" s="5" t="s">
        <v>16501</v>
      </c>
      <c r="C9061" s="6">
        <v>3.0</v>
      </c>
      <c r="D9061" s="7" t="s">
        <v>16502</v>
      </c>
      <c r="E9061" s="8" t="str">
        <f>IFERROR(__xludf.DUMMYFUNCTION("googletranslate(D9061,""id"",""en"")"),"Fortunately here PPKM.")</f>
        <v>Fortunately here PPKM.</v>
      </c>
    </row>
    <row r="9062" ht="15.75" customHeight="1">
      <c r="A9062" s="2">
        <v>9221.0</v>
      </c>
      <c r="B9062" s="5" t="s">
        <v>16503</v>
      </c>
      <c r="C9062" s="6">
        <v>2.0</v>
      </c>
      <c r="D9062" s="9" t="s">
        <v>16504</v>
      </c>
      <c r="E9062" s="8" t="str">
        <f>IFERROR(__xludf.DUMMYFUNCTION("googletranslate(D9062,""id"",""en"")"),"If here is the existence of PPKM Ko hehe")</f>
        <v>If here is the existence of PPKM Ko hehe</v>
      </c>
    </row>
    <row r="9063" ht="15.75" customHeight="1">
      <c r="A9063" s="2">
        <v>9222.0</v>
      </c>
      <c r="B9063" s="5" t="s">
        <v>16505</v>
      </c>
      <c r="C9063" s="6">
        <v>1.0</v>
      </c>
      <c r="D9063" s="7" t="s">
        <v>16506</v>
      </c>
      <c r="E9063" s="8" t="str">
        <f>IFERROR(__xludf.DUMMYFUNCTION("googletranslate(D9063,""id"",""en"")"),"PPKM, communist preparation program colonizes.")</f>
        <v>PPKM, communist preparation program colonizes.</v>
      </c>
    </row>
    <row r="9064" ht="15.75" customHeight="1">
      <c r="A9064" s="2">
        <v>9223.0</v>
      </c>
      <c r="B9064" s="5" t="s">
        <v>16507</v>
      </c>
      <c r="C9064" s="6">
        <v>3.0</v>
      </c>
      <c r="D9064" s="7" t="s">
        <v>16508</v>
      </c>
      <c r="E9064" s="8" t="str">
        <f>IFERROR(__xludf.DUMMYFUNCTION("googletranslate(D9064,""id"",""en"")"),"Emergency PPKM save the people")</f>
        <v>Emergency PPKM save the people</v>
      </c>
    </row>
    <row r="9065" ht="15.75" customHeight="1">
      <c r="A9065" s="2">
        <v>9224.0</v>
      </c>
      <c r="B9065" s="5" t="s">
        <v>16509</v>
      </c>
      <c r="C9065" s="6">
        <v>1.0</v>
      </c>
      <c r="D9065" s="9" t="s">
        <v>16510</v>
      </c>
      <c r="E9065" s="8" t="str">
        <f>IFERROR(__xludf.DUMMYFUNCTION("googletranslate(D9065,""id"",""en"")"),"PPKM PLANGA PLONGO KOK TRY THIS WHITE SENTLY WHEN JGN BAPER FOR THE LOPAR LOPOR")</f>
        <v>PPKM PLANGA PLONGO KOK TRY THIS WHITE SENTLY WHEN JGN BAPER FOR THE LOPAR LOPOR</v>
      </c>
    </row>
    <row r="9066" ht="15.75" customHeight="1">
      <c r="A9066" s="2">
        <v>9225.0</v>
      </c>
      <c r="B9066" s="5" t="s">
        <v>16511</v>
      </c>
      <c r="C9066" s="6">
        <v>2.0</v>
      </c>
      <c r="D9066" s="9" t="s">
        <v>16512</v>
      </c>
      <c r="E9066" s="8" t="str">
        <f>IFERROR(__xludf.DUMMYFUNCTION("googletranslate(D9066,""id"",""en"")"),"What I'm highlighted is, because PPKM can also be done without having to do tough. In PPKM rules it is clear what business field can be opened, then if you want to reduce mobility, it is seen that the cause, because some employees are still required to en"&amp;"ter.")</f>
        <v>What I'm highlighted is, because PPKM can also be done without having to do tough. In PPKM rules it is clear what business field can be opened, then if you want to reduce mobility, it is seen that the cause, because some employees are still required to enter.</v>
      </c>
    </row>
    <row r="9067" ht="15.75" customHeight="1">
      <c r="A9067" s="2">
        <v>9226.0</v>
      </c>
      <c r="B9067" s="5" t="s">
        <v>16513</v>
      </c>
      <c r="C9067" s="6">
        <v>1.0</v>
      </c>
      <c r="D9067" s="7" t="s">
        <v>16514</v>
      </c>
      <c r="E9067" s="8" t="str">
        <f>IFERROR(__xludf.DUMMYFUNCTION("googletranslate(D9067,""id"",""en"")"),"The conversation of two middle-aged fathers is not bermaskingly palem angkot I Brunei PPKM given money, we ppkm die in place. The doctor does not understand the illness? pain of boils, heart, accident all is isolated covid")</f>
        <v>The conversation of two middle-aged fathers is not bermaskingly palem angkot I Brunei PPKM given money, we ppkm die in place. The doctor does not understand the illness? pain of boils, heart, accident all is isolated covid</v>
      </c>
    </row>
    <row r="9068" ht="15.75" customHeight="1">
      <c r="A9068" s="2">
        <v>9227.0</v>
      </c>
      <c r="B9068" s="5" t="s">
        <v>16515</v>
      </c>
      <c r="C9068" s="6">
        <v>1.0</v>
      </c>
      <c r="D9068" s="7" t="s">
        <v>16515</v>
      </c>
      <c r="E9068" s="8" t="str">
        <f>IFERROR(__xludf.DUMMYFUNCTION("googletranslate(D9068,""id"",""en"")"),"Who has woken up, Sunmori Yuk Bodo is very same PPKM")</f>
        <v>Who has woken up, Sunmori Yuk Bodo is very same PPKM</v>
      </c>
    </row>
    <row r="9069" ht="15.75" customHeight="1">
      <c r="A9069" s="2">
        <v>9228.0</v>
      </c>
      <c r="B9069" s="5" t="s">
        <v>16516</v>
      </c>
      <c r="C9069" s="6">
        <v>2.0</v>
      </c>
      <c r="D9069" s="9" t="s">
        <v>16517</v>
      </c>
      <c r="E9069" s="8" t="str">
        <f>IFERROR(__xludf.DUMMYFUNCTION("googletranslate(D9069,""id"",""en"")"),"can't come out min LG PPKM")</f>
        <v>can't come out min LG PPKM</v>
      </c>
    </row>
    <row r="9070" ht="15.75" customHeight="1">
      <c r="A9070" s="2">
        <v>9229.0</v>
      </c>
      <c r="B9070" s="5" t="s">
        <v>16518</v>
      </c>
      <c r="C9070" s="6">
        <v>2.0</v>
      </c>
      <c r="D9070" s="9" t="s">
        <v>16519</v>
      </c>
      <c r="E9070" s="8" t="str">
        <f>IFERROR(__xludf.DUMMYFUNCTION("googletranslate(D9070,""id"",""en"")"),"Wow Pakde Bude, this is being chased by the speed of the vaccine. If nakes down to the bottom ... it feels difficult in terms of time, remembering a lot that is still working even though PPKM like this, yesterday was one of them because of the weekend, tw"&amp;"o - three days ago did not last yesterday's antramat")</f>
        <v>Wow Pakde Bude, this is being chased by the speed of the vaccine. If nakes down to the bottom ... it feels difficult in terms of time, remembering a lot that is still working even though PPKM like this, yesterday was one of them because of the weekend, two - three days ago did not last yesterday's antramat</v>
      </c>
    </row>
    <row r="9071" ht="15.75" customHeight="1">
      <c r="A9071" s="2">
        <v>9230.0</v>
      </c>
      <c r="B9071" s="5" t="s">
        <v>16520</v>
      </c>
      <c r="C9071" s="6">
        <v>2.0</v>
      </c>
      <c r="D9071" s="7" t="s">
        <v>16520</v>
      </c>
      <c r="E9071" s="8" t="str">
        <f>IFERROR(__xludf.DUMMYFUNCTION("googletranslate(D9071,""id"",""en"")"),"PPKM (slowly slowly disappeared)")</f>
        <v>PPKM (slowly slowly disappeared)</v>
      </c>
    </row>
    <row r="9072" ht="15.75" customHeight="1">
      <c r="A9072" s="2">
        <v>9231.0</v>
      </c>
      <c r="B9072" s="5" t="s">
        <v>16521</v>
      </c>
      <c r="C9072" s="6">
        <v>2.0</v>
      </c>
      <c r="D9072" s="9" t="s">
        <v>16522</v>
      </c>
      <c r="E9072" s="8" t="str">
        <f>IFERROR(__xludf.DUMMYFUNCTION("googletranslate(D9072,""id"",""en"")"),"I used to wake up at this time, pup, prayer, ready to run. If you wake up at this time, pup, prayer, ready to sleep again. In addition, the foot is injured, yeah, because it's lazy to run away.")</f>
        <v>I used to wake up at this time, pup, prayer, ready to run. If you wake up at this time, pup, prayer, ready to sleep again. In addition, the foot is injured, yeah, because it's lazy to run away.</v>
      </c>
    </row>
    <row r="9073" ht="15.75" customHeight="1">
      <c r="A9073" s="2">
        <v>9232.0</v>
      </c>
      <c r="B9073" s="5" t="s">
        <v>16523</v>
      </c>
      <c r="C9073" s="6">
        <v>1.0</v>
      </c>
      <c r="D9073" s="7" t="s">
        <v>16523</v>
      </c>
      <c r="E9073" s="8" t="str">
        <f>IFERROR(__xludf.DUMMYFUNCTION("googletranslate(D9073,""id"",""en"")"),"Tmn SNDR trnyt who lg ppkm even wild ml")</f>
        <v>Tmn SNDR trnyt who lg ppkm even wild ml</v>
      </c>
    </row>
    <row r="9074" ht="15.75" customHeight="1">
      <c r="A9074" s="2">
        <v>9233.0</v>
      </c>
      <c r="B9074" s="5" t="s">
        <v>16524</v>
      </c>
      <c r="C9074" s="6">
        <v>1.0</v>
      </c>
      <c r="D9074" s="9" t="s">
        <v>16525</v>
      </c>
      <c r="E9074" s="8" t="str">
        <f>IFERROR(__xludf.DUMMYFUNCTION("googletranslate(D9074,""id"",""en"")"),"It is good indeed the capacity of the upgraded rs. We are lay about new diseases, why is it told to take care of yourself? If this is, I'm sure, I'm sure the PPKM doesn't work, because there is an irregular transmission through the Issoman MRK without sup"&amp;"ervision (?)")</f>
        <v>It is good indeed the capacity of the upgraded rs. We are lay about new diseases, why is it told to take care of yourself? If this is, I'm sure, I'm sure the PPKM doesn't work, because there is an irregular transmission through the Issoman MRK without supervision (?)</v>
      </c>
    </row>
    <row r="9075" ht="15.75" customHeight="1">
      <c r="A9075" s="2">
        <v>9234.0</v>
      </c>
      <c r="B9075" s="5" t="s">
        <v>16526</v>
      </c>
      <c r="C9075" s="6">
        <v>3.0</v>
      </c>
      <c r="D9075" s="7" t="s">
        <v>16527</v>
      </c>
      <c r="E9075" s="8" t="str">
        <f>IFERROR(__xludf.DUMMYFUNCTION("googletranslate(D9075,""id"",""en"")"),"Facing a pandemic must indeed be a command, since the beginning the government is serious in the case of getting around &amp; amp; the handling, the presence of a covid task force, athlete guesthouse, procurement of vaccines, emergency PPKM became the product"&amp;" of the government's seriousness facing a pandemic. I believe the President")</f>
        <v>Facing a pandemic must indeed be a command, since the beginning the government is serious in the case of getting around &amp; amp; the handling, the presence of a covid task force, athlete guesthouse, procurement of vaccines, emergency PPKM became the product of the government's seriousness facing a pandemic. I believe the President</v>
      </c>
    </row>
    <row r="9076" ht="15.75" customHeight="1">
      <c r="A9076" s="2">
        <v>9235.0</v>
      </c>
      <c r="B9076" s="5" t="s">
        <v>16528</v>
      </c>
      <c r="C9076" s="6">
        <v>1.0</v>
      </c>
      <c r="D9076" s="7" t="s">
        <v>16529</v>
      </c>
      <c r="E9076" s="8" t="str">
        <f>IFERROR(__xludf.DUMMYFUNCTION("googletranslate(D9076,""id"",""en"")"),"PPKM is not fair? PKL is designed by Aceh, it can only operate serving the buyer until the restaurant may arrive until the clock serves the buyer. Although both of them can only order between / bwk, but why did we vendor distinguished with the restaurant "&amp;"hours of operation?.")</f>
        <v>PPKM is not fair? PKL is designed by Aceh, it can only operate serving the buyer until the restaurant may arrive until the clock serves the buyer. Although both of them can only order between / bwk, but why did we vendor distinguished with the restaurant hours of operation?.</v>
      </c>
    </row>
    <row r="9077" ht="15.75" customHeight="1">
      <c r="A9077" s="2">
        <v>9236.0</v>
      </c>
      <c r="B9077" s="5" t="s">
        <v>16530</v>
      </c>
      <c r="C9077" s="6">
        <v>2.0</v>
      </c>
      <c r="D9077" s="7" t="s">
        <v>16531</v>
      </c>
      <c r="E9077" s="8" t="str">
        <f>IFERROR(__xludf.DUMMYFUNCTION("googletranslate(D9077,""id"",""en"")"),"Upgrading Dhoho Close Due to PPKM Ngab")</f>
        <v>Upgrading Dhoho Close Due to PPKM Ngab</v>
      </c>
    </row>
    <row r="9078" ht="15.75" customHeight="1">
      <c r="A9078" s="2">
        <v>9237.0</v>
      </c>
      <c r="B9078" s="5" t="s">
        <v>16532</v>
      </c>
      <c r="C9078" s="6">
        <v>1.0</v>
      </c>
      <c r="D9078" s="9" t="s">
        <v>16533</v>
      </c>
      <c r="E9078" s="8" t="str">
        <f>IFERROR(__xludf.DUMMYFUNCTION("googletranslate(D9078,""id"",""en"")"),"If you don't want a vaccine, you get more trtular and die. More and more dead, will the longer the ppkm, the more ppkm, the poorer organs, can't find money, it can't find work, etc. What is rich, the poor? It's not the risk of being infected, it's big if "&amp;"it's not a vaccine.")</f>
        <v>If you don't want a vaccine, you get more trtular and die. More and more dead, will the longer the ppkm, the more ppkm, the poorer organs, can't find money, it can't find work, etc. What is rich, the poor? It's not the risk of being infected, it's big if it's not a vaccine.</v>
      </c>
    </row>
    <row r="9079" ht="15.75" customHeight="1">
      <c r="A9079" s="2">
        <v>9238.0</v>
      </c>
      <c r="B9079" s="5" t="s">
        <v>16534</v>
      </c>
      <c r="C9079" s="6">
        <v>1.0</v>
      </c>
      <c r="D9079" s="7" t="s">
        <v>16535</v>
      </c>
      <c r="E9079" s="8" t="str">
        <f>IFERROR(__xludf.DUMMYFUNCTION("googletranslate(D9079,""id"",""en"")"),"Kaga clear! It's very labile, you want Pigi Party to change clothes. What do you want? ... Rules of the Emergency Emergency Revised: Houses of Worship Not Closed, Marriage Reception Is Clicked to Read:")</f>
        <v>Kaga clear! It's very labile, you want Pigi Party to change clothes. What do you want? ... Rules of the Emergency Emergency Revised: Houses of Worship Not Closed, Marriage Reception Is Clicked to Read:</v>
      </c>
    </row>
    <row r="9080" ht="15.75" customHeight="1">
      <c r="A9080" s="2">
        <v>9239.0</v>
      </c>
      <c r="B9080" s="5" t="s">
        <v>16536</v>
      </c>
      <c r="C9080" s="6">
        <v>3.0</v>
      </c>
      <c r="D9080" s="7" t="s">
        <v>16537</v>
      </c>
      <c r="E9080" s="8" t="str">
        <f>IFERROR(__xludf.DUMMYFUNCTION("googletranslate(D9080,""id"",""en"")"),"The hope is like that, while this is again emergency PPKM, so maximized when many people don't work ... of course also supported by an adequate number of vaccines. Because there are several events, they have been queued but the end can't be because it's a"&amp;"bis")</f>
        <v>The hope is like that, while this is again emergency PPKM, so maximized when many people don't work ... of course also supported by an adequate number of vaccines. Because there are several events, they have been queued but the end can't be because it's abis</v>
      </c>
    </row>
    <row r="9081" ht="15.75" customHeight="1">
      <c r="A9081" s="2">
        <v>9240.0</v>
      </c>
      <c r="B9081" s="5" t="s">
        <v>16538</v>
      </c>
      <c r="C9081" s="6">
        <v>2.0</v>
      </c>
      <c r="D9081" s="9" t="s">
        <v>16538</v>
      </c>
      <c r="E9081" s="8" t="str">
        <f>IFERROR(__xludf.DUMMYFUNCTION("googletranslate(D9081,""id"",""en"")"),"Ever at that time before PPKM, Gasengaja we met my girlfriend's friend, both in the coffeeshop with a girl who looked younger than she was. They sat Jejer, chatting while seeing the laptop and from the gesture I could conclude if they were close to people"&amp;" going out.")</f>
        <v>Ever at that time before PPKM, Gasengaja we met my girlfriend's friend, both in the coffeeshop with a girl who looked younger than she was. They sat Jejer, chatting while seeing the laptop and from the gesture I could conclude if they were close to people going out.</v>
      </c>
    </row>
    <row r="9082" ht="15.75" customHeight="1">
      <c r="A9082" s="2">
        <v>9241.0</v>
      </c>
      <c r="B9082" s="5" t="s">
        <v>16539</v>
      </c>
      <c r="C9082" s="6">
        <v>2.0</v>
      </c>
      <c r="D9082" s="10" t="s">
        <v>16540</v>
      </c>
      <c r="E9082" s="8" t="str">
        <f>IFERROR(__xludf.DUMMYFUNCTION("googletranslate(D9082,""id"",""en"")"),"Cough ppkm.")</f>
        <v>Cough ppkm.</v>
      </c>
    </row>
    <row r="9083" ht="15.75" customHeight="1">
      <c r="A9083" s="2">
        <v>9242.0</v>
      </c>
      <c r="B9083" s="5" t="s">
        <v>16541</v>
      </c>
      <c r="C9083" s="6">
        <v>2.0</v>
      </c>
      <c r="D9083" s="7" t="s">
        <v>16542</v>
      </c>
      <c r="E9083" s="8" t="str">
        <f>IFERROR(__xludf.DUMMYFUNCTION("googletranslate(D9083,""id"",""en"")"),"Spirit yok spirit ntat finished ppkm gaspol research")</f>
        <v>Spirit yok spirit ntat finished ppkm gaspol research</v>
      </c>
    </row>
    <row r="9084" ht="15.75" customHeight="1">
      <c r="A9084" s="2">
        <v>9243.0</v>
      </c>
      <c r="B9084" s="5" t="s">
        <v>16543</v>
      </c>
      <c r="C9084" s="6">
        <v>2.0</v>
      </c>
      <c r="D9084" s="7" t="s">
        <v>16544</v>
      </c>
      <c r="E9084" s="8" t="str">
        <f>IFERROR(__xludf.DUMMYFUNCTION("googletranslate(D9084,""id"",""en"")"),"PPKM: Papa, want, Marriage, Maneh")</f>
        <v>PPKM: Papa, want, Marriage, Maneh</v>
      </c>
    </row>
    <row r="9085" ht="15.75" customHeight="1">
      <c r="A9085" s="2">
        <v>9244.0</v>
      </c>
      <c r="B9085" s="5" t="s">
        <v>16545</v>
      </c>
      <c r="C9085" s="6">
        <v>1.0</v>
      </c>
      <c r="D9085" s="9" t="s">
        <v>16546</v>
      </c>
      <c r="E9085" s="8" t="str">
        <f>IFERROR(__xludf.DUMMYFUNCTION("googletranslate(D9085,""id"",""en"")"),"So the people are given to eat sir. In the past the mall was looted by thugs today the merchandise of the people was looted by the Anu on the grounds of strip and PPKM. Asem")</f>
        <v>So the people are given to eat sir. In the past the mall was looted by thugs today the merchandise of the people was looted by the Anu on the grounds of strip and PPKM. Asem</v>
      </c>
    </row>
    <row r="9086" ht="15.75" customHeight="1">
      <c r="A9086" s="2">
        <v>9245.0</v>
      </c>
      <c r="B9086" s="5" t="s">
        <v>16547</v>
      </c>
      <c r="C9086" s="6">
        <v>3.0</v>
      </c>
      <c r="D9086" s="7" t="s">
        <v>16548</v>
      </c>
      <c r="E9086" s="8" t="str">
        <f>IFERROR(__xludf.DUMMYFUNCTION("googletranslate(D9086,""id"",""en"")"),"Mbak Has Read this Statement? Equity Life pleaded guilty. Let's support the Governor to enforce emergency PPKM rules.")</f>
        <v>Mbak Has Read this Statement? Equity Life pleaded guilty. Let's support the Governor to enforce emergency PPKM rules.</v>
      </c>
    </row>
    <row r="9087" ht="15.75" customHeight="1">
      <c r="A9087" s="2">
        <v>9246.0</v>
      </c>
      <c r="B9087" s="5" t="s">
        <v>16549</v>
      </c>
      <c r="C9087" s="6">
        <v>1.0</v>
      </c>
      <c r="D9087" s="7" t="s">
        <v>16550</v>
      </c>
      <c r="E9087" s="8" t="str">
        <f>IFERROR(__xludf.DUMMYFUNCTION("googletranslate(D9087,""id"",""en"")"),"PPKM = Program to Deliver Mosque Activities")</f>
        <v>PPKM = Program to Deliver Mosque Activities</v>
      </c>
    </row>
    <row r="9088" ht="15.75" customHeight="1">
      <c r="A9088" s="2">
        <v>9247.0</v>
      </c>
      <c r="B9088" s="5" t="s">
        <v>16551</v>
      </c>
      <c r="C9088" s="6">
        <v>3.0</v>
      </c>
      <c r="D9088" s="7" t="s">
        <v>16552</v>
      </c>
      <c r="E9088" s="8" t="str">
        <f>IFERROR(__xludf.DUMMYFUNCTION("googletranslate(D9088,""id"",""en"")"),"Let's get good ppkm")</f>
        <v>Let's get good ppkm</v>
      </c>
    </row>
    <row r="9089" ht="15.75" customHeight="1">
      <c r="A9089" s="2">
        <v>9248.0</v>
      </c>
      <c r="B9089" s="5" t="s">
        <v>16553</v>
      </c>
      <c r="C9089" s="6">
        <v>3.0</v>
      </c>
      <c r="D9089" s="9" t="s">
        <v>16554</v>
      </c>
      <c r="E9089" s="8" t="str">
        <f>IFERROR(__xludf.DUMMYFUNCTION("googletranslate(D9089,""id"",""en"")"),"Emergency PPKM ... I am from Depok, you can't go to Jakarta ... Start Monday tomorrow, you can get a Comuter Line train, it can't be ...... Hopefully the Corona storm quickly passes ... Fatihah) at all the people who hurt ... YRA")</f>
        <v>Emergency PPKM ... I am from Depok, you can't go to Jakarta ... Start Monday tomorrow, you can get a Comuter Line train, it can't be ...... Hopefully the Corona storm quickly passes ... Fatihah) at all the people who hurt ... YRA</v>
      </c>
    </row>
    <row r="9090" ht="15.75" customHeight="1">
      <c r="A9090" s="2">
        <v>9249.0</v>
      </c>
      <c r="B9090" s="5" t="s">
        <v>16555</v>
      </c>
      <c r="C9090" s="6">
        <v>2.0</v>
      </c>
      <c r="D9090" s="9" t="s">
        <v>16555</v>
      </c>
      <c r="E9090" s="8" t="str">
        <f>IFERROR(__xludf.DUMMYFUNCTION("googletranslate(D9090,""id"",""en"")"),"Ppkm: pen hug if you want")</f>
        <v>Ppkm: pen hug if you want</v>
      </c>
    </row>
    <row r="9091" ht="15.75" customHeight="1">
      <c r="A9091" s="2">
        <v>9250.0</v>
      </c>
      <c r="B9091" s="5" t="s">
        <v>16556</v>
      </c>
      <c r="C9091" s="6">
        <v>2.0</v>
      </c>
      <c r="D9091" s="7" t="s">
        <v>16557</v>
      </c>
      <c r="E9091" s="8" t="str">
        <f>IFERROR(__xludf.DUMMYFUNCTION("googletranslate(D9091,""id"",""en"")"),"PPKM is a policy of the central government but who applies firm and strict supervision is blamed and dibuuly?")</f>
        <v>PPKM is a policy of the central government but who applies firm and strict supervision is blamed and dibuuly?</v>
      </c>
    </row>
    <row r="9092" ht="15.75" customHeight="1">
      <c r="A9092" s="2">
        <v>9251.0</v>
      </c>
      <c r="B9092" s="5" t="s">
        <v>16558</v>
      </c>
      <c r="C9092" s="6">
        <v>1.0</v>
      </c>
      <c r="D9092" s="7" t="s">
        <v>16558</v>
      </c>
      <c r="E9092" s="8" t="str">
        <f>IFERROR(__xludf.DUMMYFUNCTION("googletranslate(D9092,""id"",""en"")"),"I guess Batam Gupatan PPKM, ah kampret")</f>
        <v>I guess Batam Gupatan PPKM, ah kampret</v>
      </c>
    </row>
    <row r="9093" ht="15.75" customHeight="1">
      <c r="A9093" s="2">
        <v>9252.0</v>
      </c>
      <c r="B9093" s="5" t="s">
        <v>16559</v>
      </c>
      <c r="C9093" s="6">
        <v>3.0</v>
      </c>
      <c r="D9093" s="9" t="s">
        <v>16560</v>
      </c>
      <c r="E9093" s="8" t="str">
        <f>IFERROR(__xludf.DUMMYFUNCTION("googletranslate(D9093,""id"",""en"")"),"Khan LG Emergency PPKM. Hold yourself first for not out of RMH")</f>
        <v>Khan LG Emergency PPKM. Hold yourself first for not out of RMH</v>
      </c>
    </row>
    <row r="9094" ht="15.75" customHeight="1">
      <c r="A9094" s="2">
        <v>9253.0</v>
      </c>
      <c r="B9094" s="5" t="s">
        <v>16561</v>
      </c>
      <c r="C9094" s="6">
        <v>2.0</v>
      </c>
      <c r="D9094" s="7" t="s">
        <v>16562</v>
      </c>
      <c r="E9094" s="8" t="str">
        <f>IFERROR(__xludf.DUMMYFUNCTION("googletranslate(D9094,""id"",""en"")"),"Loh is the PPKM North Sumatra too?")</f>
        <v>Loh is the PPKM North Sumatra too?</v>
      </c>
    </row>
    <row r="9095" ht="15.75" customHeight="1">
      <c r="A9095" s="2">
        <v>9254.0</v>
      </c>
      <c r="B9095" s="5" t="s">
        <v>16563</v>
      </c>
      <c r="C9095" s="6">
        <v>2.0</v>
      </c>
      <c r="D9095" s="7" t="s">
        <v>16564</v>
      </c>
      <c r="E9095" s="8" t="str">
        <f>IFERROR(__xludf.DUMMYFUNCTION("googletranslate(D9095,""id"",""en"")"),"YoIII, LG PPKM WKWKWKW")</f>
        <v>YoIII, LG PPKM WKWKWKW</v>
      </c>
    </row>
    <row r="9096" ht="15.75" customHeight="1">
      <c r="A9096" s="2">
        <v>9255.0</v>
      </c>
      <c r="B9096" s="5" t="s">
        <v>16565</v>
      </c>
      <c r="C9096" s="6">
        <v>1.0</v>
      </c>
      <c r="D9096" s="9" t="s">
        <v>16566</v>
      </c>
      <c r="E9096" s="8" t="str">
        <f>IFERROR(__xludf.DUMMYFUNCTION("googletranslate(D9096,""id"",""en"")"),"The mask that should be a lot of myself is a lot to neglect.")</f>
        <v>The mask that should be a lot of myself is a lot to neglect.</v>
      </c>
    </row>
    <row r="9097" ht="15.75" customHeight="1">
      <c r="A9097" s="2">
        <v>9256.0</v>
      </c>
      <c r="B9097" s="5" t="s">
        <v>16567</v>
      </c>
      <c r="C9097" s="6">
        <v>2.0</v>
      </c>
      <c r="D9097" s="7" t="s">
        <v>16567</v>
      </c>
      <c r="E9097" s="8" t="str">
        <f>IFERROR(__xludf.DUMMYFUNCTION("googletranslate(D9097,""id"",""en"")"),"Ppkm (pempek sauce model)")</f>
        <v>Ppkm (pempek sauce model)</v>
      </c>
    </row>
    <row r="9098" ht="15.75" customHeight="1">
      <c r="A9098" s="2">
        <v>9257.0</v>
      </c>
      <c r="B9098" s="5" t="s">
        <v>16568</v>
      </c>
      <c r="C9098" s="6">
        <v>1.0</v>
      </c>
      <c r="D9098" s="9" t="s">
        <v>16569</v>
      </c>
      <c r="E9098" s="8" t="str">
        <f>IFERROR(__xludf.DUMMYFUNCTION("googletranslate(D9098,""id"",""en"")"),"Alesan PPKM, grocery stalls in Sweeping &amp; amp; All contents are taken ...?")</f>
        <v>Alesan PPKM, grocery stalls in Sweeping &amp; amp; All contents are taken ...?</v>
      </c>
    </row>
    <row r="9099" ht="15.75" customHeight="1">
      <c r="A9099" s="2">
        <v>9258.0</v>
      </c>
      <c r="B9099" s="5" t="s">
        <v>16570</v>
      </c>
      <c r="C9099" s="6">
        <v>1.0</v>
      </c>
      <c r="D9099" s="9" t="s">
        <v>16571</v>
      </c>
      <c r="E9099" s="8" t="str">
        <f>IFERROR(__xludf.DUMMYFUNCTION("googletranslate(D9099,""id"",""en"")"),"Actually this PPKM breaks the Covid deployment chain what breaks the chain of people's work ... a lot of workers or traders who are obstacling ... the government should have a solution for this.")</f>
        <v>Actually this PPKM breaks the Covid deployment chain what breaks the chain of people's work ... a lot of workers or traders who are obstacling ... the government should have a solution for this.</v>
      </c>
    </row>
    <row r="9100" ht="15.75" customHeight="1">
      <c r="A9100" s="2">
        <v>9259.0</v>
      </c>
      <c r="B9100" s="5" t="s">
        <v>16572</v>
      </c>
      <c r="C9100" s="6">
        <v>2.0</v>
      </c>
      <c r="D9100" s="7" t="s">
        <v>16573</v>
      </c>
      <c r="E9100" s="8" t="str">
        <f>IFERROR(__xludf.DUMMYFUNCTION("googletranslate(D9100,""id"",""en"")"),"PPKPernah cares then disappear")</f>
        <v>PPKPernah cares then disappear</v>
      </c>
    </row>
    <row r="9101" ht="15.75" customHeight="1">
      <c r="A9101" s="2">
        <v>9260.0</v>
      </c>
      <c r="B9101" s="5" t="s">
        <v>16574</v>
      </c>
      <c r="C9101" s="6">
        <v>1.0</v>
      </c>
      <c r="D9101" s="9" t="s">
        <v>16575</v>
      </c>
      <c r="E9101" s="8" t="str">
        <f>IFERROR(__xludf.DUMMYFUNCTION("googletranslate(D9101,""id"",""en"")"),"first normal situation wanted to make a letter to lose it very complicated, especially now wes pandemic plus ppkm, nying is fasting Daud solution indeed")</f>
        <v>first normal situation wanted to make a letter to lose it very complicated, especially now wes pandemic plus ppkm, nying is fasting Daud solution indeed</v>
      </c>
    </row>
    <row r="9102" ht="15.75" customHeight="1">
      <c r="A9102" s="2">
        <v>9261.0</v>
      </c>
      <c r="B9102" s="5" t="s">
        <v>16576</v>
      </c>
      <c r="C9102" s="6">
        <v>2.0</v>
      </c>
      <c r="D9102" s="7" t="s">
        <v>16577</v>
      </c>
      <c r="E9102" s="8" t="str">
        <f>IFERROR(__xludf.DUMMYFUNCTION("googletranslate(D9102,""id"",""en"")"),"Right again PPKM GMNA SIEE")</f>
        <v>Right again PPKM GMNA SIEE</v>
      </c>
    </row>
    <row r="9103" ht="15.75" customHeight="1">
      <c r="A9103" s="2">
        <v>9262.0</v>
      </c>
      <c r="B9103" s="5" t="s">
        <v>16578</v>
      </c>
      <c r="C9103" s="6">
        <v>2.0</v>
      </c>
      <c r="D9103" s="9" t="s">
        <v>16579</v>
      </c>
      <c r="E9103" s="8" t="str">
        <f>IFERROR(__xludf.DUMMYFUNCTION("googletranslate(D9103,""id"",""en"")"),"SE dated July the direction of the regent / mayor in East Java refers to Inmendagri / TTNG Emergency PPKM in the Javanese &amp; amp; Bali Loh!")</f>
        <v>SE dated July the direction of the regent / mayor in East Java refers to Inmendagri / TTNG Emergency PPKM in the Javanese &amp; amp; Bali Loh!</v>
      </c>
    </row>
    <row r="9104" ht="15.75" customHeight="1">
      <c r="A9104" s="2">
        <v>9263.0</v>
      </c>
      <c r="B9104" s="5" t="s">
        <v>16580</v>
      </c>
      <c r="C9104" s="6">
        <v>2.0</v>
      </c>
      <c r="D9104" s="7" t="s">
        <v>16580</v>
      </c>
      <c r="E9104" s="8" t="str">
        <f>IFERROR(__xludf.DUMMYFUNCTION("googletranslate(D9104,""id"",""en"")"),"PPKM (never attention then disappears)")</f>
        <v>PPKM (never attention then disappears)</v>
      </c>
    </row>
    <row r="9105" ht="15.75" customHeight="1">
      <c r="A9105" s="2">
        <v>9264.0</v>
      </c>
      <c r="B9105" s="5" t="s">
        <v>16581</v>
      </c>
      <c r="C9105" s="6">
        <v>2.0</v>
      </c>
      <c r="D9105" s="7" t="s">
        <v>16582</v>
      </c>
      <c r="E9105" s="8" t="str">
        <f>IFERROR(__xludf.DUMMYFUNCTION("googletranslate(D9105,""id"",""en"")"),"Where is PPKM extended until next month")</f>
        <v>Where is PPKM extended until next month</v>
      </c>
    </row>
    <row r="9106" ht="15.75" customHeight="1">
      <c r="A9106" s="2">
        <v>9265.0</v>
      </c>
      <c r="B9106" s="5" t="s">
        <v>16583</v>
      </c>
      <c r="C9106" s="6">
        <v>2.0</v>
      </c>
      <c r="D9106" s="7" t="s">
        <v>16584</v>
      </c>
      <c r="E9106" s="8" t="str">
        <f>IFERROR(__xludf.DUMMYFUNCTION("googletranslate(D9106,""id"",""en"")"),"want sushi tei dha, where the ppkm is fine")</f>
        <v>want sushi tei dha, where the ppkm is fine</v>
      </c>
    </row>
    <row r="9107" ht="15.75" customHeight="1">
      <c r="A9107" s="2">
        <v>9266.0</v>
      </c>
      <c r="B9107" s="5" t="s">
        <v>16585</v>
      </c>
      <c r="C9107" s="6">
        <v>2.0</v>
      </c>
      <c r="D9107" s="7" t="s">
        <v>16586</v>
      </c>
      <c r="E9107" s="8" t="str">
        <f>IFERROR(__xludf.DUMMYFUNCTION("googletranslate(D9107,""id"",""en"")"),"Gourjek operating hours at PPKM start hours.")</f>
        <v>Gourjek operating hours at PPKM start hours.</v>
      </c>
    </row>
    <row r="9108" ht="15.75" customHeight="1">
      <c r="A9108" s="2">
        <v>9267.0</v>
      </c>
      <c r="B9108" s="5" t="s">
        <v>16587</v>
      </c>
      <c r="C9108" s="6">
        <v>1.0</v>
      </c>
      <c r="D9108" s="7" t="s">
        <v>16588</v>
      </c>
      <c r="E9108" s="8" t="str">
        <f>IFERROR(__xludf.DUMMYFUNCTION("googletranslate(D9108,""id"",""en"")"),"New BBRp days and the impact of this PPKM feels like it doesn't really.")</f>
        <v>New BBRp days and the impact of this PPKM feels like it doesn't really.</v>
      </c>
    </row>
    <row r="9109" ht="15.75" customHeight="1">
      <c r="A9109" s="2">
        <v>9268.0</v>
      </c>
      <c r="B9109" s="5" t="s">
        <v>16589</v>
      </c>
      <c r="C9109" s="6">
        <v>2.0</v>
      </c>
      <c r="D9109" s="7" t="s">
        <v>16589</v>
      </c>
      <c r="E9109" s="8" t="str">
        <f>IFERROR(__xludf.DUMMYFUNCTION("googletranslate(D9109,""id"",""en"")"),"Se it regulates the implementation of emergency PPKM in places of worship, as well as instructions for implementing malem takbiran JG")</f>
        <v>Se it regulates the implementation of emergency PPKM in places of worship, as well as instructions for implementing malem takbiran JG</v>
      </c>
    </row>
    <row r="9110" ht="15.75" customHeight="1">
      <c r="A9110" s="2">
        <v>9269.0</v>
      </c>
      <c r="B9110" s="5" t="s">
        <v>16590</v>
      </c>
      <c r="C9110" s="6">
        <v>1.0</v>
      </c>
      <c r="D9110" s="9" t="s">
        <v>16591</v>
      </c>
      <c r="E9110" s="8" t="str">
        <f>IFERROR(__xludf.DUMMYFUNCTION("googletranslate(D9110,""id"",""en"")"),"If I have told the news of the virus and death especially the vaccine. I am more pnting than that how the effort can survive during the PPKM. If Corona can spread due to crowding, JKW has been hit by Corona because of the people.")</f>
        <v>If I have told the news of the virus and death especially the vaccine. I am more pnting than that how the effort can survive during the PPKM. If Corona can spread due to crowding, JKW has been hit by Corona because of the people.</v>
      </c>
    </row>
    <row r="9111" ht="15.75" customHeight="1">
      <c r="A9111" s="2">
        <v>9270.0</v>
      </c>
      <c r="B9111" s="5" t="s">
        <v>16592</v>
      </c>
      <c r="C9111" s="6">
        <v>3.0</v>
      </c>
      <c r="D9111" s="9" t="s">
        <v>16593</v>
      </c>
      <c r="E9111" s="8" t="str">
        <f>IFERROR(__xludf.DUMMYFUNCTION("googletranslate(D9111,""id"",""en"")"),"Funny videos to increase our immunity against covid ... let's keep the proced discipline and support the emergency ppkm..jokowi opponents pandemic")</f>
        <v>Funny videos to increase our immunity against covid ... let's keep the proced discipline and support the emergency ppkm..jokowi opponents pandemic</v>
      </c>
    </row>
    <row r="9112" ht="15.75" customHeight="1">
      <c r="A9112" s="2">
        <v>9271.0</v>
      </c>
      <c r="B9112" s="5" t="s">
        <v>16594</v>
      </c>
      <c r="C9112" s="6">
        <v>3.0</v>
      </c>
      <c r="D9112" s="7" t="s">
        <v>16595</v>
      </c>
      <c r="E9112" s="8" t="str">
        <f>IFERROR(__xludf.DUMMYFUNCTION("googletranslate(D9112,""id"",""en"")"),"Reflecting on the efforts of other countries in dealing with Covid-19 pandemics, the efforts of optimal SDH SGT. He sets PPKM / PSBB to pay attention to the characteristics of this nation SHG SCR economy we have not jumped out but can survive &amp; amp; Bs qu"&amp;"ickly recover.")</f>
        <v>Reflecting on the efforts of other countries in dealing with Covid-19 pandemics, the efforts of optimal SDH SGT. He sets PPKM / PSBB to pay attention to the characteristics of this nation SHG SCR economy we have not jumped out but can survive &amp; amp; Bs quickly recover.</v>
      </c>
    </row>
    <row r="9113" ht="15.75" customHeight="1">
      <c r="A9113" s="2">
        <v>9272.0</v>
      </c>
      <c r="B9113" s="5" t="s">
        <v>16596</v>
      </c>
      <c r="C9113" s="6">
        <v>1.0</v>
      </c>
      <c r="D9113" s="9" t="s">
        <v>16597</v>
      </c>
      <c r="E9113" s="8" t="str">
        <f>IFERROR(__xludf.DUMMYFUNCTION("googletranslate(D9113,""id"",""en"")"),"It's just in the era of now.Ter then ... buantayayaaakkk ... statement of officials Usually. The passenger is back in.")</f>
        <v>It's just in the era of now.Ter then ... buantayayaaakkk ... statement of officials Usually. The passenger is back in.</v>
      </c>
    </row>
    <row r="9114" ht="15.75" customHeight="1">
      <c r="A9114" s="2">
        <v>9273.0</v>
      </c>
      <c r="B9114" s="5" t="s">
        <v>16598</v>
      </c>
      <c r="C9114" s="6">
        <v>2.0</v>
      </c>
      <c r="D9114" s="10" t="s">
        <v>16599</v>
      </c>
      <c r="E9114" s="8" t="str">
        <f>IFERROR(__xludf.DUMMYFUNCTION("googletranslate(D9114,""id"",""en"")"),"PPKM Day -:")</f>
        <v>PPKM Day -:</v>
      </c>
    </row>
    <row r="9115" ht="15.75" customHeight="1">
      <c r="A9115" s="2">
        <v>9274.0</v>
      </c>
      <c r="B9115" s="5" t="s">
        <v>16600</v>
      </c>
      <c r="C9115" s="6">
        <v>2.0</v>
      </c>
      <c r="D9115" s="7" t="s">
        <v>16601</v>
      </c>
      <c r="E9115" s="8" t="str">
        <f>IFERROR(__xludf.DUMMYFUNCTION("googletranslate(D9115,""id"",""en"")"),"LAUGH OUT LOUD...!! Patch tire online ppkm emergency like this ...")</f>
        <v>LAUGH OUT LOUD...!! Patch tire online ppkm emergency like this ...</v>
      </c>
    </row>
    <row r="9116" ht="15.75" customHeight="1">
      <c r="A9116" s="2">
        <v>9275.0</v>
      </c>
      <c r="B9116" s="5" t="s">
        <v>16602</v>
      </c>
      <c r="C9116" s="6">
        <v>1.0</v>
      </c>
      <c r="D9116" s="7" t="s">
        <v>16603</v>
      </c>
      <c r="E9116" s="8" t="str">
        <f>IFERROR(__xludf.DUMMYFUNCTION("googletranslate(D9116,""id"",""en"")"),"Our ppkmelan soft is poor")</f>
        <v>Our ppkmelan soft is poor</v>
      </c>
    </row>
    <row r="9117" ht="15.75" customHeight="1">
      <c r="A9117" s="2">
        <v>9276.0</v>
      </c>
      <c r="B9117" s="5" t="s">
        <v>16604</v>
      </c>
      <c r="C9117" s="6">
        <v>1.0</v>
      </c>
      <c r="D9117" s="7" t="s">
        <v>16605</v>
      </c>
      <c r="E9117" s="8" t="str">
        <f>IFERROR(__xludf.DUMMYFUNCTION("googletranslate(D9117,""id"",""en"")"),"Emergency is late !!")</f>
        <v>Emergency is late !!</v>
      </c>
    </row>
    <row r="9118" ht="15.75" customHeight="1">
      <c r="A9118" s="2">
        <v>9277.0</v>
      </c>
      <c r="B9118" s="5" t="s">
        <v>16606</v>
      </c>
      <c r="C9118" s="6">
        <v>2.0</v>
      </c>
      <c r="D9118" s="10" t="s">
        <v>16607</v>
      </c>
      <c r="E9118" s="8" t="str">
        <f>IFERROR(__xludf.DUMMYFUNCTION("googletranslate(D9118,""id"",""en"")"),"Razia PPKM.")</f>
        <v>Razia PPKM.</v>
      </c>
    </row>
    <row r="9119" ht="15.75" customHeight="1">
      <c r="A9119" s="2">
        <v>9278.0</v>
      </c>
      <c r="B9119" s="5" t="s">
        <v>16608</v>
      </c>
      <c r="C9119" s="6">
        <v>2.0</v>
      </c>
      <c r="D9119" s="10" t="s">
        <v>16609</v>
      </c>
      <c r="E9119" s="8" t="str">
        <f>IFERROR(__xludf.DUMMYFUNCTION("googletranslate(D9119,""id"",""en"")"),"PPKM Om.")</f>
        <v>PPKM Om.</v>
      </c>
    </row>
    <row r="9120" ht="15.75" customHeight="1">
      <c r="A9120" s="2">
        <v>9279.0</v>
      </c>
      <c r="B9120" s="5" t="s">
        <v>16610</v>
      </c>
      <c r="C9120" s="6">
        <v>1.0</v>
      </c>
      <c r="D9120" s="9" t="s">
        <v>16611</v>
      </c>
      <c r="E9120" s="8" t="str">
        <f>IFERROR(__xludf.DUMMYFUNCTION("googletranslate(D9120,""id"",""en"")"),"Apes is really the Indonesian people, the income has been suffered by KRN PPKM told to think of a solution too. If criticism will be jailed")</f>
        <v>Apes is really the Indonesian people, the income has been suffered by KRN PPKM told to think of a solution too. If criticism will be jailed</v>
      </c>
    </row>
    <row r="9121" ht="15.75" customHeight="1">
      <c r="A9121" s="2">
        <v>9280.0</v>
      </c>
      <c r="B9121" s="5" t="s">
        <v>16612</v>
      </c>
      <c r="C9121" s="6">
        <v>3.0</v>
      </c>
      <c r="D9121" s="7" t="s">
        <v>16612</v>
      </c>
      <c r="E9121" s="8" t="str">
        <f>IFERROR(__xludf.DUMMYFUNCTION("googletranslate(D9121,""id"",""en"")"),"serious during the ppkm ni my sleep so rich normal people uehehe")</f>
        <v>serious during the ppkm ni my sleep so rich normal people uehehe</v>
      </c>
    </row>
    <row r="9122" ht="15.75" customHeight="1">
      <c r="A9122" s="2">
        <v>9281.0</v>
      </c>
      <c r="B9122" s="5" t="s">
        <v>16613</v>
      </c>
      <c r="C9122" s="6">
        <v>1.0</v>
      </c>
      <c r="D9122" s="7" t="s">
        <v>16614</v>
      </c>
      <c r="E9122" s="8" t="str">
        <f>IFERROR(__xludf.DUMMYFUNCTION("googletranslate(D9122,""id"",""en"")"),"Knapped by the police during the Razia PPKM, the merchant went on: Mr. Still a payday, I don't open it!")</f>
        <v>Knapped by the police during the Razia PPKM, the merchant went on: Mr. Still a payday, I don't open it!</v>
      </c>
    </row>
    <row r="9123" ht="15.75" customHeight="1">
      <c r="A9123" s="2">
        <v>9282.0</v>
      </c>
      <c r="B9123" s="5" t="s">
        <v>16615</v>
      </c>
      <c r="C9123" s="6">
        <v>2.0</v>
      </c>
      <c r="D9123" s="10" t="s">
        <v>16616</v>
      </c>
      <c r="E9123" s="8" t="str">
        <f>IFERROR(__xludf.DUMMYFUNCTION("googletranslate(D9123,""id"",""en"")"),"PPKM Mas.")</f>
        <v>PPKM Mas.</v>
      </c>
    </row>
    <row r="9124" ht="15.75" customHeight="1">
      <c r="A9124" s="2">
        <v>9283.0</v>
      </c>
      <c r="B9124" s="5" t="s">
        <v>16617</v>
      </c>
      <c r="C9124" s="6">
        <v>2.0</v>
      </c>
      <c r="D9124" s="10" t="s">
        <v>16618</v>
      </c>
      <c r="E9124" s="8" t="str">
        <f>IFERROR(__xludf.DUMMYFUNCTION("googletranslate(D9124,""id"",""en"")"),"PPKM Kang.")</f>
        <v>PPKM Kang.</v>
      </c>
    </row>
    <row r="9125" ht="15.75" customHeight="1">
      <c r="A9125" s="2">
        <v>9284.0</v>
      </c>
      <c r="B9125" s="5" t="s">
        <v>16619</v>
      </c>
      <c r="C9125" s="6">
        <v>2.0</v>
      </c>
      <c r="D9125" s="7" t="s">
        <v>16620</v>
      </c>
      <c r="E9125" s="8" t="str">
        <f>IFERROR(__xludf.DUMMYFUNCTION("googletranslate(D9125,""id"",""en"")"),"Yes, Happy Isoman stage Nadyahhh PPKM is really this, I'm God")</f>
        <v>Yes, Happy Isoman stage Nadyahhh PPKM is really this, I'm God</v>
      </c>
    </row>
    <row r="9126" ht="15.75" customHeight="1">
      <c r="A9126" s="2">
        <v>9285.0</v>
      </c>
      <c r="B9126" s="5" t="s">
        <v>16621</v>
      </c>
      <c r="C9126" s="6">
        <v>2.0</v>
      </c>
      <c r="D9126" s="9" t="s">
        <v>16621</v>
      </c>
      <c r="E9126" s="8" t="str">
        <f>IFERROR(__xludf.DUMMYFUNCTION("googletranslate(D9126,""id"",""en"")"),"Compare of Pandemic Pandemic Policies and Implementation in EU and Ina may also be seen by the causes of the stunning efforts. Can the community be in total lockdown? PSBB / PPKM alone has been a lot of consideration from socio-economic. The strength of e"&amp;"ach region is different.")</f>
        <v>Compare of Pandemic Pandemic Policies and Implementation in EU and Ina may also be seen by the causes of the stunning efforts. Can the community be in total lockdown? PSBB / PPKM alone has been a lot of consideration from socio-economic. The strength of each region is different.</v>
      </c>
    </row>
    <row r="9127" ht="15.75" customHeight="1">
      <c r="A9127" s="2">
        <v>9286.0</v>
      </c>
      <c r="B9127" s="5" t="s">
        <v>16622</v>
      </c>
      <c r="C9127" s="6">
        <v>1.0</v>
      </c>
      <c r="D9127" s="7" t="s">
        <v>16623</v>
      </c>
      <c r="E9127" s="8" t="str">
        <f>IFERROR(__xludf.DUMMYFUNCTION("googletranslate(D9127,""id"",""en"")"),"To ZaliMan the government today, applying PPKM but does not provide compensation to provide basic needs to the people, in accordance with the command of Law No.6 / 2018")</f>
        <v>To ZaliMan the government today, applying PPKM but does not provide compensation to provide basic needs to the people, in accordance with the command of Law No.6 / 2018</v>
      </c>
    </row>
    <row r="9128" ht="15.75" customHeight="1">
      <c r="A9128" s="2">
        <v>9287.0</v>
      </c>
      <c r="B9128" s="5" t="s">
        <v>16624</v>
      </c>
      <c r="C9128" s="6">
        <v>2.0</v>
      </c>
      <c r="D9128" s="7" t="s">
        <v>16625</v>
      </c>
      <c r="E9128" s="8" t="str">
        <f>IFERROR(__xludf.DUMMYFUNCTION("googletranslate(D9128,""id"",""en"")"),"PPKMPernah goes then appears")</f>
        <v>PPKMPernah goes then appears</v>
      </c>
    </row>
    <row r="9129" ht="15.75" customHeight="1">
      <c r="A9129" s="2">
        <v>9288.0</v>
      </c>
      <c r="B9129" s="5" t="s">
        <v>16626</v>
      </c>
      <c r="C9129" s="6">
        <v>1.0</v>
      </c>
      <c r="D9129" s="9" t="s">
        <v>16626</v>
      </c>
      <c r="E9129" s="8" t="str">
        <f>IFERROR(__xludf.DUMMYFUNCTION("googletranslate(D9129,""id"",""en"")"),"Since PPKM, everyday everyday everyday just sleep, I always hear the news of the dead. Sriouslyyyyy ???? Weird, bro?")</f>
        <v>Since PPKM, everyday everyday everyday just sleep, I always hear the news of the dead. Sriouslyyyyy ???? Weird, bro?</v>
      </c>
    </row>
    <row r="9130" ht="15.75" customHeight="1">
      <c r="A9130" s="2">
        <v>9289.0</v>
      </c>
      <c r="B9130" s="5" t="s">
        <v>16627</v>
      </c>
      <c r="C9130" s="6">
        <v>1.0</v>
      </c>
      <c r="D9130" s="7" t="s">
        <v>16628</v>
      </c>
      <c r="E9130" s="8" t="str">
        <f>IFERROR(__xludf.DUMMYFUNCTION("googletranslate(D9130,""id"",""en"")"),"rich bts loose mask in aamiin ... but kl still ppkm gini y ya g there's a result it's not clear the rules")</f>
        <v>rich bts loose mask in aamiin ... but kl still ppkm gini y ya g there's a result it's not clear the rules</v>
      </c>
    </row>
    <row r="9131" ht="15.75" customHeight="1">
      <c r="A9131" s="2">
        <v>9290.0</v>
      </c>
      <c r="B9131" s="5" t="s">
        <v>16629</v>
      </c>
      <c r="C9131" s="6">
        <v>2.0</v>
      </c>
      <c r="D9131" s="7" t="s">
        <v>16630</v>
      </c>
      <c r="E9131" s="8" t="str">
        <f>IFERROR(__xludf.DUMMYFUNCTION("googletranslate(D9131,""id"",""en"")"),"how do you think PPKM, it turns out it's just a status")</f>
        <v>how do you think PPKM, it turns out it's just a status</v>
      </c>
    </row>
    <row r="9132" ht="15.75" customHeight="1">
      <c r="A9132" s="2">
        <v>9291.0</v>
      </c>
      <c r="B9132" s="5" t="s">
        <v>16631</v>
      </c>
      <c r="C9132" s="6">
        <v>2.0</v>
      </c>
      <c r="D9132" s="9" t="s">
        <v>16632</v>
      </c>
      <c r="E9132" s="8" t="str">
        <f>IFERROR(__xludf.DUMMYFUNCTION("googletranslate(D9132,""id"",""en"")"),"can I see the doctor trs the doctor said: don't get hit at school yes: apologize dock, I've worked ... as long as the ppkm is also wfh anyway: oh kirain still junior high: gapapa dok it's normal ... it's in my age I am")</f>
        <v>can I see the doctor trs the doctor said: don't get hit at school yes: apologize dock, I've worked ... as long as the ppkm is also wfh anyway: oh kirain still junior high: gapapa dok it's normal ... it's in my age I am</v>
      </c>
    </row>
    <row r="9133" ht="15.75" customHeight="1">
      <c r="A9133" s="2">
        <v>9292.0</v>
      </c>
      <c r="B9133" s="5" t="s">
        <v>16633</v>
      </c>
      <c r="C9133" s="6">
        <v>2.0</v>
      </c>
      <c r="D9133" s="9" t="s">
        <v>16634</v>
      </c>
      <c r="E9133" s="8" t="str">
        <f>IFERROR(__xludf.DUMMYFUNCTION("googletranslate(D9133,""id"",""en"")"),"Using the still there, want to come out but still the ppkm because")</f>
        <v>Using the still there, want to come out but still the ppkm because</v>
      </c>
    </row>
    <row r="9134" ht="15.75" customHeight="1">
      <c r="A9134" s="2">
        <v>9293.0</v>
      </c>
      <c r="B9134" s="5" t="s">
        <v>16635</v>
      </c>
      <c r="C9134" s="6">
        <v>1.0</v>
      </c>
      <c r="D9134" s="7" t="s">
        <v>16636</v>
      </c>
      <c r="E9134" s="8" t="str">
        <f>IFERROR(__xludf.DUMMYFUNCTION("googletranslate(D9134,""id"",""en"")"),"Dobol om..mrk promised cm for this day just when you see the people still able to eat even though the income land was struck by PPKM Nan Lebay but instead of promising to make tomorrow who didn't know what people could eat the same policy")</f>
        <v>Dobol om..mrk promised cm for this day just when you see the people still able to eat even though the income land was struck by PPKM Nan Lebay but instead of promising to make tomorrow who didn't know what people could eat the same policy</v>
      </c>
    </row>
    <row r="9135" ht="15.75" customHeight="1">
      <c r="A9135" s="2">
        <v>9294.0</v>
      </c>
      <c r="B9135" s="5" t="s">
        <v>16637</v>
      </c>
      <c r="C9135" s="6">
        <v>2.0</v>
      </c>
      <c r="D9135" s="7" t="s">
        <v>16637</v>
      </c>
      <c r="E9135" s="8" t="str">
        <f>IFERROR(__xludf.DUMMYFUNCTION("googletranslate(D9135,""id"",""en"")"),"Ni stall stalls in the accessary don't open apaba, now Monday. Masaiya PPKM Nigned to Warung Opening Hours")</f>
        <v>Ni stall stalls in the accessary don't open apaba, now Monday. Masaiya PPKM Nigned to Warung Opening Hours</v>
      </c>
    </row>
    <row r="9136" ht="15.75" customHeight="1">
      <c r="A9136" s="2">
        <v>9295.0</v>
      </c>
      <c r="B9136" s="5" t="s">
        <v>16638</v>
      </c>
      <c r="C9136" s="6">
        <v>1.0</v>
      </c>
      <c r="D9136" s="7" t="s">
        <v>16638</v>
      </c>
      <c r="E9136" s="8" t="str">
        <f>IFERROR(__xludf.DUMMYFUNCTION("googletranslate(D9136,""id"",""en"")"),"PPKM: Slowly get mentally.")</f>
        <v>PPKM: Slowly get mentally.</v>
      </c>
    </row>
    <row r="9137" ht="15.75" customHeight="1">
      <c r="A9137" s="2">
        <v>9296.0</v>
      </c>
      <c r="B9137" s="5" t="s">
        <v>16639</v>
      </c>
      <c r="C9137" s="6">
        <v>1.0</v>
      </c>
      <c r="D9137" s="7" t="s">
        <v>16640</v>
      </c>
      <c r="E9137" s="8" t="str">
        <f>IFERROR(__xludf.DUMMYFUNCTION("googletranslate(D9137,""id"",""en"")"),"BISMILLAH, I hope this Pandemic Coroncong quickly subsided again, just this should be PJJ, but because there is a business, you want to swab again, police permission near the school, use clothing more complicated, TRS is really limited to ppkm: '(Stay Saf"&amp;"e Yes nature!")</f>
        <v>BISMILLAH, I hope this Pandemic Coroncong quickly subsided again, just this should be PJJ, but because there is a business, you want to swab again, police permission near the school, use clothing more complicated, TRS is really limited to ppkm: '(Stay Safe Yes nature!</v>
      </c>
    </row>
    <row r="9138" ht="15.75" customHeight="1">
      <c r="A9138" s="2">
        <v>9297.0</v>
      </c>
      <c r="B9138" s="5" t="s">
        <v>16641</v>
      </c>
      <c r="C9138" s="6">
        <v>2.0</v>
      </c>
      <c r="D9138" s="7" t="s">
        <v>16641</v>
      </c>
      <c r="E9138" s="8" t="str">
        <f>IFERROR(__xludf.DUMMYFUNCTION("googletranslate(D9138,""id"",""en"")"),"yrl emg skykan already entered y? ga online? BKN LGI PPKM")</f>
        <v>yrl emg skykan already entered y? ga online? BKN LGI PPKM</v>
      </c>
    </row>
    <row r="9139" ht="15.75" customHeight="1">
      <c r="A9139" s="2">
        <v>9298.0</v>
      </c>
      <c r="B9139" s="5" t="s">
        <v>16642</v>
      </c>
      <c r="C9139" s="6">
        <v>1.0</v>
      </c>
      <c r="D9139" s="7" t="s">
        <v>16643</v>
      </c>
      <c r="E9139" s="8" t="str">
        <f>IFERROR(__xludf.DUMMYFUNCTION("googletranslate(D9139,""id"",""en"")"),"Vegetable traders are berserk to PPKM raid officers: in our own country we are colonized!")</f>
        <v>Vegetable traders are berserk to PPKM raid officers: in our own country we are colonized!</v>
      </c>
    </row>
    <row r="9140" ht="15.75" customHeight="1">
      <c r="A9140" s="2">
        <v>9299.0</v>
      </c>
      <c r="B9140" s="5" t="s">
        <v>16644</v>
      </c>
      <c r="C9140" s="6">
        <v>1.0</v>
      </c>
      <c r="D9140" s="7" t="s">
        <v>16645</v>
      </c>
      <c r="E9140" s="8" t="str">
        <f>IFERROR(__xludf.DUMMYFUNCTION("googletranslate(D9140,""id"",""en"")"),"Knp is more wasteful, even though during this ppkm, it's not kmn2, it's just gopud, x but how come it's been wasteful, bro, wkwkwkk")</f>
        <v>Knp is more wasteful, even though during this ppkm, it's not kmn2, it's just gopud, x but how come it's been wasteful, bro, wkwkwkk</v>
      </c>
    </row>
    <row r="9141" ht="15.75" customHeight="1">
      <c r="A9141" s="2">
        <v>9300.0</v>
      </c>
      <c r="B9141" s="5" t="s">
        <v>16646</v>
      </c>
      <c r="C9141" s="6">
        <v>2.0</v>
      </c>
      <c r="D9141" s="7" t="s">
        <v>16646</v>
      </c>
      <c r="E9141" s="8" t="str">
        <f>IFERROR(__xludf.DUMMYFUNCTION("googletranslate(D9141,""id"",""en"")"),"PPKM Final Euro Final?")</f>
        <v>PPKM Final Euro Final?</v>
      </c>
    </row>
    <row r="9142" ht="15.75" customHeight="1">
      <c r="A9142" s="2">
        <v>9301.0</v>
      </c>
      <c r="B9142" s="5" t="s">
        <v>16647</v>
      </c>
      <c r="C9142" s="6">
        <v>1.0</v>
      </c>
      <c r="D9142" s="7" t="s">
        <v>16648</v>
      </c>
      <c r="E9142" s="8" t="str">
        <f>IFERROR(__xludf.DUMMYFUNCTION("googletranslate(D9142,""id"",""en"")"),"Our slow PPKmpanlan is poor")</f>
        <v>Our slow PPKmpanlan is poor</v>
      </c>
    </row>
    <row r="9143" ht="15.75" customHeight="1">
      <c r="A9143" s="2">
        <v>9302.0</v>
      </c>
      <c r="B9143" s="5" t="s">
        <v>16649</v>
      </c>
      <c r="C9143" s="6">
        <v>2.0</v>
      </c>
      <c r="D9143" s="7" t="s">
        <v>16650</v>
      </c>
      <c r="E9143" s="8" t="str">
        <f>IFERROR(__xludf.DUMMYFUNCTION("googletranslate(D9143,""id"",""en"")"),"I am a citizen of Bogor, plans to want a vaccine in Jakarta on July, maybe where is the Jakarta area when this emergency PPKM")</f>
        <v>I am a citizen of Bogor, plans to want a vaccine in Jakarta on July, maybe where is the Jakarta area when this emergency PPKM</v>
      </c>
    </row>
    <row r="9144" ht="15.75" customHeight="1">
      <c r="A9144" s="2">
        <v>9303.0</v>
      </c>
      <c r="B9144" s="5" t="s">
        <v>16651</v>
      </c>
      <c r="C9144" s="6">
        <v>1.0</v>
      </c>
      <c r="D9144" s="7" t="s">
        <v>16652</v>
      </c>
      <c r="E9144" s="8" t="str">
        <f>IFERROR(__xludf.DUMMYFUNCTION("googletranslate(D9144,""id"",""en"")"),"it was stalled as ppmm gt it seems like it was stopped at the gt insensee post")</f>
        <v>it was stalled as ppmm gt it seems like it was stopped at the gt insensee post</v>
      </c>
    </row>
    <row r="9145" ht="15.75" customHeight="1">
      <c r="A9145" s="2">
        <v>9304.0</v>
      </c>
      <c r="B9145" s="5" t="s">
        <v>16653</v>
      </c>
      <c r="C9145" s="6">
        <v>1.0</v>
      </c>
      <c r="D9145" s="7" t="s">
        <v>16653</v>
      </c>
      <c r="E9145" s="8" t="str">
        <f>IFERROR(__xludf.DUMMYFUNCTION("googletranslate(D9145,""id"",""en"")"),"During the PPKM period of street lights in the many points of my dikotikan, the news about Begal &amp; amp; Gang Klitih Kudus City Branch also began to emerge, continued to use what if the street lights were turned off?")</f>
        <v>During the PPKM period of street lights in the many points of my dikotikan, the news about Begal &amp; amp; Gang Klitih Kudus City Branch also began to emerge, continued to use what if the street lights were turned off?</v>
      </c>
    </row>
    <row r="9146" ht="15.75" customHeight="1">
      <c r="A9146" s="2">
        <v>9305.0</v>
      </c>
      <c r="B9146" s="5" t="s">
        <v>16654</v>
      </c>
      <c r="C9146" s="6">
        <v>1.0</v>
      </c>
      <c r="D9146" s="7" t="s">
        <v>16655</v>
      </c>
      <c r="E9146" s="8" t="str">
        <f>IFERROR(__xludf.DUMMYFUNCTION("googletranslate(D9146,""id"",""en"")"),"Pgn pgn bgt ngadin mpls again, eh the school has a school because of the ppkm")</f>
        <v>Pgn pgn bgt ngadin mpls again, eh the school has a school because of the ppkm</v>
      </c>
    </row>
    <row r="9147" ht="15.75" customHeight="1">
      <c r="A9147" s="2">
        <v>9306.0</v>
      </c>
      <c r="B9147" s="5" t="s">
        <v>16656</v>
      </c>
      <c r="C9147" s="6">
        <v>1.0</v>
      </c>
      <c r="D9147" s="7" t="s">
        <v>16657</v>
      </c>
      <c r="E9147" s="8" t="str">
        <f>IFERROR(__xludf.DUMMYFUNCTION("googletranslate(D9147,""id"",""en"")"),"Hmmm ngak anyone selling chicken porridge, fear of being hit by a ppmm task force and jutah fine")</f>
        <v>Hmmm ngak anyone selling chicken porridge, fear of being hit by a ppmm task force and jutah fine</v>
      </c>
    </row>
    <row r="9148" ht="15.75" customHeight="1">
      <c r="A9148" s="2">
        <v>9307.0</v>
      </c>
      <c r="B9148" s="5" t="s">
        <v>16658</v>
      </c>
      <c r="C9148" s="6">
        <v>1.0</v>
      </c>
      <c r="D9148" s="9" t="s">
        <v>16659</v>
      </c>
      <c r="E9148" s="8" t="str">
        <f>IFERROR(__xludf.DUMMYFUNCTION("googletranslate(D9148,""id"",""en"")"),"Where in the off-in a week of Hadeu PPKM case. bro, bro, my father is at home, it's home, it's easy to open the shop hmmm")</f>
        <v>Where in the off-in a week of Hadeu PPKM case. bro, bro, my father is at home, it's home, it's easy to open the shop hmmm</v>
      </c>
    </row>
    <row r="9149" ht="15.75" customHeight="1">
      <c r="A9149" s="2">
        <v>9308.0</v>
      </c>
      <c r="B9149" s="5" t="s">
        <v>16660</v>
      </c>
      <c r="C9149" s="6">
        <v>2.0</v>
      </c>
      <c r="D9149" s="7" t="s">
        <v>16661</v>
      </c>
      <c r="E9149" s="8" t="str">
        <f>IFERROR(__xludf.DUMMYFUNCTION("googletranslate(D9149,""id"",""en"")"),"Encourage Takbiran and Eid Al-Adha Prayers at Home for Emergency PPKM Region")</f>
        <v>Encourage Takbiran and Eid Al-Adha Prayers at Home for Emergency PPKM Region</v>
      </c>
    </row>
    <row r="9150" ht="15.75" customHeight="1">
      <c r="A9150" s="2">
        <v>9309.0</v>
      </c>
      <c r="B9150" s="5" t="s">
        <v>16662</v>
      </c>
      <c r="C9150" s="6">
        <v>1.0</v>
      </c>
      <c r="D9150" s="7" t="s">
        <v>16663</v>
      </c>
      <c r="E9150" s="8" t="str">
        <f>IFERROR(__xludf.DUMMYFUNCTION("googletranslate(D9150,""id"",""en"")"),"Real PPKM is a person (pretending you support) originally plunge.")</f>
        <v>Real PPKM is a person (pretending you support) originally plunge.</v>
      </c>
    </row>
    <row r="9151" ht="15.75" customHeight="1">
      <c r="A9151" s="2">
        <v>9310.0</v>
      </c>
      <c r="B9151" s="5" t="s">
        <v>16664</v>
      </c>
      <c r="C9151" s="6">
        <v>1.0</v>
      </c>
      <c r="D9151" s="9" t="s">
        <v>16665</v>
      </c>
      <c r="E9151" s="8" t="str">
        <f>IFERROR(__xludf.DUMMYFUNCTION("googletranslate(D9151,""id"",""en"")"),"Yes, even though the PPKM is still giving a solution for its citizens, which is only able to eat only from the selling or whatever requires them to leave the house. Yesterday said ""no anti-chryric, but give a solution too"" ... yes apply to all, reflecti"&amp;"ng a little yuk")</f>
        <v>Yes, even though the PPKM is still giving a solution for its citizens, which is only able to eat only from the selling or whatever requires them to leave the house. Yesterday said "no anti-chryric, but give a solution too" ... yes apply to all, reflecting a little yuk</v>
      </c>
    </row>
    <row r="9152" ht="15.75" customHeight="1">
      <c r="A9152" s="2">
        <v>9311.0</v>
      </c>
      <c r="B9152" s="5" t="s">
        <v>16666</v>
      </c>
      <c r="C9152" s="6">
        <v>3.0</v>
      </c>
      <c r="D9152" s="9" t="s">
        <v>16667</v>
      </c>
      <c r="E9152" s="8" t="str">
        <f>IFERROR(__xludf.DUMMYFUNCTION("googletranslate(D9152,""id"",""en"")"),"Fine perknown her brick Hahaha Eewako Koh! Hopefully the fortune is bestowed and launched by Yagood Thing, today is the amount of funds for help that affect PPKM, I'll credit that to you and my luck today")</f>
        <v>Fine perknown her brick Hahaha Eewako Koh! Hopefully the fortune is bestowed and launched by Yagood Thing, today is the amount of funds for help that affect PPKM, I'll credit that to you and my luck today</v>
      </c>
    </row>
    <row r="9153" ht="15.75" customHeight="1">
      <c r="A9153" s="2">
        <v>9312.0</v>
      </c>
      <c r="B9153" s="5" t="s">
        <v>16668</v>
      </c>
      <c r="C9153" s="6">
        <v>3.0</v>
      </c>
      <c r="D9153" s="9" t="s">
        <v>16669</v>
      </c>
      <c r="E9153" s="8" t="str">
        <f>IFERROR(__xludf.DUMMYFUNCTION("googletranslate(D9153,""id"",""en"")"),"Emergency PPKM steps right to control DN Prevent the coupled surge. Help the nakes by compliance with emergency PPKM, reduce mobilization, obey the proces and join the vaccine")</f>
        <v>Emergency PPKM steps right to control DN Prevent the coupled surge. Help the nakes by compliance with emergency PPKM, reduce mobilization, obey the proces and join the vaccine</v>
      </c>
    </row>
    <row r="9154" ht="15.75" customHeight="1">
      <c r="A9154" s="2">
        <v>9313.0</v>
      </c>
      <c r="B9154" s="5" t="s">
        <v>16670</v>
      </c>
      <c r="C9154" s="6">
        <v>2.0</v>
      </c>
      <c r="D9154" s="7" t="s">
        <v>16670</v>
      </c>
      <c r="E9154" s="8" t="str">
        <f>IFERROR(__xludf.DUMMYFUNCTION("googletranslate(D9154,""id"",""en"")"),"Ppkm = never cared then disappeared")</f>
        <v>Ppkm = never cared then disappeared</v>
      </c>
    </row>
    <row r="9155" ht="15.75" customHeight="1">
      <c r="A9155" s="2">
        <v>9314.0</v>
      </c>
      <c r="B9155" s="5" t="s">
        <v>16671</v>
      </c>
      <c r="C9155" s="6">
        <v>3.0</v>
      </c>
      <c r="D9155" s="7" t="s">
        <v>16672</v>
      </c>
      <c r="E9155" s="8" t="str">
        <f>IFERROR(__xludf.DUMMYFUNCTION("googletranslate(D9155,""id"",""en"")"),"Emergency PPKM for the sake of national safety.")</f>
        <v>Emergency PPKM for the sake of national safety.</v>
      </c>
    </row>
    <row r="9156" ht="15.75" customHeight="1">
      <c r="A9156" s="2">
        <v>9315.0</v>
      </c>
      <c r="B9156" s="5" t="s">
        <v>16673</v>
      </c>
      <c r="C9156" s="6">
        <v>1.0</v>
      </c>
      <c r="D9156" s="7" t="s">
        <v>16674</v>
      </c>
      <c r="E9156" s="8" t="str">
        <f>IFERROR(__xludf.DUMMYFUNCTION("googletranslate(D9156,""id"",""en"")"),"Recognition that: Luhut failed to control the pandemic.jokowi was unable to be president.Wiranto will be scoted. Fixed.ppkm.Pak president when?")</f>
        <v>Recognition that: Luhut failed to control the pandemic.jokowi was unable to be president.Wiranto will be scoted. Fixed.ppkm.Pak president when?</v>
      </c>
    </row>
    <row r="9157" ht="15.75" customHeight="1">
      <c r="A9157" s="2">
        <v>9316.0</v>
      </c>
      <c r="B9157" s="5" t="s">
        <v>16675</v>
      </c>
      <c r="C9157" s="6">
        <v>2.0</v>
      </c>
      <c r="D9157" s="7" t="s">
        <v>16676</v>
      </c>
      <c r="E9157" s="8" t="str">
        <f>IFERROR(__xludf.DUMMYFUNCTION("googletranslate(D9157,""id"",""en"")"),"Yes, the treatment is after the PPKM is complete / the CVD number widespread yes ... If it turns out to be suitable, it must be taken care of treatment + the cream nder")</f>
        <v>Yes, the treatment is after the PPKM is complete / the CVD number widespread yes ... If it turns out to be suitable, it must be taken care of treatment + the cream nder</v>
      </c>
    </row>
    <row r="9158" ht="15.75" customHeight="1">
      <c r="A9158" s="2">
        <v>9317.0</v>
      </c>
      <c r="B9158" s="5" t="s">
        <v>16677</v>
      </c>
      <c r="C9158" s="6">
        <v>2.0</v>
      </c>
      <c r="D9158" s="7" t="s">
        <v>16678</v>
      </c>
      <c r="E9158" s="8" t="str">
        <f>IFERROR(__xludf.DUMMYFUNCTION("googletranslate(D9158,""id"",""en"")"),"Ppkm love but later I stopped by")</f>
        <v>Ppkm love but later I stopped by</v>
      </c>
    </row>
    <row r="9159" ht="15.75" customHeight="1">
      <c r="A9159" s="2">
        <v>9318.0</v>
      </c>
      <c r="B9159" s="5" t="s">
        <v>16679</v>
      </c>
      <c r="C9159" s="6">
        <v>3.0</v>
      </c>
      <c r="D9159" s="9" t="s">
        <v>16680</v>
      </c>
      <c r="E9159" s="8" t="str">
        <f>IFERROR(__xludf.DUMMYFUNCTION("googletranslate(D9159,""id"",""en"")"),"Msh with emergency ppkm min. Hopefully always God is curved this covid passes. Amen.")</f>
        <v>Msh with emergency ppkm min. Hopefully always God is curved this covid passes. Amen.</v>
      </c>
    </row>
    <row r="9160" ht="15.75" customHeight="1">
      <c r="A9160" s="2">
        <v>9319.0</v>
      </c>
      <c r="B9160" s="5" t="s">
        <v>16681</v>
      </c>
      <c r="C9160" s="6">
        <v>1.0</v>
      </c>
      <c r="D9160" s="9" t="s">
        <v>16682</v>
      </c>
      <c r="E9160" s="8" t="str">
        <f>IFERROR(__xludf.DUMMYFUNCTION("googletranslate(D9160,""id"",""en"")"),"Gegara PPKM, poor people also need to eat and their children. If the PPKM is applied by the Kasi People to eat, not the merchandise of the people who are robbed. My sad look, there is also a Covid19 fund that you are corrupted, even though it's a poor per"&amp;"son!")</f>
        <v>Gegara PPKM, poor people also need to eat and their children. If the PPKM is applied by the Kasi People to eat, not the merchandise of the people who are robbed. My sad look, there is also a Covid19 fund that you are corrupted, even though it's a poor person!</v>
      </c>
    </row>
    <row r="9161" ht="15.75" customHeight="1">
      <c r="A9161" s="2">
        <v>9320.0</v>
      </c>
      <c r="B9161" s="5" t="s">
        <v>16683</v>
      </c>
      <c r="C9161" s="6">
        <v>1.0</v>
      </c>
      <c r="D9161" s="7" t="s">
        <v>16684</v>
      </c>
      <c r="E9161" s="8" t="str">
        <f>IFERROR(__xludf.DUMMYFUNCTION("googletranslate(D9161,""id"",""en"")"),"Ga main2 yes ppkm this week until Eid al adha later.")</f>
        <v>Ga main2 yes ppkm this week until Eid al adha later.</v>
      </c>
    </row>
    <row r="9162" ht="15.75" customHeight="1">
      <c r="A9162" s="2">
        <v>9321.0</v>
      </c>
      <c r="B9162" s="5" t="s">
        <v>16685</v>
      </c>
      <c r="C9162" s="6">
        <v>1.0</v>
      </c>
      <c r="D9162" s="9" t="s">
        <v>16686</v>
      </c>
      <c r="E9162" s="8" t="str">
        <f>IFERROR(__xludf.DUMMYFUNCTION("googletranslate(D9162,""id"",""en"")"),"PPKM: Pak President Strongly Shy")</f>
        <v>PPKM: Pak President Strongly Shy</v>
      </c>
    </row>
    <row r="9163" ht="15.75" customHeight="1">
      <c r="A9163" s="2">
        <v>9322.0</v>
      </c>
      <c r="B9163" s="5" t="s">
        <v>16687</v>
      </c>
      <c r="C9163" s="6">
        <v>2.0</v>
      </c>
      <c r="D9163" s="7" t="s">
        <v>16688</v>
      </c>
      <c r="E9163" s="8" t="str">
        <f>IFERROR(__xludf.DUMMYFUNCTION("googletranslate(D9163,""id"",""en"")"),"Today's office starts at Shift Gegara PPKM, Alhamdulillah Gusti gets the afternoon shift. ..shift morning must enter the jabaning clock tunduh")</f>
        <v>Today's office starts at Shift Gegara PPKM, Alhamdulillah Gusti gets the afternoon shift. ..shift morning must enter the jabaning clock tunduh</v>
      </c>
    </row>
    <row r="9164" ht="15.75" customHeight="1">
      <c r="A9164" s="2">
        <v>9323.0</v>
      </c>
      <c r="B9164" s="5" t="s">
        <v>16689</v>
      </c>
      <c r="C9164" s="6">
        <v>3.0</v>
      </c>
      <c r="D9164" s="7" t="s">
        <v>16689</v>
      </c>
      <c r="E9164" s="8" t="str">
        <f>IFERROR(__xludf.DUMMYFUNCTION("googletranslate(D9164,""id"",""en"")"),"Fortunately, yesterday there was a Pak Pol who borong merchandise so that the one who was selling it also went straight home at the time of the PPKM")</f>
        <v>Fortunately, yesterday there was a Pak Pol who borong merchandise so that the one who was selling it also went straight home at the time of the PPKM</v>
      </c>
    </row>
    <row r="9165" ht="15.75" customHeight="1">
      <c r="A9165" s="2">
        <v>9324.0</v>
      </c>
      <c r="B9165" s="5" t="s">
        <v>16690</v>
      </c>
      <c r="C9165" s="6">
        <v>1.0</v>
      </c>
      <c r="D9165" s="9" t="s">
        <v>16691</v>
      </c>
      <c r="E9165" s="8" t="str">
        <f>IFERROR(__xludf.DUMMYFUNCTION("googletranslate(D9165,""id"",""en"")"),"You are still payday officers every month, street vendors don't sell during the PPKM it will not eat his family. Hrs, the availability of eating has been calculated before the PPKM running is not halfway just thought ...")</f>
        <v>You are still payday officers every month, street vendors don't sell during the PPKM it will not eat his family. Hrs, the availability of eating has been calculated before the PPKM running is not halfway just thought ...</v>
      </c>
    </row>
    <row r="9166" ht="15.75" customHeight="1">
      <c r="A9166" s="2">
        <v>9325.0</v>
      </c>
      <c r="B9166" s="5" t="s">
        <v>16692</v>
      </c>
      <c r="C9166" s="6">
        <v>2.0</v>
      </c>
      <c r="D9166" s="9" t="s">
        <v>16693</v>
      </c>
      <c r="E9166" s="8" t="str">
        <f>IFERROR(__xludf.DUMMYFUNCTION("googletranslate(D9166,""id"",""en"")"),"Already euphoria of the euro and Copa America, PPKM is still a day away. If it's not extended")</f>
        <v>Already euphoria of the euro and Copa America, PPKM is still a day away. If it's not extended</v>
      </c>
    </row>
    <row r="9167" ht="15.75" customHeight="1">
      <c r="A9167" s="2">
        <v>9326.0</v>
      </c>
      <c r="B9167" s="5" t="s">
        <v>16694</v>
      </c>
      <c r="C9167" s="6">
        <v>2.0</v>
      </c>
      <c r="D9167" s="10" t="s">
        <v>16695</v>
      </c>
      <c r="E9167" s="8" t="str">
        <f>IFERROR(__xludf.DUMMYFUNCTION("googletranslate(D9167,""id"",""en"")"),"PPKM Neng.")</f>
        <v>PPKM Neng.</v>
      </c>
    </row>
    <row r="9168" ht="15.75" customHeight="1">
      <c r="A9168" s="2">
        <v>9327.0</v>
      </c>
      <c r="B9168" s="5" t="s">
        <v>16696</v>
      </c>
      <c r="C9168" s="6">
        <v>1.0</v>
      </c>
      <c r="D9168" s="7" t="s">
        <v>16697</v>
      </c>
      <c r="E9168" s="8" t="str">
        <f>IFERROR(__xludf.DUMMYFUNCTION("googletranslate(D9168,""id"",""en"")"),"Sir ... just normal, on this PPKM, it is very burdensome for us")</f>
        <v>Sir ... just normal, on this PPKM, it is very burdensome for us</v>
      </c>
    </row>
    <row r="9169" ht="15.75" customHeight="1">
      <c r="A9169" s="2">
        <v>9328.0</v>
      </c>
      <c r="B9169" s="5" t="s">
        <v>16698</v>
      </c>
      <c r="C9169" s="6">
        <v>1.0</v>
      </c>
      <c r="D9169" s="9" t="s">
        <v>16699</v>
      </c>
      <c r="E9169" s="8" t="str">
        <f>IFERROR(__xludf.DUMMYFUNCTION("googletranslate(D9169,""id"",""en"")"),"Kmrin comes out of the red zone TB TB boom ppkm, you can't follow the government Y sir")</f>
        <v>Kmrin comes out of the red zone TB TB boom ppkm, you can't follow the government Y sir</v>
      </c>
    </row>
    <row r="9170" ht="15.75" customHeight="1">
      <c r="A9170" s="2">
        <v>9329.0</v>
      </c>
      <c r="B9170" s="5" t="s">
        <v>16700</v>
      </c>
      <c r="C9170" s="6">
        <v>2.0</v>
      </c>
      <c r="D9170" s="7" t="s">
        <v>16701</v>
      </c>
      <c r="E9170" s="8" t="str">
        <f>IFERROR(__xludf.DUMMYFUNCTION("googletranslate(D9170,""id"",""en"")"),"Means there is no insulation &amp; ampiety during the emergency PPKM")</f>
        <v>Means there is no insulation &amp; ampiety during the emergency PPKM</v>
      </c>
    </row>
    <row r="9171" ht="15.75" customHeight="1">
      <c r="A9171" s="2">
        <v>9330.0</v>
      </c>
      <c r="B9171" s="5" t="s">
        <v>16702</v>
      </c>
      <c r="C9171" s="6">
        <v>1.0</v>
      </c>
      <c r="D9171" s="7" t="s">
        <v>16703</v>
      </c>
      <c r="E9171" s="8" t="str">
        <f>IFERROR(__xludf.DUMMYFUNCTION("googletranslate(D9171,""id"",""en"")"),"During the PPKM the price of pindang which was a basket")</f>
        <v>During the PPKM the price of pindang which was a basket</v>
      </c>
    </row>
    <row r="9172" ht="15.75" customHeight="1">
      <c r="A9172" s="2">
        <v>9331.0</v>
      </c>
      <c r="B9172" s="5" t="s">
        <v>16704</v>
      </c>
      <c r="C9172" s="6">
        <v>1.0</v>
      </c>
      <c r="D9172" s="10" t="s">
        <v>16705</v>
      </c>
      <c r="E9172" s="8" t="str">
        <f>IFERROR(__xludf.DUMMYFUNCTION("googletranslate(D9172,""id"",""en"")"),"Ppkm anjir, go")</f>
        <v>Ppkm anjir, go</v>
      </c>
    </row>
    <row r="9173" ht="15.75" customHeight="1">
      <c r="A9173" s="2">
        <v>9332.0</v>
      </c>
      <c r="B9173" s="5" t="s">
        <v>16706</v>
      </c>
      <c r="C9173" s="6">
        <v>1.0</v>
      </c>
      <c r="D9173" s="7" t="s">
        <v>16707</v>
      </c>
      <c r="E9173" s="8" t="str">
        <f>IFERROR(__xludf.DUMMYFUNCTION("googletranslate(D9173,""id"",""en"")"),"Mourning ... but instead of this a lot ""it's bacot nyinyir / ngebacot doang.")</f>
        <v>Mourning ... but instead of this a lot "it's bacot nyinyir / ngebacot doang.</v>
      </c>
    </row>
    <row r="9174" ht="15.75" customHeight="1">
      <c r="A9174" s="2">
        <v>9333.0</v>
      </c>
      <c r="B9174" s="5" t="s">
        <v>16708</v>
      </c>
      <c r="C9174" s="6">
        <v>2.0</v>
      </c>
      <c r="D9174" s="9" t="s">
        <v>16708</v>
      </c>
      <c r="E9174" s="8" t="str">
        <f>IFERROR(__xludf.DUMMYFUNCTION("googletranslate(D9174,""id"",""en"")"),"PPKM must be lived, the loss will be obtained. Some of my students can't enter the city, they should be on campus to be able to finish this semester. Completing city entry requirements, means spending money.")</f>
        <v>PPKM must be lived, the loss will be obtained. Some of my students can't enter the city, they should be on campus to be able to finish this semester. Completing city entry requirements, means spending money.</v>
      </c>
    </row>
    <row r="9175" ht="15.75" customHeight="1">
      <c r="A9175" s="2">
        <v>9334.0</v>
      </c>
      <c r="B9175" s="5" t="s">
        <v>16709</v>
      </c>
      <c r="C9175" s="6">
        <v>1.0</v>
      </c>
      <c r="D9175" s="9" t="s">
        <v>16710</v>
      </c>
      <c r="E9175" s="8" t="str">
        <f>IFERROR(__xludf.DUMMYFUNCTION("googletranslate(D9175,""id"",""en"")"),"Gaperlu was told at home just using the apple ppkmkalau there was no money mah gaperlu told, it's just a house kept this mah")</f>
        <v>Gaperlu was told at home just using the apple ppkmkalau there was no money mah gaperlu told, it's just a house kept this mah</v>
      </c>
    </row>
    <row r="9176" ht="15.75" customHeight="1">
      <c r="A9176" s="2">
        <v>9335.0</v>
      </c>
      <c r="B9176" s="5" t="s">
        <v>16711</v>
      </c>
      <c r="C9176" s="6">
        <v>2.0</v>
      </c>
      <c r="D9176" s="10" t="s">
        <v>4806</v>
      </c>
      <c r="E9176" s="8" t="str">
        <f>IFERROR(__xludf.DUMMYFUNCTION("googletranslate(D9176,""id"",""en"")"),"again PPKM.")</f>
        <v>again PPKM.</v>
      </c>
    </row>
    <row r="9177" ht="15.75" customHeight="1">
      <c r="A9177" s="2">
        <v>9336.0</v>
      </c>
      <c r="B9177" s="5" t="s">
        <v>16712</v>
      </c>
      <c r="C9177" s="6">
        <v>2.0</v>
      </c>
      <c r="D9177" s="9" t="s">
        <v>16713</v>
      </c>
      <c r="E9177" s="8" t="str">
        <f>IFERROR(__xludf.DUMMYFUNCTION("googletranslate(D9177,""id"",""en"")"),"PPKM buyer's situation: can you eat at the place of Ma'am? Seller: wow because you are ppkm so it can't be pakpembembeli: duh I've been laper bngt nih mbak, the waste of kokppendanuh gauh sir, but keep the distance and don't escape the mask, the buyer: ye"&amp;"s, rather than melapan")</f>
        <v>PPKM buyer's situation: can you eat at the place of Ma'am? Seller: wow because you are ppkm so it can't be pakpembembeli: duh I've been laper bngt nih mbak, the waste of kokppendanuh gauh sir, but keep the distance and don't escape the mask, the buyer: yes, rather than melapan</v>
      </c>
    </row>
    <row r="9178" ht="15.75" customHeight="1">
      <c r="A9178" s="2">
        <v>9337.0</v>
      </c>
      <c r="B9178" s="5" t="s">
        <v>16714</v>
      </c>
      <c r="C9178" s="6">
        <v>1.0</v>
      </c>
      <c r="D9178" s="7" t="s">
        <v>16714</v>
      </c>
      <c r="E9178" s="8" t="str">
        <f>IFERROR(__xludf.DUMMYFUNCTION("googletranslate(D9178,""id"",""en"")"),"Psbb, ppkm and various terms of the like = dick")</f>
        <v>Psbb, ppkm and various terms of the like = dick</v>
      </c>
    </row>
    <row r="9179" ht="15.75" customHeight="1">
      <c r="A9179" s="2">
        <v>9338.0</v>
      </c>
      <c r="B9179" s="5" t="s">
        <v>16715</v>
      </c>
      <c r="C9179" s="6">
        <v>2.0</v>
      </c>
      <c r="D9179" s="9" t="s">
        <v>16716</v>
      </c>
      <c r="E9179" s="8" t="str">
        <f>IFERROR(__xludf.DUMMYFUNCTION("googletranslate(D9179,""id"",""en"")"),"First PSBB was determined, now PPKM alone")</f>
        <v>First PSBB was determined, now PPKM alone</v>
      </c>
    </row>
    <row r="9180" ht="15.75" customHeight="1">
      <c r="A9180" s="2">
        <v>9339.0</v>
      </c>
      <c r="B9180" s="5" t="s">
        <v>16717</v>
      </c>
      <c r="C9180" s="6">
        <v>2.0</v>
      </c>
      <c r="D9180" s="9" t="s">
        <v>16718</v>
      </c>
      <c r="E9180" s="8" t="str">
        <f>IFERROR(__xludf.DUMMYFUNCTION("googletranslate(D9180,""id"",""en"")"),"I got every day from last month, before JG, ssmpe today also got it, a minimum voc of the rupiah every day, even though I counted frequent shopping, but it's not every day the PPKM movement, let me know about the house?")</f>
        <v>I got every day from last month, before JG, ssmpe today also got it, a minimum voc of the rupiah every day, even though I counted frequent shopping, but it's not every day the PPKM movement, let me know about the house?</v>
      </c>
    </row>
    <row r="9181" ht="15.75" customHeight="1">
      <c r="A9181" s="2">
        <v>9340.0</v>
      </c>
      <c r="B9181" s="5" t="s">
        <v>16719</v>
      </c>
      <c r="C9181" s="6">
        <v>1.0</v>
      </c>
      <c r="D9181" s="7" t="s">
        <v>16720</v>
      </c>
      <c r="E9181" s="8" t="str">
        <f>IFERROR(__xludf.DUMMYFUNCTION("googletranslate(D9181,""id"",""en"")"),"The government should be aware of not people because so far the government is less sane in taking policy .... PPKM (extension of fooling to the community) ... Its real mhn sorry I'm wrong ...")</f>
        <v>The government should be aware of not people because so far the government is less sane in taking policy .... PPKM (extension of fooling to the community) ... Its real mhn sorry I'm wrong ...</v>
      </c>
    </row>
    <row r="9182" ht="15.75" customHeight="1">
      <c r="A9182" s="2">
        <v>9341.0</v>
      </c>
      <c r="B9182" s="5" t="s">
        <v>16721</v>
      </c>
      <c r="C9182" s="6">
        <v>3.0</v>
      </c>
      <c r="D9182" s="9" t="s">
        <v>16722</v>
      </c>
      <c r="E9182" s="8" t="str">
        <f>IFERROR(__xludf.DUMMYFUNCTION("googletranslate(D9182,""id"",""en"")"),"The important thing is the national vaccination program which is now being intended and targeted million to millions every day not stalled. Succeed the vaccine program and be purchased by the people with emergency PPKM, so that the storm will immediately "&amp;"pass ... a healthy romancy of a strong state.")</f>
        <v>The important thing is the national vaccination program which is now being intended and targeted million to millions every day not stalled. Succeed the vaccine program and be purchased by the people with emergency PPKM, so that the storm will immediately pass ... a healthy romancy of a strong state.</v>
      </c>
    </row>
    <row r="9183" ht="15.75" customHeight="1">
      <c r="A9183" s="2">
        <v>9342.0</v>
      </c>
      <c r="B9183" s="5" t="s">
        <v>16723</v>
      </c>
      <c r="C9183" s="6">
        <v>1.0</v>
      </c>
      <c r="D9183" s="9" t="s">
        <v>16724</v>
      </c>
      <c r="E9183" s="8" t="str">
        <f>IFERROR(__xludf.DUMMYFUNCTION("googletranslate(D9183,""id"",""en"")"),"Really the government, the PPKM has just given my friend, my first day at home is already like this")</f>
        <v>Really the government, the PPKM has just given my friend, my first day at home is already like this</v>
      </c>
    </row>
    <row r="9184" ht="15.75" customHeight="1">
      <c r="A9184" s="2">
        <v>9343.0</v>
      </c>
      <c r="B9184" s="5" t="s">
        <v>16725</v>
      </c>
      <c r="C9184" s="6">
        <v>3.0</v>
      </c>
      <c r="D9184" s="7" t="s">
        <v>16726</v>
      </c>
      <c r="E9184" s="8" t="str">
        <f>IFERROR(__xludf.DUMMYFUNCTION("googletranslate(D9184,""id"",""en"")"),"Come on vaccines, obey prokes and PPKM. Dare to care for healthy indonesia..fb bang")</f>
        <v>Come on vaccines, obey prokes and PPKM. Dare to care for healthy indonesia..fb bang</v>
      </c>
    </row>
    <row r="9185" ht="15.75" customHeight="1">
      <c r="A9185" s="2">
        <v>9344.0</v>
      </c>
      <c r="B9185" s="5" t="s">
        <v>16727</v>
      </c>
      <c r="C9185" s="6">
        <v>1.0</v>
      </c>
      <c r="D9185" s="7" t="s">
        <v>16728</v>
      </c>
      <c r="E9185" s="8" t="str">
        <f>IFERROR(__xludf.DUMMYFUNCTION("googletranslate(D9185,""id"",""en"")"),"Don't lie, let's fulfill the basic needs of the people and the cost of living the people's life during PPKMastagfirullah")</f>
        <v>Don't lie, let's fulfill the basic needs of the people and the cost of living the people's life during PPKMastagfirullah</v>
      </c>
    </row>
    <row r="9186" ht="15.75" customHeight="1">
      <c r="A9186" s="2">
        <v>9345.0</v>
      </c>
      <c r="B9186" s="5" t="s">
        <v>16729</v>
      </c>
      <c r="C9186" s="6">
        <v>1.0</v>
      </c>
      <c r="D9186" s="9" t="s">
        <v>16730</v>
      </c>
      <c r="E9186" s="8" t="str">
        <f>IFERROR(__xludf.DUMMYFUNCTION("googletranslate(D9186,""id"",""en"")"),"I ppkm this wfh in boarding it just bought it to eat the same daily needs. Boro to Bali. Just to the office it's already like a grave. All use a letter of assignment and must go to HR to take it.")</f>
        <v>I ppkm this wfh in boarding it just bought it to eat the same daily needs. Boro to Bali. Just to the office it's already like a grave. All use a letter of assignment and must go to HR to take it.</v>
      </c>
    </row>
    <row r="9187" ht="15.75" customHeight="1">
      <c r="A9187" s="2">
        <v>9346.0</v>
      </c>
      <c r="B9187" s="5" t="s">
        <v>16731</v>
      </c>
      <c r="C9187" s="6">
        <v>2.0</v>
      </c>
      <c r="D9187" s="7" t="s">
        <v>16732</v>
      </c>
      <c r="E9187" s="8" t="str">
        <f>IFERROR(__xludf.DUMMYFUNCTION("googletranslate(D9187,""id"",""en"")"),"Mr. Luhut said it was still under control. We look like what the version is controlled after July. (14 days after emergency PPKM started).")</f>
        <v>Mr. Luhut said it was still under control. We look like what the version is controlled after July. (14 days after emergency PPKM started).</v>
      </c>
    </row>
    <row r="9188" ht="15.75" customHeight="1">
      <c r="A9188" s="2">
        <v>9347.0</v>
      </c>
      <c r="B9188" s="5" t="s">
        <v>16733</v>
      </c>
      <c r="C9188" s="6">
        <v>1.0</v>
      </c>
      <c r="D9188" s="7" t="s">
        <v>16733</v>
      </c>
      <c r="E9188" s="8" t="str">
        <f>IFERROR(__xludf.DUMMYFUNCTION("googletranslate(D9188,""id"",""en"")"),"LagiLi PPKM Aaaarghhrhrr Want Control")</f>
        <v>LagiLi PPKM Aaaarghhrhrr Want Control</v>
      </c>
    </row>
    <row r="9189" ht="15.75" customHeight="1">
      <c r="A9189" s="2">
        <v>9348.0</v>
      </c>
      <c r="B9189" s="5" t="s">
        <v>16734</v>
      </c>
      <c r="C9189" s="6">
        <v>1.0</v>
      </c>
      <c r="D9189" s="9" t="s">
        <v>16735</v>
      </c>
      <c r="E9189" s="8" t="str">
        <f>IFERROR(__xludf.DUMMYFUNCTION("googletranslate(D9189,""id"",""en"")"),"Ppkm ngahan asu asu family my family to eat fuck, my father is looking for a hard work bastard !!!")</f>
        <v>Ppkm ngahan asu asu family my family to eat fuck, my father is looking for a hard work bastard !!!</v>
      </c>
    </row>
    <row r="9190" ht="15.75" customHeight="1">
      <c r="A9190" s="2">
        <v>9349.0</v>
      </c>
      <c r="B9190" s="5" t="s">
        <v>16736</v>
      </c>
      <c r="C9190" s="6">
        <v>2.0</v>
      </c>
      <c r="D9190" s="7" t="s">
        <v>16737</v>
      </c>
      <c r="E9190" s="8" t="str">
        <f>IFERROR(__xludf.DUMMYFUNCTION("googletranslate(D9190,""id"",""en"")"),"The spirit of wak ,,, ppkm not to distended his stomach ,,, wak")</f>
        <v>The spirit of wak ,,, ppkm not to distended his stomach ,,, wak</v>
      </c>
    </row>
    <row r="9191" ht="15.75" customHeight="1">
      <c r="A9191" s="2">
        <v>9350.0</v>
      </c>
      <c r="B9191" s="5" t="s">
        <v>16738</v>
      </c>
      <c r="C9191" s="6">
        <v>2.0</v>
      </c>
      <c r="D9191" s="7" t="s">
        <v>16738</v>
      </c>
      <c r="E9191" s="8" t="str">
        <f>IFERROR(__xludf.DUMMYFUNCTION("googletranslate(D9191,""id"",""en"")"),"Continue to breathe even though you are PPKM.")</f>
        <v>Continue to breathe even though you are PPKM.</v>
      </c>
    </row>
    <row r="9192" ht="15.75" customHeight="1">
      <c r="A9192" s="2">
        <v>9351.0</v>
      </c>
      <c r="B9192" s="5" t="s">
        <v>16739</v>
      </c>
      <c r="C9192" s="6">
        <v>2.0</v>
      </c>
      <c r="D9192" s="7" t="s">
        <v>16740</v>
      </c>
      <c r="E9192" s="8" t="str">
        <f>IFERROR(__xludf.DUMMYFUNCTION("googletranslate(D9192,""id"",""en"")"),"And this is a boy who has to face the country's officials because they sell in the PPKM period?")</f>
        <v>And this is a boy who has to face the country's officials because they sell in the PPKM period?</v>
      </c>
    </row>
    <row r="9193" ht="15.75" customHeight="1">
      <c r="A9193" s="2">
        <v>9352.0</v>
      </c>
      <c r="B9193" s="5" t="s">
        <v>16741</v>
      </c>
      <c r="C9193" s="6">
        <v>2.0</v>
      </c>
      <c r="D9193" s="7" t="s">
        <v>16741</v>
      </c>
      <c r="E9193" s="8" t="str">
        <f>IFERROR(__xludf.DUMMYFUNCTION("googletranslate(D9193,""id"",""en"")"),"/ Kle Again PPKM Cheap Fruit Where is Ton?")</f>
        <v>/ Kle Again PPKM Cheap Fruit Where is Ton?</v>
      </c>
    </row>
    <row r="9194" ht="15.75" customHeight="1">
      <c r="A9194" s="2">
        <v>9353.0</v>
      </c>
      <c r="B9194" s="5" t="s">
        <v>16742</v>
      </c>
      <c r="C9194" s="6">
        <v>1.0</v>
      </c>
      <c r="D9194" s="9" t="s">
        <v>16743</v>
      </c>
      <c r="E9194" s="8" t="str">
        <f>IFERROR(__xludf.DUMMYFUNCTION("googletranslate(D9194,""id"",""en"")"),"Ppkm mulu ........ it's slow slowly we go too")</f>
        <v>Ppkm mulu ........ it's slow slowly we go too</v>
      </c>
    </row>
    <row r="9195" ht="15.75" customHeight="1">
      <c r="A9195" s="2">
        <v>9354.0</v>
      </c>
      <c r="B9195" s="5" t="s">
        <v>16744</v>
      </c>
      <c r="C9195" s="6">
        <v>2.0</v>
      </c>
      <c r="D9195" s="7" t="s">
        <v>16745</v>
      </c>
      <c r="E9195" s="8" t="str">
        <f>IFERROR(__xludf.DUMMYFUNCTION("googletranslate(D9195,""id"",""en"")"),"But, the management should be wiser. Where now it's emergency ppkm, they immediately invite a lot of people to go to the Coffee Shop. Rame, Amit emerges a new cluster, the coffee shop will be a fine or temporarily sealed")</f>
        <v>But, the management should be wiser. Where now it's emergency ppkm, they immediately invite a lot of people to go to the Coffee Shop. Rame, Amit emerges a new cluster, the coffee shop will be a fine or temporarily sealed</v>
      </c>
    </row>
    <row r="9196" ht="15.75" customHeight="1">
      <c r="A9196" s="2">
        <v>9355.0</v>
      </c>
      <c r="B9196" s="5" t="s">
        <v>16746</v>
      </c>
      <c r="C9196" s="6">
        <v>1.0</v>
      </c>
      <c r="D9196" s="7" t="s">
        <v>16747</v>
      </c>
      <c r="E9196" s="8" t="str">
        <f>IFERROR(__xludf.DUMMYFUNCTION("googletranslate(D9196,""id"",""en"")"),"Waahh ... what's this? Controlled but prepared Emergency PPKM until Sunday. So what's the controlled one ???")</f>
        <v>Waahh ... what's this? Controlled but prepared Emergency PPKM until Sunday. So what's the controlled one ???</v>
      </c>
    </row>
    <row r="9197" ht="15.75" customHeight="1">
      <c r="A9197" s="2">
        <v>9356.0</v>
      </c>
      <c r="B9197" s="5" t="s">
        <v>16748</v>
      </c>
      <c r="C9197" s="6">
        <v>2.0</v>
      </c>
      <c r="D9197" s="7" t="s">
        <v>16748</v>
      </c>
      <c r="E9197" s="8" t="str">
        <f>IFERROR(__xludf.DUMMYFUNCTION("googletranslate(D9197,""id"",""en"")"),"Ppkm = want to go to Mecca")</f>
        <v>Ppkm = want to go to Mecca</v>
      </c>
    </row>
    <row r="9198" ht="15.75" customHeight="1">
      <c r="A9198" s="2">
        <v>9357.0</v>
      </c>
      <c r="B9198" s="5" t="s">
        <v>16749</v>
      </c>
      <c r="C9198" s="6">
        <v>1.0</v>
      </c>
      <c r="D9198" s="7" t="s">
        <v>16750</v>
      </c>
      <c r="E9198" s="8" t="str">
        <f>IFERROR(__xludf.DUMMYFUNCTION("googletranslate(D9198,""id"",""en"")"),"Pls really bgt as rich in unpatti retrans trs g gr ppkm even though it's online, it's just very complicated")</f>
        <v>Pls really bgt as rich in unpatti retrans trs g gr ppkm even though it's online, it's just very complicated</v>
      </c>
    </row>
    <row r="9199" ht="15.75" customHeight="1">
      <c r="A9199" s="2">
        <v>9358.0</v>
      </c>
      <c r="B9199" s="5" t="s">
        <v>16751</v>
      </c>
      <c r="C9199" s="6">
        <v>1.0</v>
      </c>
      <c r="D9199" s="9" t="s">
        <v>16752</v>
      </c>
      <c r="E9199" s="8" t="str">
        <f>IFERROR(__xludf.DUMMYFUNCTION("googletranslate(D9199,""id"",""en"")"),"One Kluarga Synches the work of the week. klo ppkm plus or not we can eat or not")</f>
        <v>One Kluarga Synches the work of the week. klo ppkm plus or not we can eat or not</v>
      </c>
    </row>
    <row r="9200" ht="15.75" customHeight="1">
      <c r="A9200" s="2">
        <v>9359.0</v>
      </c>
      <c r="B9200" s="5" t="s">
        <v>16753</v>
      </c>
      <c r="C9200" s="6">
        <v>1.0</v>
      </c>
      <c r="D9200" s="9" t="s">
        <v>16754</v>
      </c>
      <c r="E9200" s="8" t="str">
        <f>IFERROR(__xludf.DUMMYFUNCTION("googletranslate(D9200,""id"",""en"")"),"Bener Bangettttt. My father too, had to measure work in the Srengseng area of ​​rice fields. But because of the PPKM, it was delayed on Sunday, as a result it was quiet, it was good, it was quite a big job.")</f>
        <v>Bener Bangettttt. My father too, had to measure work in the Srengseng area of ​​rice fields. But because of the PPKM, it was delayed on Sunday, as a result it was quiet, it was good, it was quite a big job.</v>
      </c>
    </row>
    <row r="9201" ht="15.75" customHeight="1">
      <c r="A9201" s="2">
        <v>9360.0</v>
      </c>
      <c r="B9201" s="5" t="s">
        <v>16755</v>
      </c>
      <c r="C9201" s="6">
        <v>1.0</v>
      </c>
      <c r="D9201" s="9" t="s">
        <v>16756</v>
      </c>
      <c r="E9201" s="8" t="str">
        <f>IFERROR(__xludf.DUMMYFUNCTION("googletranslate(D9201,""id"",""en"")"),"I usually if the stress is definitely cuss to my friend's boarding house for a toy, the catnyaskrg ppkm, it doesn't dare to keep it")</f>
        <v>I usually if the stress is definitely cuss to my friend's boarding house for a toy, the catnyaskrg ppkm, it doesn't dare to keep it</v>
      </c>
    </row>
    <row r="9202" ht="15.75" customHeight="1">
      <c r="A9202" s="2">
        <v>9361.0</v>
      </c>
      <c r="B9202" s="5" t="s">
        <v>16757</v>
      </c>
      <c r="C9202" s="6">
        <v>1.0</v>
      </c>
      <c r="D9202" s="7" t="s">
        <v>16758</v>
      </c>
      <c r="E9202" s="8" t="str">
        <f>IFERROR(__xludf.DUMMYFUNCTION("googletranslate(D9202,""id"",""en"")"),"Once once discussed the Sopir2x truck JALARTA Surabaya dropped dramatically during the PPKM. Ngapain managed Kai. Going down doesn't go down the passenger, it's still a payday. Don't pull, you don't eat it a little to the small people.")</f>
        <v>Once once discussed the Sopir2x truck JALARTA Surabaya dropped dramatically during the PPKM. Ngapain managed Kai. Going down doesn't go down the passenger, it's still a payday. Don't pull, you don't eat it a little to the small people.</v>
      </c>
    </row>
    <row r="9203" ht="15.75" customHeight="1">
      <c r="A9203" s="2">
        <v>9362.0</v>
      </c>
      <c r="B9203" s="5" t="s">
        <v>16759</v>
      </c>
      <c r="C9203" s="6">
        <v>2.0</v>
      </c>
      <c r="D9203" s="7" t="s">
        <v>16760</v>
      </c>
      <c r="E9203" s="8" t="str">
        <f>IFERROR(__xludf.DUMMYFUNCTION("googletranslate(D9203,""id"",""en"")"),"PPKM P: Ernahp: Unya K: Indehangan M: Your Firily")</f>
        <v>PPKM P: Ernahp: Unya K: Indehangan M: Your Firily</v>
      </c>
    </row>
    <row r="9204" ht="15.75" customHeight="1">
      <c r="A9204" s="2">
        <v>9363.0</v>
      </c>
      <c r="B9204" s="5" t="s">
        <v>16761</v>
      </c>
      <c r="C9204" s="6">
        <v>2.0</v>
      </c>
      <c r="D9204" s="7" t="s">
        <v>16761</v>
      </c>
      <c r="E9204" s="8" t="str">
        <f>IFERROR(__xludf.DUMMYFUNCTION("googletranslate(D9204,""id"",""en"")"),"Tuesday Where Is Nich But Ppkm Rn")</f>
        <v>Tuesday Where Is Nich But Ppkm Rn</v>
      </c>
    </row>
    <row r="9205" ht="15.75" customHeight="1">
      <c r="A9205" s="2">
        <v>9364.0</v>
      </c>
      <c r="B9205" s="5" t="s">
        <v>16762</v>
      </c>
      <c r="C9205" s="6">
        <v>2.0</v>
      </c>
      <c r="D9205" s="7" t="s">
        <v>16763</v>
      </c>
      <c r="E9205" s="8" t="str">
        <f>IFERROR(__xludf.DUMMYFUNCTION("googletranslate(D9205,""id"",""en"")"),"I like PPKMTapi without the letter ""PP""")</f>
        <v>I like PPKMTapi without the letter "PP"</v>
      </c>
    </row>
    <row r="9206" ht="15.75" customHeight="1">
      <c r="A9206" s="2">
        <v>9365.0</v>
      </c>
      <c r="B9206" s="5" t="s">
        <v>16764</v>
      </c>
      <c r="C9206" s="6">
        <v>1.0</v>
      </c>
      <c r="D9206" s="7" t="s">
        <v>16765</v>
      </c>
      <c r="E9206" s="8" t="str">
        <f>IFERROR(__xludf.DUMMYFUNCTION("googletranslate(D9206,""id"",""en"")"),"Emergency PPKM closing all road access actually causes congestion and buildup everywhere. It was small and in the gang2 village ... that's what actually made a rampant transmission ... if it was made so sir")</f>
        <v>Emergency PPKM closing all road access actually causes congestion and buildup everywhere. It was small and in the gang2 village ... that's what actually made a rampant transmission ... if it was made so sir</v>
      </c>
    </row>
    <row r="9207" ht="15.75" customHeight="1">
      <c r="A9207" s="2">
        <v>9366.0</v>
      </c>
      <c r="B9207" s="5" t="s">
        <v>16766</v>
      </c>
      <c r="C9207" s="6">
        <v>1.0</v>
      </c>
      <c r="D9207" s="9" t="s">
        <v>16767</v>
      </c>
      <c r="E9207" s="8" t="str">
        <f>IFERROR(__xludf.DUMMYFUNCTION("googletranslate(D9207,""id"",""en"")"),"Yes agree bang. This PPKM is too much pressure and quite arrogant. In fact, there were many who died when this PPKM rather than before the PPKM applied. Does the government want to make genocide huh.")</f>
        <v>Yes agree bang. This PPKM is too much pressure and quite arrogant. In fact, there were many who died when this PPKM rather than before the PPKM applied. Does the government want to make genocide huh.</v>
      </c>
    </row>
    <row r="9208" ht="15.75" customHeight="1">
      <c r="A9208" s="2">
        <v>9367.0</v>
      </c>
      <c r="B9208" s="5" t="s">
        <v>16768</v>
      </c>
      <c r="C9208" s="6">
        <v>2.0</v>
      </c>
      <c r="D9208" s="7" t="s">
        <v>16769</v>
      </c>
      <c r="E9208" s="8" t="str">
        <f>IFERROR(__xludf.DUMMYFUNCTION("googletranslate(D9208,""id"",""en"")"),"I want to be still ppkm")</f>
        <v>I want to be still ppkm</v>
      </c>
    </row>
    <row r="9209" ht="15.75" customHeight="1">
      <c r="A9209" s="2">
        <v>9368.0</v>
      </c>
      <c r="B9209" s="5" t="s">
        <v>16770</v>
      </c>
      <c r="C9209" s="6">
        <v>2.0</v>
      </c>
      <c r="D9209" s="7" t="s">
        <v>16771</v>
      </c>
      <c r="E9209" s="8" t="str">
        <f>IFERROR(__xludf.DUMMYFUNCTION("googletranslate(D9209,""id"",""en"")"),"Mauu TP MSI PPKM")</f>
        <v>Mauu TP MSI PPKM</v>
      </c>
    </row>
    <row r="9210" ht="15.75" customHeight="1">
      <c r="A9210" s="2">
        <v>9369.0</v>
      </c>
      <c r="B9210" s="5" t="s">
        <v>16772</v>
      </c>
      <c r="C9210" s="6">
        <v>2.0</v>
      </c>
      <c r="D9210" s="7" t="s">
        <v>16772</v>
      </c>
      <c r="E9210" s="8" t="str">
        <f>IFERROR(__xludf.DUMMYFUNCTION("googletranslate(D9210,""id"",""en"")"),"want to play with mutual bandung but still ppkm: /")</f>
        <v>want to play with mutual bandung but still ppkm: /</v>
      </c>
    </row>
    <row r="9211" ht="15.75" customHeight="1">
      <c r="A9211" s="2">
        <v>9370.0</v>
      </c>
      <c r="B9211" s="5" t="s">
        <v>16773</v>
      </c>
      <c r="C9211" s="6">
        <v>2.0</v>
      </c>
      <c r="D9211" s="7" t="s">
        <v>16774</v>
      </c>
      <c r="E9211" s="8" t="str">
        <f>IFERROR(__xludf.DUMMYFUNCTION("googletranslate(D9211,""id"",""en"")"),"Patience, PPKM changes my brain a little")</f>
        <v>Patience, PPKM changes my brain a little</v>
      </c>
    </row>
    <row r="9212" ht="15.75" customHeight="1">
      <c r="A9212" s="2">
        <v>9371.0</v>
      </c>
      <c r="B9212" s="5" t="s">
        <v>16775</v>
      </c>
      <c r="C9212" s="6">
        <v>1.0</v>
      </c>
      <c r="D9212" s="7" t="s">
        <v>16776</v>
      </c>
      <c r="E9212" s="8" t="str">
        <f>IFERROR(__xludf.DUMMYFUNCTION("googletranslate(D9212,""id"",""en"")"),"Agree, sir, if we return to New Normal, tighten the proces, rupe vaccine, already this PPKM, because the dead will remain dead, the living must stay alive, this crush makes the immune down, and death in front of the eye.")</f>
        <v>Agree, sir, if we return to New Normal, tighten the proces, rupe vaccine, already this PPKM, because the dead will remain dead, the living must stay alive, this crush makes the immune down, and death in front of the eye.</v>
      </c>
    </row>
    <row r="9213" ht="15.75" customHeight="1">
      <c r="A9213" s="2">
        <v>9372.0</v>
      </c>
      <c r="B9213" s="5" t="s">
        <v>16777</v>
      </c>
      <c r="C9213" s="6">
        <v>1.0</v>
      </c>
      <c r="D9213" s="7" t="s">
        <v>16778</v>
      </c>
      <c r="E9213" s="8" t="str">
        <f>IFERROR(__xludf.DUMMYFUNCTION("googletranslate(D9213,""id"",""en"")"),"Ppkmpenata wedding back misqueen")</f>
        <v>Ppkmpenata wedding back misqueen</v>
      </c>
    </row>
    <row r="9214" ht="15.75" customHeight="1">
      <c r="A9214" s="2">
        <v>9373.0</v>
      </c>
      <c r="B9214" s="5" t="s">
        <v>16779</v>
      </c>
      <c r="C9214" s="6">
        <v>2.0</v>
      </c>
      <c r="D9214" s="7" t="s">
        <v>16780</v>
      </c>
      <c r="E9214" s="8" t="str">
        <f>IFERROR(__xludf.DUMMYFUNCTION("googletranslate(D9214,""id"",""en"")"),"Ntar wait for PPKM to be finished")</f>
        <v>Ntar wait for PPKM to be finished</v>
      </c>
    </row>
    <row r="9215" ht="15.75" customHeight="1">
      <c r="A9215" s="2">
        <v>9374.0</v>
      </c>
      <c r="B9215" s="5" t="s">
        <v>16781</v>
      </c>
      <c r="C9215" s="6">
        <v>1.0</v>
      </c>
      <c r="D9215" s="7" t="s">
        <v>16782</v>
      </c>
      <c r="E9215" s="8" t="str">
        <f>IFERROR(__xludf.DUMMYFUNCTION("googletranslate(D9215,""id"",""en"")"),"See eko in the polywali tuh China like where you don't comment discuss ppkm, China enters el9 silent")</f>
        <v>See eko in the polywali tuh China like where you don't comment discuss ppkm, China enters el9 silent</v>
      </c>
    </row>
    <row r="9216" ht="15.75" customHeight="1">
      <c r="A9216" s="2">
        <v>9375.0</v>
      </c>
      <c r="B9216" s="5" t="s">
        <v>16783</v>
      </c>
      <c r="C9216" s="6">
        <v>1.0</v>
      </c>
      <c r="D9216" s="7" t="s">
        <v>16783</v>
      </c>
      <c r="E9216" s="8" t="str">
        <f>IFERROR(__xludf.DUMMYFUNCTION("googletranslate(D9216,""id"",""en"")"),"This PPKM is a medium to lower middle community genocide ...")</f>
        <v>This PPKM is a medium to lower middle community genocide ...</v>
      </c>
    </row>
    <row r="9217" ht="15.75" customHeight="1">
      <c r="A9217" s="2">
        <v>9376.0</v>
      </c>
      <c r="B9217" s="5" t="s">
        <v>16784</v>
      </c>
      <c r="C9217" s="6">
        <v>1.0</v>
      </c>
      <c r="D9217" s="7" t="s">
        <v>16785</v>
      </c>
      <c r="E9217" s="8" t="str">
        <f>IFERROR(__xludf.DUMMYFUNCTION("googletranslate(D9217,""id"",""en"")"),"China also comes to Indonesia when Emergency PPKM")</f>
        <v>China also comes to Indonesia when Emergency PPKM</v>
      </c>
    </row>
    <row r="9218" ht="15.75" customHeight="1">
      <c r="A9218" s="2">
        <v>9377.0</v>
      </c>
      <c r="B9218" s="5" t="s">
        <v>16786</v>
      </c>
      <c r="C9218" s="6">
        <v>3.0</v>
      </c>
      <c r="D9218" s="7" t="s">
        <v>16787</v>
      </c>
      <c r="E9218" s="8" t="str">
        <f>IFERROR(__xludf.DUMMYFUNCTION("googletranslate(D9218,""id"",""en"")"),"Alert provocation of healthy peoplePPKM")</f>
        <v>Alert provocation of healthy peoplePPKM</v>
      </c>
    </row>
    <row r="9219" ht="15.75" customHeight="1">
      <c r="A9219" s="2">
        <v>9378.0</v>
      </c>
      <c r="B9219" s="5" t="s">
        <v>16788</v>
      </c>
      <c r="C9219" s="6">
        <v>1.0</v>
      </c>
      <c r="D9219" s="7" t="s">
        <v>16788</v>
      </c>
      <c r="E9219" s="8" t="str">
        <f>IFERROR(__xludf.DUMMYFUNCTION("googletranslate(D9219,""id"",""en"")"),"Is it ngumumin ppkm emang the realm of economics huh? Or health people? The economy of thinking about the people's economy, it's not paid for monthly, it's really destroyed by Bgt")</f>
        <v>Is it ngumumin ppkm emang the realm of economics huh? Or health people? The economy of thinking about the people's economy, it's not paid for monthly, it's really destroyed by Bgt</v>
      </c>
    </row>
    <row r="9220" ht="15.75" customHeight="1">
      <c r="A9220" s="2">
        <v>9379.0</v>
      </c>
      <c r="B9220" s="5" t="s">
        <v>16789</v>
      </c>
      <c r="C9220" s="6">
        <v>1.0</v>
      </c>
      <c r="D9220" s="9" t="s">
        <v>16790</v>
      </c>
      <c r="E9220" s="8" t="str">
        <f>IFERROR(__xludf.DUMMYFUNCTION("googletranslate(D9220,""id"",""en"")"),"Ppkm Sunday kek a year, kek years, it's up to you, it's really strange, there is a very Sunday language. Just what month is the month. So that the language is ruwet")</f>
        <v>Ppkm Sunday kek a year, kek years, it's up to you, it's really strange, there is a very Sunday language. Just what month is the month. So that the language is ruwet</v>
      </c>
    </row>
    <row r="9221" ht="15.75" customHeight="1">
      <c r="A9221" s="2">
        <v>9380.0</v>
      </c>
      <c r="B9221" s="5" t="s">
        <v>16791</v>
      </c>
      <c r="C9221" s="6">
        <v>1.0</v>
      </c>
      <c r="D9221" s="9" t="s">
        <v>16792</v>
      </c>
      <c r="E9221" s="8" t="str">
        <f>IFERROR(__xludf.DUMMYFUNCTION("googletranslate(D9221,""id"",""en"")"),"They were upsetly restless, with this condition. About this PPKM, residents of trouble to look for sustenance so yeah knew. Ppkm but where is there help? Is there a solution? Not all people with tebel, I personally have to come out to make money, by going"&amp;" out the way Iktiar looks for sustenance.")</f>
        <v>They were upsetly restless, with this condition. About this PPKM, residents of trouble to look for sustenance so yeah knew. Ppkm but where is there help? Is there a solution? Not all people with tebel, I personally have to come out to make money, by going out the way Iktiar looks for sustenance.</v>
      </c>
    </row>
    <row r="9222" ht="15.75" customHeight="1">
      <c r="A9222" s="2">
        <v>9381.0</v>
      </c>
      <c r="B9222" s="5" t="s">
        <v>16793</v>
      </c>
      <c r="C9222" s="6">
        <v>1.0</v>
      </c>
      <c r="D9222" s="7" t="s">
        <v>16794</v>
      </c>
      <c r="E9222" s="8" t="str">
        <f>IFERROR(__xludf.DUMMYFUNCTION("googletranslate(D9222,""id"",""en"")"),"PPKM is clearly unexpected: we slowly die, whether because of the plague or hunger.")</f>
        <v>PPKM is clearly unexpected: we slowly die, whether because of the plague or hunger.</v>
      </c>
    </row>
    <row r="9223" ht="15.75" customHeight="1">
      <c r="A9223" s="2">
        <v>9382.0</v>
      </c>
      <c r="B9223" s="5" t="s">
        <v>16795</v>
      </c>
      <c r="C9223" s="6">
        <v>2.0</v>
      </c>
      <c r="D9223" s="7" t="s">
        <v>16796</v>
      </c>
      <c r="E9223" s="8" t="str">
        <f>IFERROR(__xludf.DUMMYFUNCTION("googletranslate(D9223,""id"",""en"")"),"Why don't you want to lockdown? Only Emergency PPKM continues to add PPKM Sunday.")</f>
        <v>Why don't you want to lockdown? Only Emergency PPKM continues to add PPKM Sunday.</v>
      </c>
    </row>
    <row r="9224" ht="15.75" customHeight="1">
      <c r="A9224" s="2">
        <v>9383.0</v>
      </c>
      <c r="B9224" s="5" t="s">
        <v>16797</v>
      </c>
      <c r="C9224" s="6">
        <v>1.0</v>
      </c>
      <c r="D9224" s="7" t="s">
        <v>16797</v>
      </c>
      <c r="E9224" s="8" t="str">
        <f>IFERROR(__xludf.DUMMYFUNCTION("googletranslate(D9224,""id"",""en"")"),"It's hard to add it hard to renew PPKM. Want to go home to meet his parents, it's hard. The one who felt far away the parents must understand, so what can't meet, the mood also dropped because I thought.")</f>
        <v>It's hard to add it hard to renew PPKM. Want to go home to meet his parents, it's hard. The one who felt far away the parents must understand, so what can't meet, the mood also dropped because I thought.</v>
      </c>
    </row>
    <row r="9225" ht="15.75" customHeight="1">
      <c r="A9225" s="2">
        <v>9384.0</v>
      </c>
      <c r="B9225" s="5" t="s">
        <v>16798</v>
      </c>
      <c r="C9225" s="6">
        <v>3.0</v>
      </c>
      <c r="D9225" s="7" t="s">
        <v>16799</v>
      </c>
      <c r="E9225" s="8" t="str">
        <f>IFERROR(__xludf.DUMMYFUNCTION("googletranslate(D9225,""id"",""en"")"),"The spirit continues, PPKM is extended")</f>
        <v>The spirit continues, PPKM is extended</v>
      </c>
    </row>
    <row r="9226" ht="15.75" customHeight="1">
      <c r="A9226" s="2">
        <v>9385.0</v>
      </c>
      <c r="B9226" s="5" t="s">
        <v>16800</v>
      </c>
      <c r="C9226" s="6">
        <v>2.0</v>
      </c>
      <c r="D9226" s="7" t="s">
        <v>16801</v>
      </c>
      <c r="E9226" s="8" t="str">
        <f>IFERROR(__xludf.DUMMYFUNCTION("googletranslate(D9226,""id"",""en"")"),"Ppkm looking for daily boarding for the nie people")</f>
        <v>Ppkm looking for daily boarding for the nie people</v>
      </c>
    </row>
    <row r="9227" ht="15.75" customHeight="1">
      <c r="A9227" s="2">
        <v>9386.0</v>
      </c>
      <c r="B9227" s="5" t="s">
        <v>16802</v>
      </c>
      <c r="C9227" s="6">
        <v>3.0</v>
      </c>
      <c r="D9227" s="7" t="s">
        <v>16803</v>
      </c>
      <c r="E9227" s="8" t="str">
        <f>IFERROR(__xludf.DUMMYFUNCTION("googletranslate(D9227,""id"",""en"")"),"The exports of the support of the emergency mrk emergency that has been affected to give a loan without flowers shg mrk bs still survive, of course mrk which mmeinjam also hrs jujir and does not manipulate")</f>
        <v>The exports of the support of the emergency mrk emergency that has been affected to give a loan without flowers shg mrk bs still survive, of course mrk which mmeinjam also hrs jujir and does not manipulate</v>
      </c>
    </row>
    <row r="9228" ht="15.75" customHeight="1">
      <c r="A9228" s="2">
        <v>9387.0</v>
      </c>
      <c r="B9228" s="5" t="s">
        <v>16804</v>
      </c>
      <c r="C9228" s="6">
        <v>1.0</v>
      </c>
      <c r="D9228" s="7" t="s">
        <v>16805</v>
      </c>
      <c r="E9228" s="8" t="str">
        <f>IFERROR(__xludf.DUMMYFUNCTION("googletranslate(D9228,""id"",""en"")"),"He said the PPKM was already emergency but it was free to enter")</f>
        <v>He said the PPKM was already emergency but it was free to enter</v>
      </c>
    </row>
    <row r="9229" ht="15.75" customHeight="1">
      <c r="A9229" s="2">
        <v>9388.0</v>
      </c>
      <c r="B9229" s="5" t="s">
        <v>16806</v>
      </c>
      <c r="C9229" s="6">
        <v>1.0</v>
      </c>
      <c r="D9229" s="9" t="s">
        <v>16806</v>
      </c>
      <c r="E9229" s="8" t="str">
        <f>IFERROR(__xludf.DUMMYFUNCTION("googletranslate(D9229,""id"",""en"")"),"Anjir PPKM Extended Gua Jd Turtle Madura")</f>
        <v>Anjir PPKM Extended Gua Jd Turtle Madura</v>
      </c>
    </row>
    <row r="9230" ht="15.75" customHeight="1">
      <c r="A9230" s="2">
        <v>9389.0</v>
      </c>
      <c r="B9230" s="5" t="s">
        <v>16807</v>
      </c>
      <c r="C9230" s="6">
        <v>1.0</v>
      </c>
      <c r="D9230" s="7" t="s">
        <v>16808</v>
      </c>
      <c r="E9230" s="8" t="str">
        <f>IFERROR(__xludf.DUMMYFUNCTION("googletranslate(D9230,""id"",""en"")"),"Just feeling ppkm this time it's really not fair yes: "") non-essential traders forcibly closed, there is a PPKM discourse until Sunday, but it doesn't help anything from the people's people eating wind?")</f>
        <v>Just feeling ppkm this time it's really not fair yes: ") non-essential traders forcibly closed, there is a PPKM discourse until Sunday, but it doesn't help anything from the people's people eating wind?</v>
      </c>
    </row>
    <row r="9231" ht="15.75" customHeight="1">
      <c r="A9231" s="2">
        <v>9390.0</v>
      </c>
      <c r="B9231" s="5" t="s">
        <v>16809</v>
      </c>
      <c r="C9231" s="6">
        <v>1.0</v>
      </c>
      <c r="D9231" s="9" t="s">
        <v>16810</v>
      </c>
      <c r="E9231" s="8" t="str">
        <f>IFERROR(__xludf.DUMMYFUNCTION("googletranslate(D9231,""id"",""en"")"),"Anjg grgr ppkm, I shopping vegetables and expenses should not be budgeted. This is even more than a budget !!!!! Still in the morning I made a mood drop")</f>
        <v>Anjg grgr ppkm, I shopping vegetables and expenses should not be budgeted. This is even more than a budget !!!!! Still in the morning I made a mood drop</v>
      </c>
    </row>
    <row r="9232" ht="15.75" customHeight="1">
      <c r="A9232" s="2">
        <v>9391.0</v>
      </c>
      <c r="B9232" s="5" t="s">
        <v>16811</v>
      </c>
      <c r="C9232" s="6">
        <v>1.0</v>
      </c>
      <c r="D9232" s="7" t="s">
        <v>16811</v>
      </c>
      <c r="E9232" s="8" t="str">
        <f>IFERROR(__xludf.DUMMYFUNCTION("googletranslate(D9232,""id"",""en"")"),"Maybe PPKM (Covid) for the small community this role is very detrimental in the economy, on the other side of the officials who are sitting sweetly enjoying their role as corruptors who take advantage of the current situation")</f>
        <v>Maybe PPKM (Covid) for the small community this role is very detrimental in the economy, on the other side of the officials who are sitting sweetly enjoying their role as corruptors who take advantage of the current situation</v>
      </c>
    </row>
    <row r="9233" ht="15.75" customHeight="1">
      <c r="A9233" s="2">
        <v>9392.0</v>
      </c>
      <c r="B9233" s="5" t="s">
        <v>16812</v>
      </c>
      <c r="C9233" s="6">
        <v>1.0</v>
      </c>
      <c r="D9233" s="9" t="s">
        <v>16813</v>
      </c>
      <c r="E9233" s="8" t="str">
        <f>IFERROR(__xludf.DUMMYFUNCTION("googletranslate(D9233,""id"",""en"")"),"Lockdown mgg yuk buk sir, if the state money is not enough to eat the folk eating as a corruptor asset is taken over ajakm becomes mgg and ga ga ngan assistance, bad.")</f>
        <v>Lockdown mgg yuk buk sir, if the state money is not enough to eat the folk eating as a corruptor asset is taken over ajakm becomes mgg and ga ga ngan assistance, bad.</v>
      </c>
    </row>
    <row r="9234" ht="15.75" customHeight="1">
      <c r="A9234" s="2">
        <v>9393.0</v>
      </c>
      <c r="B9234" s="5" t="s">
        <v>16814</v>
      </c>
      <c r="C9234" s="6">
        <v>3.0</v>
      </c>
      <c r="D9234" s="7" t="s">
        <v>16814</v>
      </c>
      <c r="E9234" s="8" t="str">
        <f>IFERROR(__xludf.DUMMYFUNCTION("googletranslate(D9234,""id"",""en"")"),"//: What is the PPKM? the air is really cool because of the quiet street")</f>
        <v>//: What is the PPKM? the air is really cool because of the quiet street</v>
      </c>
    </row>
    <row r="9235" ht="15.75" customHeight="1">
      <c r="A9235" s="2">
        <v>9394.0</v>
      </c>
      <c r="B9235" s="5" t="s">
        <v>16815</v>
      </c>
      <c r="C9235" s="6">
        <v>1.0</v>
      </c>
      <c r="D9235" s="7" t="s">
        <v>16815</v>
      </c>
      <c r="E9235" s="8" t="str">
        <f>IFERROR(__xludf.DUMMYFUNCTION("googletranslate(D9235,""id"",""en"")"),"Don't be extended to PPKM, aka just say the government failed, the money bansos didn't work.")</f>
        <v>Don't be extended to PPKM, aka just say the government failed, the money bansos didn't work.</v>
      </c>
    </row>
    <row r="9236" ht="15.75" customHeight="1">
      <c r="A9236" s="2">
        <v>9395.0</v>
      </c>
      <c r="B9236" s="5" t="s">
        <v>16816</v>
      </c>
      <c r="C9236" s="6">
        <v>2.0</v>
      </c>
      <c r="D9236" s="7" t="s">
        <v>16816</v>
      </c>
      <c r="E9236" s="8" t="str">
        <f>IFERROR(__xludf.DUMMYFUNCTION("googletranslate(D9236,""id"",""en"")"),"Umsfess- ppkm said it was extended until it was brep, bro? Does anyone know? Maap I missed info")</f>
        <v>Umsfess- ppkm said it was extended until it was brep, bro? Does anyone know? Maap I missed info</v>
      </c>
    </row>
    <row r="9237" ht="15.75" customHeight="1">
      <c r="A9237" s="2">
        <v>9396.0</v>
      </c>
      <c r="B9237" s="5" t="s">
        <v>16817</v>
      </c>
      <c r="C9237" s="6">
        <v>1.0</v>
      </c>
      <c r="D9237" s="9" t="s">
        <v>16818</v>
      </c>
      <c r="E9237" s="8" t="str">
        <f>IFERROR(__xludf.DUMMYFUNCTION("googletranslate(D9237,""id"",""en"")"),"Like to support the life with selling a small breakfast, the criteria are not the ajudan, plus meet the needs of the old man who is the elderly person. Also a toddler sells quiet, bro, too, thank God, it can be a little breath of a relief of the PPKM slm")</f>
        <v>Like to support the life with selling a small breakfast, the criteria are not the ajudan, plus meet the needs of the old man who is the elderly person. Also a toddler sells quiet, bro, too, thank God, it can be a little breath of a relief of the PPKM slm</v>
      </c>
    </row>
    <row r="9238" ht="15.75" customHeight="1">
      <c r="A9238" s="2">
        <v>9397.0</v>
      </c>
      <c r="B9238" s="5" t="s">
        <v>16819</v>
      </c>
      <c r="C9238" s="6">
        <v>1.0</v>
      </c>
      <c r="D9238" s="7" t="s">
        <v>16820</v>
      </c>
      <c r="E9238" s="8" t="str">
        <f>IFERROR(__xludf.DUMMYFUNCTION("googletranslate(D9238,""id"",""en"")"),"PPKM Anjrit Hahahaha.")</f>
        <v>PPKM Anjrit Hahahaha.</v>
      </c>
    </row>
    <row r="9239" ht="15.75" customHeight="1">
      <c r="A9239" s="2">
        <v>9398.0</v>
      </c>
      <c r="B9239" s="5" t="s">
        <v>16821</v>
      </c>
      <c r="C9239" s="6">
        <v>1.0</v>
      </c>
      <c r="D9239" s="9" t="s">
        <v>16822</v>
      </c>
      <c r="E9239" s="8" t="str">
        <f>IFERROR(__xludf.DUMMYFUNCTION("googletranslate(D9239,""id"",""en"")"),"Indo who is still still covid, some of the covid is not because it doesn't obey the proces, there are those who pay no monthly, daily and uncertain. Plus PPKM increasingly adds to the uncertainty of their living for families, children's milk / paid school"&amp;" SPP")</f>
        <v>Indo who is still still covid, some of the covid is not because it doesn't obey the proces, there are those who pay no monthly, daily and uncertain. Plus PPKM increasingly adds to the uncertainty of their living for families, children's milk / paid school SPP</v>
      </c>
    </row>
    <row r="9240" ht="15.75" customHeight="1">
      <c r="A9240" s="2">
        <v>9399.0</v>
      </c>
      <c r="B9240" s="5" t="s">
        <v>16823</v>
      </c>
      <c r="C9240" s="6">
        <v>1.0</v>
      </c>
      <c r="D9240" s="7" t="s">
        <v>16824</v>
      </c>
      <c r="E9240" s="8" t="str">
        <f>IFERROR(__xludf.DUMMYFUNCTION("googletranslate(D9240,""id"",""en"")"),"PSBB, PSBB Transition, PPKM, Micro PPKM, Emergency PPKM, just wait for the Ultimate PPKM with PPKM Special Edition. Finally giving birth a lot of terms just to avoid the word ""lockdown""")</f>
        <v>PSBB, PSBB Transition, PPKM, Micro PPKM, Emergency PPKM, just wait for the Ultimate PPKM with PPKM Special Edition. Finally giving birth a lot of terms just to avoid the word "lockdown"</v>
      </c>
    </row>
    <row r="9241" ht="15.75" customHeight="1">
      <c r="A9241" s="2">
        <v>9400.0</v>
      </c>
      <c r="B9241" s="5" t="s">
        <v>16825</v>
      </c>
      <c r="C9241" s="6">
        <v>1.0</v>
      </c>
      <c r="D9241" s="9" t="s">
        <v>16825</v>
      </c>
      <c r="E9241" s="8" t="str">
        <f>IFERROR(__xludf.DUMMYFUNCTION("googletranslate(D9241,""id"",""en"")"),"Actually it doesn't matter to want PPKM or Lockdown, but what are the solutions for entrepreneurs? Room for business is limited even though expenditure continues (rent, salary, electricity, etc.). If the social benefits have been able to be said to be not"&amp;" a poor criterion. It's not afraid of Covid, afraid.")</f>
        <v>Actually it doesn't matter to want PPKM or Lockdown, but what are the solutions for entrepreneurs? Room for business is limited even though expenditure continues (rent, salary, electricity, etc.). If the social benefits have been able to be said to be not a poor criterion. It's not afraid of Covid, afraid.</v>
      </c>
    </row>
    <row r="9242" ht="15.75" customHeight="1">
      <c r="A9242" s="2">
        <v>9401.0</v>
      </c>
      <c r="B9242" s="5" t="s">
        <v>16826</v>
      </c>
      <c r="C9242" s="6">
        <v>1.0</v>
      </c>
      <c r="D9242" s="7" t="s">
        <v>16827</v>
      </c>
      <c r="E9242" s="8" t="str">
        <f>IFERROR(__xludf.DUMMYFUNCTION("googletranslate(D9242,""id"",""en"")"),"PPKM extends in the end to PPKM (we slowly slowly poorly)")</f>
        <v>PPKM extends in the end to PPKM (we slowly slowly poorly)</v>
      </c>
    </row>
    <row r="9243" ht="15.75" customHeight="1">
      <c r="A9243" s="2">
        <v>9402.0</v>
      </c>
      <c r="B9243" s="5" t="s">
        <v>16828</v>
      </c>
      <c r="C9243" s="6">
        <v>1.0</v>
      </c>
      <c r="D9243" s="9" t="s">
        <v>16829</v>
      </c>
      <c r="E9243" s="8" t="str">
        <f>IFERROR(__xludf.DUMMYFUNCTION("googletranslate(D9243,""id"",""en"")"),"TAUGATION ... I know Apart in Kelapa Gading, the majority of Indians .. I Wonder Why they can enter here and then the birth of the impromptu PPKM like round")</f>
        <v>TAUGATION ... I know Apart in Kelapa Gading, the majority of Indians .. I Wonder Why they can enter here and then the birth of the impromptu PPKM like round</v>
      </c>
    </row>
    <row r="9244" ht="15.75" customHeight="1">
      <c r="A9244" s="2">
        <v>9403.0</v>
      </c>
      <c r="B9244" s="5" t="s">
        <v>16830</v>
      </c>
      <c r="C9244" s="6">
        <v>1.0</v>
      </c>
      <c r="D9244" s="7" t="s">
        <v>16831</v>
      </c>
      <c r="E9244" s="8" t="str">
        <f>IFERROR(__xludf.DUMMYFUNCTION("googletranslate(D9244,""id"",""en"")"),"Innalilahi wa inna ilaihi raji'unis really neglected to be able to pay a fine of millions of emergency ppkm, cafe owner select imprisoned")</f>
        <v>Innalilahi wa inna ilaihi raji'unis really neglected to be able to pay a fine of millions of emergency ppkm, cafe owner select imprisoned</v>
      </c>
    </row>
    <row r="9245" ht="15.75" customHeight="1">
      <c r="A9245" s="2">
        <v>9404.0</v>
      </c>
      <c r="B9245" s="5" t="s">
        <v>16832</v>
      </c>
      <c r="C9245" s="6">
        <v>2.0</v>
      </c>
      <c r="D9245" s="9" t="s">
        <v>16833</v>
      </c>
      <c r="E9245" s="8" t="str">
        <f>IFERROR(__xludf.DUMMYFUNCTION("googletranslate(D9245,""id"",""en"")"),"Already if Via Halodoc wkwk. Halodoc to the Rescue. Told to change feed (because of being diagnosed with allergies, routinely, vitamins. But yes it is suggested injecting to DRH, if you want to be faster (this is the problem. Wait for the active case down"&amp;" plus PPKM finished first) WKWK.")</f>
        <v>Already if Via Halodoc wkwk. Halodoc to the Rescue. Told to change feed (because of being diagnosed with allergies, routinely, vitamins. But yes it is suggested injecting to DRH, if you want to be faster (this is the problem. Wait for the active case down plus PPKM finished first) WKWK.</v>
      </c>
    </row>
    <row r="9246" ht="15.75" customHeight="1">
      <c r="A9246" s="2">
        <v>9405.0</v>
      </c>
      <c r="B9246" s="5" t="s">
        <v>16834</v>
      </c>
      <c r="C9246" s="6">
        <v>2.0</v>
      </c>
      <c r="D9246" s="10" t="s">
        <v>16835</v>
      </c>
      <c r="E9246" s="8" t="str">
        <f>IFERROR(__xludf.DUMMYFUNCTION("googletranslate(D9246,""id"",""en"")"),"ppkm remember.")</f>
        <v>ppkm remember.</v>
      </c>
    </row>
    <row r="9247" ht="15.75" customHeight="1">
      <c r="A9247" s="2">
        <v>9406.0</v>
      </c>
      <c r="B9247" s="5" t="s">
        <v>16836</v>
      </c>
      <c r="C9247" s="6">
        <v>1.0</v>
      </c>
      <c r="D9247" s="7" t="s">
        <v>16836</v>
      </c>
      <c r="E9247" s="8" t="str">
        <f>IFERROR(__xludf.DUMMYFUNCTION("googletranslate(D9247,""id"",""en"")"),"PPKM Don't Extend Kasian My Sodaku Nnti GJD Marriage")</f>
        <v>PPKM Don't Extend Kasian My Sodaku Nnti GJD Marriage</v>
      </c>
    </row>
    <row r="9248" ht="15.75" customHeight="1">
      <c r="A9248" s="2">
        <v>9407.0</v>
      </c>
      <c r="B9248" s="5" t="s">
        <v>16837</v>
      </c>
      <c r="C9248" s="6">
        <v>1.0</v>
      </c>
      <c r="D9248" s="7" t="s">
        <v>16838</v>
      </c>
      <c r="E9248" s="8" t="str">
        <f>IFERROR(__xludf.DUMMYFUNCTION("googletranslate(D9248,""id"",""en"")"),"Again PPKM Woy tar is dissolved by Satpol PP")</f>
        <v>Again PPKM Woy tar is dissolved by Satpol PP</v>
      </c>
    </row>
    <row r="9249" ht="15.75" customHeight="1">
      <c r="A9249" s="2">
        <v>9408.0</v>
      </c>
      <c r="B9249" s="5" t="s">
        <v>16839</v>
      </c>
      <c r="C9249" s="6">
        <v>2.0</v>
      </c>
      <c r="D9249" s="7" t="s">
        <v>16840</v>
      </c>
      <c r="E9249" s="8" t="str">
        <f>IFERROR(__xludf.DUMMYFUNCTION("googletranslate(D9249,""id"",""en"")"),"This is definitely his father Rafi Dr. Semalem Abis Patrol PPKM BLM sleep")</f>
        <v>This is definitely his father Rafi Dr. Semalem Abis Patrol PPKM BLM sleep</v>
      </c>
    </row>
    <row r="9250" ht="15.75" customHeight="1">
      <c r="A9250" s="2">
        <v>9409.0</v>
      </c>
      <c r="B9250" s="5" t="s">
        <v>16841</v>
      </c>
      <c r="C9250" s="6">
        <v>2.0</v>
      </c>
      <c r="D9250" s="10" t="s">
        <v>16842</v>
      </c>
      <c r="E9250" s="8" t="str">
        <f>IFERROR(__xludf.DUMMYFUNCTION("googletranslate(D9250,""id"",""en"")"),"Gara PPKM times ..")</f>
        <v>Gara PPKM times ..</v>
      </c>
    </row>
    <row r="9251" ht="15.75" customHeight="1">
      <c r="A9251" s="2">
        <v>9410.0</v>
      </c>
      <c r="B9251" s="5" t="s">
        <v>16843</v>
      </c>
      <c r="C9251" s="6">
        <v>3.0</v>
      </c>
      <c r="D9251" s="9" t="s">
        <v>16844</v>
      </c>
      <c r="E9251" s="8" t="str">
        <f>IFERROR(__xludf.DUMMYFUNCTION("googletranslate(D9251,""id"",""en"")"),"Thank you for the procediveness, the work of the house, not out of the house, Tetimakasih ... let's support the government to obey PPKM for healthy Indonesia. But to love the solution for freelance daily workers, market traders, small traders, factory wor"&amp;"kers ..")</f>
        <v>Thank you for the procediveness, the work of the house, not out of the house, Tetimakasih ... let's support the government to obey PPKM for healthy Indonesia. But to love the solution for freelance daily workers, market traders, small traders, factory workers ..</v>
      </c>
    </row>
    <row r="9252" ht="15.75" customHeight="1">
      <c r="A9252" s="2">
        <v>9411.0</v>
      </c>
      <c r="B9252" s="5" t="s">
        <v>16845</v>
      </c>
      <c r="C9252" s="6">
        <v>3.0</v>
      </c>
      <c r="D9252" s="7" t="s">
        <v>16846</v>
      </c>
      <c r="E9252" s="8" t="str">
        <f>IFERROR(__xludf.DUMMYFUNCTION("googletranslate(D9252,""id"",""en"")"),"The government cares so care about the community. Health &amp; amp; The safety of the people is a top priority. Let us support &amp; amp; Datay PPKM &amp; amp; The prokes as the expression of our gratitude to the government. Thank you for BPK")</f>
        <v>The government cares so care about the community. Health &amp; amp; The safety of the people is a top priority. Let us support &amp; amp; Datay PPKM &amp; amp; The prokes as the expression of our gratitude to the government. Thank you for BPK</v>
      </c>
    </row>
    <row r="9253" ht="15.75" customHeight="1">
      <c r="A9253" s="2">
        <v>9412.0</v>
      </c>
      <c r="B9253" s="5" t="s">
        <v>16847</v>
      </c>
      <c r="C9253" s="6">
        <v>3.0</v>
      </c>
      <c r="D9253" s="9" t="s">
        <v>16848</v>
      </c>
      <c r="E9253" s="8" t="str">
        <f>IFERROR(__xludf.DUMMYFUNCTION("googletranslate(D9253,""id"",""en"")"),"The online is cheerful, it's optimistic and the spirit of welcoming the future of the time that wFH is just a ppkm ksn still a discourse on the evaluation after the date of July which the discipline community is asked at home at home, it's not a world num"&amp;"ber of the world, the covid case is noving woy.")</f>
        <v>The online is cheerful, it's optimistic and the spirit of welcoming the future of the time that wFH is just a ppkm ksn still a discourse on the evaluation after the date of July which the discipline community is asked at home at home, it's not a world number of the world, the covid case is noving woy.</v>
      </c>
    </row>
    <row r="9254" ht="15.75" customHeight="1">
      <c r="A9254" s="2">
        <v>9413.0</v>
      </c>
      <c r="B9254" s="5" t="s">
        <v>16849</v>
      </c>
      <c r="C9254" s="6">
        <v>1.0</v>
      </c>
      <c r="D9254" s="7" t="s">
        <v>16850</v>
      </c>
      <c r="E9254" s="8" t="str">
        <f>IFERROR(__xludf.DUMMYFUNCTION("googletranslate(D9254,""id"",""en"")"),"Ppkm = government wants us to die")</f>
        <v>Ppkm = government wants us to die</v>
      </c>
    </row>
    <row r="9255" ht="15.75" customHeight="1">
      <c r="A9255" s="2">
        <v>9414.0</v>
      </c>
      <c r="B9255" s="5" t="s">
        <v>16851</v>
      </c>
      <c r="C9255" s="6">
        <v>1.0</v>
      </c>
      <c r="D9255" s="9" t="s">
        <v>16852</v>
      </c>
      <c r="E9255" s="8" t="str">
        <f>IFERROR(__xludf.DUMMYFUNCTION("googletranslate(D9255,""id"",""en"")"),"W thought the traders and the kind of selling that day was for eating that day too. How come if the PPKM policy is extended to the government's assistance. Bansos are corrupted, gada info update lg the case ... sdgkn rich people made dead slowly")</f>
        <v>W thought the traders and the kind of selling that day was for eating that day too. How come if the PPKM policy is extended to the government's assistance. Bansos are corrupted, gada info update lg the case ... sdgkn rich people made dead slowly</v>
      </c>
    </row>
    <row r="9256" ht="15.75" customHeight="1">
      <c r="A9256" s="2">
        <v>9415.0</v>
      </c>
      <c r="B9256" s="5" t="s">
        <v>16853</v>
      </c>
      <c r="C9256" s="6">
        <v>1.0</v>
      </c>
      <c r="D9256" s="7" t="s">
        <v>16853</v>
      </c>
      <c r="E9256" s="8" t="str">
        <f>IFERROR(__xludf.DUMMYFUNCTION("googletranslate(D9256,""id"",""en"")"),"I completed Alesan from a distance away so that it could be unplugged, eh PPKM was extended. Ah, it feels like to say rude.")</f>
        <v>I completed Alesan from a distance away so that it could be unplugged, eh PPKM was extended. Ah, it feels like to say rude.</v>
      </c>
    </row>
    <row r="9257" ht="15.75" customHeight="1">
      <c r="A9257" s="2">
        <v>9416.0</v>
      </c>
      <c r="B9257" s="5" t="s">
        <v>16854</v>
      </c>
      <c r="C9257" s="6">
        <v>2.0</v>
      </c>
      <c r="D9257" s="7" t="s">
        <v>16854</v>
      </c>
      <c r="E9257" s="8" t="str">
        <f>IFERROR(__xludf.DUMMYFUNCTION("googletranslate(D9257,""id"",""en"")"),"-Rek ppkm = morning morning got angry")</f>
        <v>-Rek ppkm = morning morning got angry</v>
      </c>
    </row>
    <row r="9258" ht="15.75" customHeight="1">
      <c r="A9258" s="2">
        <v>9417.0</v>
      </c>
      <c r="B9258" s="5" t="s">
        <v>16855</v>
      </c>
      <c r="C9258" s="6">
        <v>3.0</v>
      </c>
      <c r="D9258" s="7" t="s">
        <v>16856</v>
      </c>
      <c r="E9258" s="8" t="str">
        <f>IFERROR(__xludf.DUMMYFUNCTION("googletranslate(D9258,""id"",""en"")"),"Not bad this entertainment when ppkm ... wkwkwk")</f>
        <v>Not bad this entertainment when ppkm ... wkwkwk</v>
      </c>
    </row>
    <row r="9259" ht="15.75" customHeight="1">
      <c r="A9259" s="2">
        <v>9418.0</v>
      </c>
      <c r="B9259" s="5" t="s">
        <v>16857</v>
      </c>
      <c r="C9259" s="6">
        <v>1.0</v>
      </c>
      <c r="D9259" s="9" t="s">
        <v>16858</v>
      </c>
      <c r="E9259" s="8" t="str">
        <f>IFERROR(__xludf.DUMMYFUNCTION("googletranslate(D9259,""id"",""en"")"),"PPKM, why isn't Lockdown all right. Other countries Lockdown can get life benefits so they are calm they can still eat. This is PPKM so there is no allowance possible. The effort was told to close to gk there was a allowance. Dead because hungry can not b"&amp;"e due to covid.")</f>
        <v>PPKM, why isn't Lockdown all right. Other countries Lockdown can get life benefits so they are calm they can still eat. This is PPKM so there is no allowance possible. The effort was told to close to gk there was a allowance. Dead because hungry can not be due to covid.</v>
      </c>
    </row>
    <row r="9260" ht="15.75" customHeight="1">
      <c r="A9260" s="2">
        <v>9419.0</v>
      </c>
      <c r="B9260" s="5" t="s">
        <v>16859</v>
      </c>
      <c r="C9260" s="6">
        <v>2.0</v>
      </c>
      <c r="D9260" s="7" t="s">
        <v>16860</v>
      </c>
      <c r="E9260" s="8" t="str">
        <f>IFERROR(__xludf.DUMMYFUNCTION("googletranslate(D9260,""id"",""en"")"),"Iyaabener bangeetada covid n ppkm khan")</f>
        <v>Iyaabener bangeetada covid n ppkm khan</v>
      </c>
    </row>
    <row r="9261" ht="15.75" customHeight="1">
      <c r="A9261" s="2">
        <v>9420.0</v>
      </c>
      <c r="B9261" s="5" t="s">
        <v>16861</v>
      </c>
      <c r="C9261" s="6">
        <v>1.0</v>
      </c>
      <c r="D9261" s="9" t="s">
        <v>16862</v>
      </c>
      <c r="E9261" s="8" t="str">
        <f>IFERROR(__xludf.DUMMYFUNCTION("googletranslate(D9261,""id"",""en"")"),"That's if it's a regional insulation (lockdown). Because there are government obligations responsible for fulfilling the needs of its citizens during isolation. If you use the limitation of the PPKM model, this is the impression of the government, I want "&amp;"to be isolation but it doesn't want to get out of big money.")</f>
        <v>That's if it's a regional insulation (lockdown). Because there are government obligations responsible for fulfilling the needs of its citizens during isolation. If you use the limitation of the PPKM model, this is the impression of the government, I want to be isolation but it doesn't want to get out of big money.</v>
      </c>
    </row>
    <row r="9262" ht="15.75" customHeight="1">
      <c r="A9262" s="2">
        <v>9421.0</v>
      </c>
      <c r="B9262" s="5" t="s">
        <v>16863</v>
      </c>
      <c r="C9262" s="6">
        <v>3.0</v>
      </c>
      <c r="D9262" s="9" t="s">
        <v>16864</v>
      </c>
      <c r="E9262" s="8" t="str">
        <f>IFERROR(__xludf.DUMMYFUNCTION("googletranslate(D9262,""id"",""en"")"),"A / ysh. Let's Perfect Supimy PPKM Soup: (1) All Indonesian citizens who have good salaries asn and private who are not the essential sector are prohibited from being out of the house (2) daily workers may work with strict proces, the government help mask"&amp;" and hand sanitizer, involve RT / RW oversee")</f>
        <v>A / ysh. Let's Perfect Supimy PPKM Soup: (1) All Indonesian citizens who have good salaries asn and private who are not the essential sector are prohibited from being out of the house (2) daily workers may work with strict proces, the government help mask and hand sanitizer, involve RT / RW oversee</v>
      </c>
    </row>
    <row r="9263" ht="15.75" customHeight="1">
      <c r="A9263" s="2">
        <v>9422.0</v>
      </c>
      <c r="B9263" s="5" t="s">
        <v>16865</v>
      </c>
      <c r="C9263" s="6">
        <v>2.0</v>
      </c>
      <c r="D9263" s="9" t="s">
        <v>16866</v>
      </c>
      <c r="E9263" s="8" t="str">
        <f>IFERROR(__xludf.DUMMYFUNCTION("googletranslate(D9263,""id"",""en"")"),"ppkm is not all regions, bro, if you don't get PPKM dialing, send aid for those who need?")</f>
        <v>ppkm is not all regions, bro, if you don't get PPKM dialing, send aid for those who need?</v>
      </c>
    </row>
    <row r="9264" ht="15.75" customHeight="1">
      <c r="A9264" s="2">
        <v>9423.0</v>
      </c>
      <c r="B9264" s="5" t="s">
        <v>16867</v>
      </c>
      <c r="C9264" s="6">
        <v>3.0</v>
      </c>
      <c r="D9264" s="7" t="s">
        <v>16868</v>
      </c>
      <c r="E9264" s="8" t="str">
        <f>IFERROR(__xludf.DUMMYFUNCTION("googletranslate(D9264,""id"",""en"")"),"You don't know, the pandemic won't be done. It has not been provoked and anarchy continues. Obey the emergency ppkm for your safety")</f>
        <v>You don't know, the pandemic won't be done. It has not been provoked and anarchy continues. Obey the emergency ppkm for your safety</v>
      </c>
    </row>
    <row r="9265" ht="15.75" customHeight="1">
      <c r="A9265" s="2">
        <v>9424.0</v>
      </c>
      <c r="B9265" s="5" t="s">
        <v>16869</v>
      </c>
      <c r="C9265" s="6">
        <v>1.0</v>
      </c>
      <c r="D9265" s="7" t="s">
        <v>16870</v>
      </c>
      <c r="E9265" s="8" t="str">
        <f>IFERROR(__xludf.DUMMYFUNCTION("googletranslate(D9265,""id"",""en"")"),"Why should it use violence especially physically for obedient PPKM see Noh officials who are kiru *** Bae Bae sales are damaged to income their lives and more severely drained")</f>
        <v>Why should it use violence especially physically for obedient PPKM see Noh officials who are kiru *** Bae Bae sales are damaged to income their lives and more severely drained</v>
      </c>
    </row>
    <row r="9266" ht="15.75" customHeight="1">
      <c r="A9266" s="2">
        <v>9425.0</v>
      </c>
      <c r="B9266" s="5" t="s">
        <v>16871</v>
      </c>
      <c r="C9266" s="6">
        <v>1.0</v>
      </c>
      <c r="D9266" s="7" t="s">
        <v>16872</v>
      </c>
      <c r="E9266" s="8" t="str">
        <f>IFERROR(__xludf.DUMMYFUNCTION("googletranslate(D9266,""id"",""en"")"),"Anarchist Action Satpol PP during the PPKM raid, even though the stall has followed the government's rules closing the clock. Petaskas slapped the owner of the stall &amp; amp; His wife, Diakkop Ivan Riyana Panciro Kab Gowa.Astaghfirullah ...... the source of"&amp;" Instagramkamerapengawas")</f>
        <v>Anarchist Action Satpol PP during the PPKM raid, even though the stall has followed the government's rules closing the clock. Petaskas slapped the owner of the stall &amp; amp; His wife, Diakkop Ivan Riyana Panciro Kab Gowa.Astaghfirullah ...... the source of Instagramkamerapengawas</v>
      </c>
    </row>
    <row r="9267" ht="15.75" customHeight="1">
      <c r="A9267" s="2">
        <v>9426.0</v>
      </c>
      <c r="B9267" s="5" t="s">
        <v>16873</v>
      </c>
      <c r="C9267" s="6">
        <v>2.0</v>
      </c>
      <c r="D9267" s="9" t="s">
        <v>16874</v>
      </c>
      <c r="E9267" s="8" t="str">
        <f>IFERROR(__xludf.DUMMYFUNCTION("googletranslate(D9267,""id"",""en"")"),"BSU which blm is channeled all ..... this has been ppkm again.")</f>
        <v>BSU which blm is channeled all ..... this has been ppkm again.</v>
      </c>
    </row>
    <row r="9268" ht="15.75" customHeight="1">
      <c r="A9268" s="2">
        <v>9427.0</v>
      </c>
      <c r="B9268" s="5" t="s">
        <v>16875</v>
      </c>
      <c r="C9268" s="6">
        <v>2.0</v>
      </c>
      <c r="D9268" s="7" t="s">
        <v>16876</v>
      </c>
      <c r="E9268" s="8" t="str">
        <f>IFERROR(__xludf.DUMMYFUNCTION("googletranslate(D9268,""id"",""en"")"),"Now it's a marriage trend but the contract is because again PPKM")</f>
        <v>Now it's a marriage trend but the contract is because again PPKM</v>
      </c>
    </row>
    <row r="9269" ht="15.75" customHeight="1">
      <c r="A9269" s="2">
        <v>9428.0</v>
      </c>
      <c r="B9269" s="5" t="s">
        <v>16877</v>
      </c>
      <c r="C9269" s="6">
        <v>1.0</v>
      </c>
      <c r="D9269" s="9" t="s">
        <v>16878</v>
      </c>
      <c r="E9269" s="8" t="str">
        <f>IFERROR(__xludf.DUMMYFUNCTION("googletranslate(D9269,""id"",""en"")"),"How come for a statement that does not support government policies when PPKM? Please stick ... still sleeping the wapres ..... eh ... do we have a vice president ???? Speechless CC: //")</f>
        <v>How come for a statement that does not support government policies when PPKM? Please stick ... still sleeping the wapres ..... eh ... do we have a vice president ???? Speechless CC: //</v>
      </c>
    </row>
    <row r="9270" ht="15.75" customHeight="1">
      <c r="A9270" s="2">
        <v>9429.0</v>
      </c>
      <c r="B9270" s="5" t="s">
        <v>16879</v>
      </c>
      <c r="C9270" s="6">
        <v>2.0</v>
      </c>
      <c r="D9270" s="7" t="s">
        <v>16880</v>
      </c>
      <c r="E9270" s="8" t="str">
        <f>IFERROR(__xludf.DUMMYFUNCTION("googletranslate(D9270,""id"",""en"")"),"PPKM extended to cm.")</f>
        <v>PPKM extended to cm.</v>
      </c>
    </row>
    <row r="9271" ht="15.75" customHeight="1">
      <c r="A9271" s="2">
        <v>9430.0</v>
      </c>
      <c r="B9271" s="5" t="s">
        <v>16881</v>
      </c>
      <c r="C9271" s="6">
        <v>1.0</v>
      </c>
      <c r="D9271" s="7" t="s">
        <v>16882</v>
      </c>
      <c r="E9271" s="8" t="str">
        <f>IFERROR(__xludf.DUMMYFUNCTION("googletranslate(D9271,""id"",""en"")"),"PPKM: Kok Pamong Praja hit?")</f>
        <v>PPKM: Kok Pamong Praja hit?</v>
      </c>
    </row>
    <row r="9272" ht="15.75" customHeight="1">
      <c r="A9272" s="2">
        <v>9431.0</v>
      </c>
      <c r="B9272" s="5" t="s">
        <v>16883</v>
      </c>
      <c r="C9272" s="6">
        <v>1.0</v>
      </c>
      <c r="D9272" s="7" t="s">
        <v>16884</v>
      </c>
      <c r="E9272" s="8" t="str">
        <f>IFERROR(__xludf.DUMMYFUNCTION("googletranslate(D9272,""id"",""en"")"),"The PPKM enforcement makes a miserable small people. Work may not be, going home especially. Riding the KRL must be SKTP. They don't know or close the eyes of many nomads that are trapped in Jakarta. What is valid for PPKM, it's easy to just sit sweet but"&amp;" the account is continuous.")</f>
        <v>The PPKM enforcement makes a miserable small people. Work may not be, going home especially. Riding the KRL must be SKTP. They don't know or close the eyes of many nomads that are trapped in Jakarta. What is valid for PPKM, it's easy to just sit sweet but the account is continuous.</v>
      </c>
    </row>
    <row r="9273" ht="15.75" customHeight="1">
      <c r="A9273" s="2">
        <v>9432.0</v>
      </c>
      <c r="B9273" s="5" t="s">
        <v>16885</v>
      </c>
      <c r="C9273" s="6">
        <v>1.0</v>
      </c>
      <c r="D9273" s="9" t="s">
        <v>16886</v>
      </c>
      <c r="E9273" s="8" t="str">
        <f>IFERROR(__xludf.DUMMYFUNCTION("googletranslate(D9273,""id"",""en"")"),"Yes kak emang ppkm this for all we are hard to live, because buying eating using money, if it doesn't work money from? Surely all dizziness only if you get more severe covid. Can it be if you die? Now all obey the diban prokes are afraid of the vaccine fo"&amp;"r sure this is even better.")</f>
        <v>Yes kak emang ppkm this for all we are hard to live, because buying eating using money, if it doesn't work money from? Surely all dizziness only if you get more severe covid. Can it be if you die? Now all obey the diban prokes are afraid of the vaccine for sure this is even better.</v>
      </c>
    </row>
    <row r="9274" ht="15.75" customHeight="1">
      <c r="A9274" s="2">
        <v>9433.0</v>
      </c>
      <c r="B9274" s="5" t="s">
        <v>16887</v>
      </c>
      <c r="C9274" s="6">
        <v>1.0</v>
      </c>
      <c r="D9274" s="9" t="s">
        <v>16888</v>
      </c>
      <c r="E9274" s="8" t="str">
        <f>IFERROR(__xludf.DUMMYFUNCTION("googletranslate(D9274,""id"",""en"")"),"The text of the new PPKM rules is clear, speaking Indonesian, it is not meaningful ..... even ditafsir again with spare tires adjusted to the tastes of the group. The suggestion should be sleeping, if it is forced to maintain frequently.")</f>
        <v>The text of the new PPKM rules is clear, speaking Indonesian, it is not meaningful ..... even ditafsir again with spare tires adjusted to the tastes of the group. The suggestion should be sleeping, if it is forced to maintain frequently.</v>
      </c>
    </row>
    <row r="9275" ht="15.75" customHeight="1">
      <c r="A9275" s="2">
        <v>9434.0</v>
      </c>
      <c r="B9275" s="5" t="s">
        <v>16889</v>
      </c>
      <c r="C9275" s="6">
        <v>1.0</v>
      </c>
      <c r="D9275" s="7" t="s">
        <v>16890</v>
      </c>
      <c r="E9275" s="8" t="str">
        <f>IFERROR(__xludf.DUMMYFUNCTION("googletranslate(D9275,""id"",""en"")"),"Can't ssih until when using a terbuus laptop! Mamakk Mrs. Realin HUHUHU HP ENJOY CLEAR THE PPKM News Extended Keep When the HP Linerin Dongg T___T")</f>
        <v>Can't ssih until when using a terbuus laptop! Mamakk Mrs. Realin HUHUHU HP ENJOY CLEAR THE PPKM News Extended Keep When the HP Linerin Dongg T___T</v>
      </c>
    </row>
    <row r="9276" ht="15.75" customHeight="1">
      <c r="A9276" s="2">
        <v>9435.0</v>
      </c>
      <c r="B9276" s="5" t="s">
        <v>16891</v>
      </c>
      <c r="C9276" s="6">
        <v>1.0</v>
      </c>
      <c r="D9276" s="7" t="s">
        <v>16892</v>
      </c>
      <c r="E9276" s="8" t="str">
        <f>IFERROR(__xludf.DUMMYFUNCTION("googletranslate(D9276,""id"",""en"")"),"Innalillahi can't see a pregnant woman in a slap Satpol PP in Gowa. PPKM Makes Humanity Loss")</f>
        <v>Innalillahi can't see a pregnant woman in a slap Satpol PP in Gowa. PPKM Makes Humanity Loss</v>
      </c>
    </row>
    <row r="9277" ht="15.75" customHeight="1">
      <c r="A9277" s="2">
        <v>9436.0</v>
      </c>
      <c r="B9277" s="5" t="s">
        <v>16893</v>
      </c>
      <c r="C9277" s="6">
        <v>2.0</v>
      </c>
      <c r="D9277" s="7" t="s">
        <v>16894</v>
      </c>
      <c r="E9277" s="8" t="str">
        <f>IFERROR(__xludf.DUMMYFUNCTION("googletranslate(D9277,""id"",""en"")"),"I agree to uphold the PPKM with both the Satpol PP also read the rules that are detramated in your area of ​​hours, don't do it, don't use it! Use the way you don't do this business owner not in the human way!")</f>
        <v>I agree to uphold the PPKM with both the Satpol PP also read the rules that are detramated in your area of ​​hours, don't do it, don't use it! Use the way you don't do this business owner not in the human way!</v>
      </c>
    </row>
    <row r="9278" ht="15.75" customHeight="1">
      <c r="A9278" s="2">
        <v>9437.0</v>
      </c>
      <c r="B9278" s="5" t="s">
        <v>16895</v>
      </c>
      <c r="C9278" s="6">
        <v>1.0</v>
      </c>
      <c r="D9278" s="7" t="s">
        <v>16896</v>
      </c>
      <c r="E9278" s="8" t="str">
        <f>IFERROR(__xludf.DUMMYFUNCTION("googletranslate(D9278,""id"",""en"")"),"He contracted at the mall which insisted on not closed when PPKM. If humans in the circle of power are not a matter because the LBP said all was under control. Just relax. Because of all VVIP facilities except God wille another. Because every lifeless mus"&amp;"t die. The people are waiting for the ending.")</f>
        <v>He contracted at the mall which insisted on not closed when PPKM. If humans in the circle of power are not a matter because the LBP said all was under control. Just relax. Because of all VVIP facilities except God wille another. Because every lifeless must die. The people are waiting for the ending.</v>
      </c>
    </row>
    <row r="9279" ht="15.75" customHeight="1">
      <c r="A9279" s="2">
        <v>9438.0</v>
      </c>
      <c r="B9279" s="5" t="s">
        <v>16897</v>
      </c>
      <c r="C9279" s="6">
        <v>3.0</v>
      </c>
      <c r="D9279" s="7" t="s">
        <v>16898</v>
      </c>
      <c r="E9279" s="8" t="str">
        <f>IFERROR(__xludf.DUMMYFUNCTION("googletranslate(D9279,""id"",""en"")"),"More agree PPKM is micro for the red zone area, another economic zone can move")</f>
        <v>More agree PPKM is micro for the red zone area, another economic zone can move</v>
      </c>
    </row>
    <row r="9280" ht="15.75" customHeight="1">
      <c r="A9280" s="2">
        <v>9439.0</v>
      </c>
      <c r="B9280" s="5" t="s">
        <v>16899</v>
      </c>
      <c r="C9280" s="6">
        <v>1.0</v>
      </c>
      <c r="D9280" s="9" t="s">
        <v>16900</v>
      </c>
      <c r="E9280" s="8" t="str">
        <f>IFERROR(__xludf.DUMMYFUNCTION("googletranslate(D9280,""id"",""en"")"),"Thank you, Mrs. Doctor has represented the hearts of the hearts of many Indonesian people if in Medan PPKM = Pande Pandelah Klen Marar. Because Jln D is closely close, but can still be from other jln as a result in jammed d jln alternatively.")</f>
        <v>Thank you, Mrs. Doctor has represented the hearts of the hearts of many Indonesian people if in Medan PPKM = Pande Pandelah Klen Marar. Because Jln D is closely close, but can still be from other jln as a result in jammed d jln alternatively.</v>
      </c>
    </row>
    <row r="9281" ht="15.75" customHeight="1">
      <c r="A9281" s="2">
        <v>9440.0</v>
      </c>
      <c r="B9281" s="5" t="s">
        <v>16901</v>
      </c>
      <c r="C9281" s="6">
        <v>1.0</v>
      </c>
      <c r="D9281" s="9" t="s">
        <v>16902</v>
      </c>
      <c r="E9281" s="8" t="str">
        <f>IFERROR(__xludf.DUMMYFUNCTION("googletranslate(D9281,""id"",""en"")"),"Which assumes if the vaccine is not the best effort now to fight the just a buzzer and covidiot.1 pandemic. Indeed, it's not because there are many victims of kipi, including those who know themselves. PPKM and forced vaccines violate human rights and BKN"&amp;" solutions")</f>
        <v>Which assumes if the vaccine is not the best effort now to fight the just a buzzer and covidiot.1 pandemic. Indeed, it's not because there are many victims of kipi, including those who know themselves. PPKM and forced vaccines violate human rights and BKN solutions</v>
      </c>
    </row>
    <row r="9282" ht="15.75" customHeight="1">
      <c r="A9282" s="2">
        <v>9441.0</v>
      </c>
      <c r="B9282" s="5" t="s">
        <v>16903</v>
      </c>
      <c r="C9282" s="6">
        <v>1.0</v>
      </c>
      <c r="D9282" s="9" t="s">
        <v>16904</v>
      </c>
      <c r="E9282" s="8" t="str">
        <f>IFERROR(__xludf.DUMMYFUNCTION("googletranslate(D9282,""id"",""en"")"),"This PPKM is for all we are hard to live, because buying eating money, if you don't work money from? Surely all dizziness only if you get more severe covid. Can it be if you die? Now all obey the prokes and don't be afraid of this definite vaccine can be "&amp;"even better")</f>
        <v>This PPKM is for all we are hard to live, because buying eating money, if you don't work money from? Surely all dizziness only if you get more severe covid. Can it be if you die? Now all obey the prokes and don't be afraid of this definite vaccine can be even better</v>
      </c>
    </row>
    <row r="9283" ht="15.75" customHeight="1">
      <c r="A9283" s="2">
        <v>9442.0</v>
      </c>
      <c r="B9283" s="5" t="s">
        <v>16905</v>
      </c>
      <c r="C9283" s="6">
        <v>2.0</v>
      </c>
      <c r="D9283" s="9" t="s">
        <v>16906</v>
      </c>
      <c r="E9283" s="8" t="str">
        <f>IFERROR(__xludf.DUMMYFUNCTION("googletranslate(D9283,""id"",""en"")"),"Iller, you can see km and at that time I immediately fell in love. There was the opportunity we met, and I tried well. Until finally you feel comfortable and we fall in love. And it's already a ppmm, you want to go far to college, and I have to go back to"&amp;" the village easy to come, get lost quickly.")</f>
        <v>Iller, you can see km and at that time I immediately fell in love. There was the opportunity we met, and I tried well. Until finally you feel comfortable and we fall in love. And it's already a ppmm, you want to go far to college, and I have to go back to the village easy to come, get lost quickly.</v>
      </c>
    </row>
    <row r="9284" ht="15.75" customHeight="1">
      <c r="A9284" s="2">
        <v>9443.0</v>
      </c>
      <c r="B9284" s="5" t="s">
        <v>16907</v>
      </c>
      <c r="C9284" s="6">
        <v>1.0</v>
      </c>
      <c r="D9284" s="7" t="s">
        <v>16907</v>
      </c>
      <c r="E9284" s="8" t="str">
        <f>IFERROR(__xludf.DUMMYFUNCTION("googletranslate(D9284,""id"",""en"")"),"The contents of the Timeline are skarang toxic, many officers are arrogant, semena2 and lightweight on this PPKM. But now the entertainment when the person has been attacked out by netizennn ... once entertainment wahahahaha")</f>
        <v>The contents of the Timeline are skarang toxic, many officers are arrogant, semena2 and lightweight on this PPKM. But now the entertainment when the person has been attacked out by netizennn ... once entertainment wahahahaha</v>
      </c>
    </row>
    <row r="9285" ht="15.75" customHeight="1">
      <c r="A9285" s="2">
        <v>9444.0</v>
      </c>
      <c r="B9285" s="5" t="s">
        <v>16908</v>
      </c>
      <c r="C9285" s="6">
        <v>1.0</v>
      </c>
      <c r="D9285" s="7" t="s">
        <v>16909</v>
      </c>
      <c r="E9285" s="8" t="str">
        <f>IFERROR(__xludf.DUMMYFUNCTION("googletranslate(D9285,""id"",""en"")"),"I think again PPKM becomes long")</f>
        <v>I think again PPKM becomes long</v>
      </c>
    </row>
    <row r="9286" ht="15.75" customHeight="1">
      <c r="A9286" s="2">
        <v>9445.0</v>
      </c>
      <c r="B9286" s="5" t="s">
        <v>16910</v>
      </c>
      <c r="C9286" s="6">
        <v>2.0</v>
      </c>
      <c r="D9286" s="9" t="s">
        <v>16911</v>
      </c>
      <c r="E9286" s="8" t="str">
        <f>IFERROR(__xludf.DUMMYFUNCTION("googletranslate(D9286,""id"",""en"")"),"ppkm week? we sports times ye, so GLOW AP")</f>
        <v>ppkm week? we sports times ye, so GLOW AP</v>
      </c>
    </row>
    <row r="9287" ht="15.75" customHeight="1">
      <c r="A9287" s="2">
        <v>9446.0</v>
      </c>
      <c r="B9287" s="5" t="s">
        <v>16912</v>
      </c>
      <c r="C9287" s="6">
        <v>2.0</v>
      </c>
      <c r="D9287" s="7" t="s">
        <v>16913</v>
      </c>
      <c r="E9287" s="8" t="str">
        <f>IFERROR(__xludf.DUMMYFUNCTION("googletranslate(D9287,""id"",""en"")"),"Abis PPKM micro emergency wary suddenly")</f>
        <v>Abis PPKM micro emergency wary suddenly</v>
      </c>
    </row>
    <row r="9288" ht="15.75" customHeight="1">
      <c r="A9288" s="2">
        <v>9447.0</v>
      </c>
      <c r="B9288" s="5" t="s">
        <v>16914</v>
      </c>
      <c r="C9288" s="6">
        <v>2.0</v>
      </c>
      <c r="D9288" s="7" t="s">
        <v>16915</v>
      </c>
      <c r="E9288" s="8" t="str">
        <f>IFERROR(__xludf.DUMMYFUNCTION("googletranslate(D9288,""id"",""en"")"),"Ppkmpernah dating then accompanied")</f>
        <v>Ppkmpernah dating then accompanied</v>
      </c>
    </row>
    <row r="9289" ht="15.75" customHeight="1">
      <c r="A9289" s="2">
        <v>9448.0</v>
      </c>
      <c r="B9289" s="5" t="s">
        <v>16916</v>
      </c>
      <c r="C9289" s="6">
        <v>2.0</v>
      </c>
      <c r="D9289" s="9" t="s">
        <v>16917</v>
      </c>
      <c r="E9289" s="8" t="str">
        <f>IFERROR(__xludf.DUMMYFUNCTION("googletranslate(D9289,""id"",""en"")"),"Good morning everyoneDay PPKMhari is a strange dream, fighting with people because of guesenggol gues a nice day")</f>
        <v>Good morning everyoneDay PPKMhari is a strange dream, fighting with people because of guesenggol gues a nice day</v>
      </c>
    </row>
    <row r="9290" ht="15.75" customHeight="1">
      <c r="A9290" s="2">
        <v>9449.0</v>
      </c>
      <c r="B9290" s="5" t="s">
        <v>16918</v>
      </c>
      <c r="C9290" s="6">
        <v>1.0</v>
      </c>
      <c r="D9290" s="9" t="s">
        <v>16919</v>
      </c>
      <c r="E9290" s="8" t="str">
        <f>IFERROR(__xludf.DUMMYFUNCTION("googletranslate(D9290,""id"",""en"")"),"Once upon a time of the pandemic in a country..mekdi made a crowd fined RB and the selling porridge in the middle of the PPKM fined JT ... a small morgue earned a restricted living, the minister's son happy honeymoon abroad, the people died during indepen"&amp;"dent isolation, sick officials asked to be in court ..")</f>
        <v>Once upon a time of the pandemic in a country..mekdi made a crowd fined RB and the selling porridge in the middle of the PPKM fined JT ... a small morgue earned a restricted living, the minister's son happy honeymoon abroad, the people died during independent isolation, sick officials asked to be in court ..</v>
      </c>
    </row>
    <row r="9291" ht="15.75" customHeight="1">
      <c r="A9291" s="2">
        <v>9450.0</v>
      </c>
      <c r="B9291" s="5" t="s">
        <v>16920</v>
      </c>
      <c r="C9291" s="6">
        <v>1.0</v>
      </c>
      <c r="D9291" s="7" t="s">
        <v>16921</v>
      </c>
      <c r="E9291" s="8" t="str">
        <f>IFERROR(__xludf.DUMMYFUNCTION("googletranslate(D9291,""id"",""en"")"),"PPKM problems must definitely be different opinions, my husband and just legitimate debate, because according to him 'you are good there is a basic salary, Lha Nek I PPKM Rego Baha Mundak, Gawean Lonely' SIK Adang2 Rejecting Income / Day Msti Kroso is rea"&amp;"lly")</f>
        <v>PPKM problems must definitely be different opinions, my husband and just legitimate debate, because according to him 'you are good there is a basic salary, Lha Nek I PPKM Rego Baha Mundak, Gawean Lonely' SIK Adang2 Rejecting Income / Day Msti Kroso is really</v>
      </c>
    </row>
    <row r="9292" ht="15.75" customHeight="1">
      <c r="A9292" s="2">
        <v>9451.0</v>
      </c>
      <c r="B9292" s="5" t="s">
        <v>16922</v>
      </c>
      <c r="C9292" s="6">
        <v>2.0</v>
      </c>
      <c r="D9292" s="7" t="s">
        <v>16922</v>
      </c>
      <c r="E9292" s="8" t="str">
        <f>IFERROR(__xludf.DUMMYFUNCTION("googletranslate(D9292,""id"",""en"")"),"The government is keen to PPKM, the people are keen to look for everyday food")</f>
        <v>The government is keen to PPKM, the people are keen to look for everyday food</v>
      </c>
    </row>
    <row r="9293" ht="15.75" customHeight="1">
      <c r="A9293" s="2">
        <v>9452.0</v>
      </c>
      <c r="B9293" s="5" t="s">
        <v>16923</v>
      </c>
      <c r="C9293" s="6">
        <v>1.0</v>
      </c>
      <c r="D9293" s="7" t="s">
        <v>16924</v>
      </c>
      <c r="E9293" s="8" t="str">
        <f>IFERROR(__xludf.DUMMYFUNCTION("googletranslate(D9293,""id"",""en"")"),"PPKM ... (Slowly you die) ... Death must have arrived ... But this is made to pick up death ... !!!")</f>
        <v>PPKM ... (Slowly you die) ... Death must have arrived ... But this is made to pick up death ... !!!</v>
      </c>
    </row>
    <row r="9294" ht="15.75" customHeight="1">
      <c r="A9294" s="2">
        <v>9453.0</v>
      </c>
      <c r="B9294" s="5" t="s">
        <v>16925</v>
      </c>
      <c r="C9294" s="6">
        <v>3.0</v>
      </c>
      <c r="D9294" s="7" t="s">
        <v>16926</v>
      </c>
      <c r="E9294" s="8" t="str">
        <f>IFERROR(__xludf.DUMMYFUNCTION("googletranslate(D9294,""id"",""en"")"),"Waiting for the PPKM immediately in Riau, especially the city of Pekanbaru")</f>
        <v>Waiting for the PPKM immediately in Riau, especially the city of Pekanbaru</v>
      </c>
    </row>
    <row r="9295" ht="15.75" customHeight="1">
      <c r="A9295" s="2">
        <v>9454.0</v>
      </c>
      <c r="B9295" s="5" t="s">
        <v>16927</v>
      </c>
      <c r="C9295" s="6">
        <v>2.0</v>
      </c>
      <c r="D9295" s="7" t="s">
        <v>16928</v>
      </c>
      <c r="E9295" s="8" t="str">
        <f>IFERROR(__xludf.DUMMYFUNCTION("googletranslate(D9295,""id"",""en"")"),"Ppkm sore first enter")</f>
        <v>Ppkm sore first enter</v>
      </c>
    </row>
    <row r="9296" ht="15.75" customHeight="1">
      <c r="A9296" s="2">
        <v>9455.0</v>
      </c>
      <c r="B9296" s="5" t="s">
        <v>16929</v>
      </c>
      <c r="C9296" s="6">
        <v>1.0</v>
      </c>
      <c r="D9296" s="7" t="s">
        <v>16930</v>
      </c>
      <c r="E9296" s="8" t="str">
        <f>IFERROR(__xludf.DUMMYFUNCTION("googletranslate(D9296,""id"",""en"")"),"PPKM (Police Prindavan kok banging)")</f>
        <v>PPKM (Police Prindavan kok banging)</v>
      </c>
    </row>
    <row r="9297" ht="15.75" customHeight="1">
      <c r="A9297" s="2">
        <v>9456.0</v>
      </c>
      <c r="B9297" s="5" t="s">
        <v>16931</v>
      </c>
      <c r="C9297" s="6">
        <v>1.0</v>
      </c>
      <c r="D9297" s="9" t="s">
        <v>16932</v>
      </c>
      <c r="E9297" s="8" t="str">
        <f>IFERROR(__xludf.DUMMYFUNCTION("googletranslate(D9297,""id"",""en"")"),"Kediri and other cities are flooded in wag inviting people to demonstrations to the City Hall against Economic PPKM which various ways will be carried out to make the negarademi chaotic impose the ideology of them must be vigilant, continue queuing the va"&amp;"ccine")</f>
        <v>Kediri and other cities are flooded in wag inviting people to demonstrations to the City Hall against Economic PPKM which various ways will be carried out to make the negarademi chaotic impose the ideology of them must be vigilant, continue queuing the vaccine</v>
      </c>
    </row>
    <row r="9298" ht="15.75" customHeight="1">
      <c r="A9298" s="2">
        <v>9457.0</v>
      </c>
      <c r="B9298" s="5" t="s">
        <v>16933</v>
      </c>
      <c r="C9298" s="6">
        <v>1.0</v>
      </c>
      <c r="D9298" s="7" t="s">
        <v>16933</v>
      </c>
      <c r="E9298" s="8" t="str">
        <f>IFERROR(__xludf.DUMMYFUNCTION("googletranslate(D9298,""id"",""en"")"),"PPKM just miserates the people, look for sustenance !!!")</f>
        <v>PPKM just miserates the people, look for sustenance !!!</v>
      </c>
    </row>
    <row r="9299" ht="15.75" customHeight="1">
      <c r="A9299" s="2">
        <v>9458.0</v>
      </c>
      <c r="B9299" s="5" t="s">
        <v>16934</v>
      </c>
      <c r="C9299" s="6">
        <v>1.0</v>
      </c>
      <c r="D9299" s="9" t="s">
        <v>16935</v>
      </c>
      <c r="E9299" s="8" t="str">
        <f>IFERROR(__xludf.DUMMYFUNCTION("googletranslate(D9299,""id"",""en"")"),"If the place is far from the house and almost leaving the city or even outside the city, I say it can't come. The transportation is complicated, if the PPKM. Later to tell point out permissions of all kinds of which we do not necessarily have everything")</f>
        <v>If the place is far from the house and almost leaving the city or even outside the city, I say it can't come. The transportation is complicated, if the PPKM. Later to tell point out permissions of all kinds of which we do not necessarily have everything</v>
      </c>
    </row>
    <row r="9300" ht="15.75" customHeight="1">
      <c r="A9300" s="2">
        <v>9459.0</v>
      </c>
      <c r="B9300" s="5" t="s">
        <v>16936</v>
      </c>
      <c r="C9300" s="6">
        <v>1.0</v>
      </c>
      <c r="D9300" s="7" t="s">
        <v>16937</v>
      </c>
      <c r="E9300" s="8" t="str">
        <f>IFERROR(__xludf.DUMMYFUNCTION("googletranslate(D9300,""id"",""en"")"),"Waduhhhh don't ""spread the virus during their PPKM again")</f>
        <v>Waduhhhh don't "spread the virus during their PPKM again</v>
      </c>
    </row>
    <row r="9301" ht="15.75" customHeight="1">
      <c r="A9301" s="2">
        <v>9460.0</v>
      </c>
      <c r="B9301" s="5" t="s">
        <v>16938</v>
      </c>
      <c r="C9301" s="6">
        <v>3.0</v>
      </c>
      <c r="D9301" s="7" t="s">
        <v>16938</v>
      </c>
      <c r="E9301" s="8" t="str">
        <f>IFERROR(__xludf.DUMMYFUNCTION("googletranslate(D9301,""id"",""en"")"),"Said the Governor of East Java, the Emergency PPKM was carried out to suppress the community's mobility so that the spread of the virus could also be suppressed")</f>
        <v>Said the Governor of East Java, the Emergency PPKM was carried out to suppress the community's mobility so that the spread of the virus could also be suppressed</v>
      </c>
    </row>
    <row r="9302" ht="15.75" customHeight="1">
      <c r="A9302" s="2">
        <v>9461.0</v>
      </c>
      <c r="B9302" s="5" t="s">
        <v>16939</v>
      </c>
      <c r="C9302" s="6">
        <v>3.0</v>
      </c>
      <c r="D9302" s="7" t="s">
        <v>16940</v>
      </c>
      <c r="E9302" s="8" t="str">
        <f>IFERROR(__xludf.DUMMYFUNCTION("googletranslate(D9302,""id"",""en"")"),"Emergency PPKM rules, mutual cooperation")</f>
        <v>Emergency PPKM rules, mutual cooperation</v>
      </c>
    </row>
    <row r="9303" ht="15.75" customHeight="1">
      <c r="A9303" s="2">
        <v>9462.0</v>
      </c>
      <c r="B9303" s="5" t="s">
        <v>16941</v>
      </c>
      <c r="C9303" s="6">
        <v>1.0</v>
      </c>
      <c r="D9303" s="7" t="s">
        <v>16941</v>
      </c>
      <c r="E9303" s="8" t="str">
        <f>IFERROR(__xludf.DUMMYFUNCTION("googletranslate(D9303,""id"",""en"")"),"Read news in various regions in Indonesia Many Satpol PP which raided traders. The feeling in the PPKM rules is no prohibition on selling. This local government loves its own initiative so it is said to work.")</f>
        <v>Read news in various regions in Indonesia Many Satpol PP which raided traders. The feeling in the PPKM rules is no prohibition on selling. This local government loves its own initiative so it is said to work.</v>
      </c>
    </row>
    <row r="9304" ht="15.75" customHeight="1">
      <c r="A9304" s="2">
        <v>9463.0</v>
      </c>
      <c r="B9304" s="5" t="s">
        <v>16942</v>
      </c>
      <c r="C9304" s="6">
        <v>1.0</v>
      </c>
      <c r="D9304" s="7" t="s">
        <v>16943</v>
      </c>
      <c r="E9304" s="8" t="str">
        <f>IFERROR(__xludf.DUMMYFUNCTION("googletranslate(D9304,""id"",""en"")"),"Emergency PPKM effect, my friend must be married today, but it must be postponed by the moon, pity but must be how else. Be patient bro. All will be halal in time ... .SP.")</f>
        <v>Emergency PPKM effect, my friend must be married today, but it must be postponed by the moon, pity but must be how else. Be patient bro. All will be halal in time ... .SP.</v>
      </c>
    </row>
    <row r="9305" ht="15.75" customHeight="1">
      <c r="A9305" s="2">
        <v>9464.0</v>
      </c>
      <c r="B9305" s="5" t="s">
        <v>16944</v>
      </c>
      <c r="C9305" s="6">
        <v>3.0</v>
      </c>
      <c r="D9305" s="7" t="s">
        <v>16945</v>
      </c>
      <c r="E9305" s="8" t="str">
        <f>IFERROR(__xludf.DUMMYFUNCTION("googletranslate(D9305,""id"",""en"")"),"Society of people running emergency PPKM and health protocols and willingness to participate in Vaccination CVD19, is a reflection of the state of the country in the pandemic period. - ~ Agree ... this is really ... obey the prokes and in vaccines: //")</f>
        <v>Society of people running emergency PPKM and health protocols and willingness to participate in Vaccination CVD19, is a reflection of the state of the country in the pandemic period. - ~ Agree ... this is really ... obey the prokes and in vaccines: //</v>
      </c>
    </row>
    <row r="9306" ht="15.75" customHeight="1">
      <c r="A9306" s="2">
        <v>9465.0</v>
      </c>
      <c r="B9306" s="5" t="s">
        <v>16946</v>
      </c>
      <c r="C9306" s="6">
        <v>1.0</v>
      </c>
      <c r="D9306" s="7" t="s">
        <v>16947</v>
      </c>
      <c r="E9306" s="8" t="str">
        <f>IFERROR(__xludf.DUMMYFUNCTION("googletranslate(D9306,""id"",""en"")"),"Micahel is indeed an advanced lecture in America. Live in America now. Where's the problem of Michael accompany? Which problem is the Jokowi Minister, like Lutfi, Bahlil, Opung Luhut, what is Monoarfa, do you go there?")</f>
        <v>Micahel is indeed an advanced lecture in America. Live in America now. Where's the problem of Michael accompany? Which problem is the Jokowi Minister, like Lutfi, Bahlil, Opung Luhut, what is Monoarfa, do you go there?</v>
      </c>
    </row>
    <row r="9307" ht="15.75" customHeight="1">
      <c r="A9307" s="2">
        <v>9466.0</v>
      </c>
      <c r="B9307" s="5" t="s">
        <v>16948</v>
      </c>
      <c r="C9307" s="6">
        <v>1.0</v>
      </c>
      <c r="D9307" s="9" t="s">
        <v>16949</v>
      </c>
      <c r="E9307" s="8" t="str">
        <f>IFERROR(__xludf.DUMMYFUNCTION("googletranslate(D9307,""id"",""en"")"),"The residents' compliance variable will be proced with Mas .. I just don't believe that the case goes down because of this government-style Emergency PPKM. But this is Mas: essentially I clearly support a good lockdown policy. If lockdown half2 kyk indone"&amp;"sia, just go off, the risk of the victim will be smakinnyk")</f>
        <v>The residents' compliance variable will be proced with Mas .. I just don't believe that the case goes down because of this government-style Emergency PPKM. But this is Mas: essentially I clearly support a good lockdown policy. If lockdown half2 kyk indonesia, just go off, the risk of the victim will be smakinnyk</v>
      </c>
    </row>
    <row r="9308" ht="15.75" customHeight="1">
      <c r="A9308" s="2">
        <v>9467.0</v>
      </c>
      <c r="B9308" s="5" t="s">
        <v>16950</v>
      </c>
      <c r="C9308" s="6">
        <v>1.0</v>
      </c>
      <c r="D9308" s="9" t="s">
        <v>16951</v>
      </c>
      <c r="E9308" s="8" t="str">
        <f>IFERROR(__xludf.DUMMYFUNCTION("googletranslate(D9308,""id"",""en"")"),"My friend this afternoon will be arrived at SMG, then I forgot to buy the numbers of the cesspitations, whose number is still bejibun because he will work at SMG, buy this DMN, LG PPKM is closed all")</f>
        <v>My friend this afternoon will be arrived at SMG, then I forgot to buy the numbers of the cesspitations, whose number is still bejibun because he will work at SMG, buy this DMN, LG PPKM is closed all</v>
      </c>
    </row>
    <row r="9309" ht="15.75" customHeight="1">
      <c r="A9309" s="2">
        <v>9468.0</v>
      </c>
      <c r="B9309" s="5" t="s">
        <v>16952</v>
      </c>
      <c r="C9309" s="6">
        <v>1.0</v>
      </c>
      <c r="D9309" s="9" t="s">
        <v>16953</v>
      </c>
      <c r="E9309" s="8" t="str">
        <f>IFERROR(__xludf.DUMMYFUNCTION("googletranslate(D9309,""id"",""en"")"),"Just suppose the PPKM is the past ... just throw it in the trash can")</f>
        <v>Just suppose the PPKM is the past ... just throw it in the trash can</v>
      </c>
    </row>
    <row r="9310" ht="15.75" customHeight="1">
      <c r="A9310" s="2">
        <v>9469.0</v>
      </c>
      <c r="B9310" s="5" t="s">
        <v>16954</v>
      </c>
      <c r="C9310" s="6">
        <v>1.0</v>
      </c>
      <c r="D9310" s="7" t="s">
        <v>16955</v>
      </c>
      <c r="E9310" s="8" t="str">
        <f>IFERROR(__xludf.DUMMYFUNCTION("googletranslate(D9310,""id"",""en"")"),"But you don't know it's hard to find eating at this PPKM time")</f>
        <v>But you don't know it's hard to find eating at this PPKM time</v>
      </c>
    </row>
    <row r="9311" ht="15.75" customHeight="1">
      <c r="A9311" s="2">
        <v>9470.0</v>
      </c>
      <c r="B9311" s="5" t="s">
        <v>16956</v>
      </c>
      <c r="C9311" s="6">
        <v>2.0</v>
      </c>
      <c r="D9311" s="7" t="s">
        <v>16957</v>
      </c>
      <c r="E9311" s="8" t="str">
        <f>IFERROR(__xludf.DUMMYFUNCTION("googletranslate(D9311,""id"",""en"")"),"Be patient, kid after the PPKM AK pick up")</f>
        <v>Be patient, kid after the PPKM AK pick up</v>
      </c>
    </row>
    <row r="9312" ht="15.75" customHeight="1">
      <c r="A9312" s="2">
        <v>9471.0</v>
      </c>
      <c r="B9312" s="5" t="s">
        <v>16958</v>
      </c>
      <c r="C9312" s="6">
        <v>1.0</v>
      </c>
      <c r="D9312" s="9" t="s">
        <v>16959</v>
      </c>
      <c r="E9312" s="8" t="str">
        <f>IFERROR(__xludf.DUMMYFUNCTION("googletranslate(D9312,""id"",""en"")"),"Who doesn't understand the term ppkm ... maybe in the Perception of WHO PPKM: ""Plongo Plongo when backwards""")</f>
        <v>Who doesn't understand the term ppkm ... maybe in the Perception of WHO PPKM: "Plongo Plongo when backwards"</v>
      </c>
    </row>
    <row r="9313" ht="15.75" customHeight="1">
      <c r="A9313" s="2">
        <v>9472.0</v>
      </c>
      <c r="B9313" s="5" t="s">
        <v>16960</v>
      </c>
      <c r="C9313" s="6">
        <v>1.0</v>
      </c>
      <c r="D9313" s="7" t="s">
        <v>16961</v>
      </c>
      <c r="E9313" s="8" t="str">
        <f>IFERROR(__xludf.DUMMYFUNCTION("googletranslate(D9313,""id"",""en"")"),"PCR Test Mahal Mbahhh Kung. Want to eat it difficult for PPKM truss.")</f>
        <v>PCR Test Mahal Mbahhh Kung. Want to eat it difficult for PPKM truss.</v>
      </c>
    </row>
    <row r="9314" ht="15.75" customHeight="1">
      <c r="A9314" s="2">
        <v>9473.0</v>
      </c>
      <c r="B9314" s="5" t="s">
        <v>16962</v>
      </c>
      <c r="C9314" s="6">
        <v>2.0</v>
      </c>
      <c r="D9314" s="7" t="s">
        <v>16963</v>
      </c>
      <c r="E9314" s="8" t="str">
        <f>IFERROR(__xludf.DUMMYFUNCTION("googletranslate(D9314,""id"",""en"")"),"PPKM continued to wkwkwk")</f>
        <v>PPKM continued to wkwkwk</v>
      </c>
    </row>
    <row r="9315" ht="15.75" customHeight="1">
      <c r="A9315" s="2">
        <v>9474.0</v>
      </c>
      <c r="B9315" s="5" t="s">
        <v>16964</v>
      </c>
      <c r="C9315" s="6">
        <v>2.0</v>
      </c>
      <c r="D9315" s="7" t="s">
        <v>16965</v>
      </c>
      <c r="E9315" s="8" t="str">
        <f>IFERROR(__xludf.DUMMYFUNCTION("googletranslate(D9315,""id"",""en"")"),"Avenger again ate together when PPKM. Must call Tanos to break up.")</f>
        <v>Avenger again ate together when PPKM. Must call Tanos to break up.</v>
      </c>
    </row>
    <row r="9316" ht="15.75" customHeight="1">
      <c r="A9316" s="2">
        <v>9475.0</v>
      </c>
      <c r="B9316" s="5" t="s">
        <v>16966</v>
      </c>
      <c r="C9316" s="6">
        <v>1.0</v>
      </c>
      <c r="D9316" s="9" t="s">
        <v>16967</v>
      </c>
      <c r="E9316" s="8" t="str">
        <f>IFERROR(__xludf.DUMMYFUNCTION("googletranslate(D9316,""id"",""en"")"),"The economic impact of quarantine or total lockdown with PPKM is the same. Only the process is increasingly fast or later, the economic crisis. The paralyzed community service. The bankrupt one by one, later the need can be rare and difficult, the factory"&amp;" stops production, the store stop selling ??")</f>
        <v>The economic impact of quarantine or total lockdown with PPKM is the same. Only the process is increasingly fast or later, the economic crisis. The paralyzed community service. The bankrupt one by one, later the need can be rare and difficult, the factory stops production, the store stop selling ??</v>
      </c>
    </row>
    <row r="9317" ht="15.75" customHeight="1">
      <c r="A9317" s="2">
        <v>9476.0</v>
      </c>
      <c r="B9317" s="5" t="s">
        <v>16968</v>
      </c>
      <c r="C9317" s="6">
        <v>1.0</v>
      </c>
      <c r="D9317" s="7" t="s">
        <v>16969</v>
      </c>
      <c r="E9317" s="8" t="str">
        <f>IFERROR(__xludf.DUMMYFUNCTION("googletranslate(D9317,""id"",""en"")"),"PPKM is complete? When is Corona finish? Year of learning online is not even more stupid.")</f>
        <v>PPKM is complete? When is Corona finish? Year of learning online is not even more stupid.</v>
      </c>
    </row>
    <row r="9318" ht="15.75" customHeight="1">
      <c r="A9318" s="2">
        <v>9477.0</v>
      </c>
      <c r="B9318" s="5" t="s">
        <v>16970</v>
      </c>
      <c r="C9318" s="6">
        <v>3.0</v>
      </c>
      <c r="D9318" s="7" t="s">
        <v>16971</v>
      </c>
      <c r="E9318" s="8" t="str">
        <f>IFERROR(__xludf.DUMMYFUNCTION("googletranslate(D9318,""id"",""en"")"),"Hopefully the Covid Hurricane will end soon, and can terminate the spread of its spread, the PPKM Level that was launched by the government DAPT encountered maximum results.")</f>
        <v>Hopefully the Covid Hurricane will end soon, and can terminate the spread of its spread, the PPKM Level that was launched by the government DAPT encountered maximum results.</v>
      </c>
    </row>
    <row r="9319" ht="15.75" customHeight="1">
      <c r="A9319" s="2">
        <v>9478.0</v>
      </c>
      <c r="B9319" s="5" t="s">
        <v>16972</v>
      </c>
      <c r="C9319" s="6">
        <v>1.0</v>
      </c>
      <c r="D9319" s="9" t="s">
        <v>16972</v>
      </c>
      <c r="E9319" s="8" t="str">
        <f>IFERROR(__xludf.DUMMYFUNCTION("googletranslate(D9319,""id"",""en"")"),"The IMPLEMENTATION PPKM is done, especially a difficulty for interested citizens. Imagine a lot of commotion and debate, even forced dissolution. For whatever the government structure from the president to the village / village even the level of RT and RW"&amp;". Empower.")</f>
        <v>The IMPLEMENTATION PPKM is done, especially a difficulty for interested citizens. Imagine a lot of commotion and debate, even forced dissolution. For whatever the government structure from the president to the village / village even the level of RT and RW. Empower.</v>
      </c>
    </row>
    <row r="9320" ht="15.75" customHeight="1">
      <c r="A9320" s="2">
        <v>9479.0</v>
      </c>
      <c r="B9320" s="5" t="s">
        <v>16973</v>
      </c>
      <c r="C9320" s="6">
        <v>2.0</v>
      </c>
      <c r="D9320" s="7" t="s">
        <v>16974</v>
      </c>
      <c r="E9320" s="8" t="str">
        <f>IFERROR(__xludf.DUMMYFUNCTION("googletranslate(D9320,""id"",""en"")"),"still ppkm kak, pretending to miss the ex")</f>
        <v>still ppkm kak, pretending to miss the ex</v>
      </c>
    </row>
    <row r="9321" ht="15.75" customHeight="1">
      <c r="A9321" s="2">
        <v>9480.0</v>
      </c>
      <c r="B9321" s="5" t="s">
        <v>16975</v>
      </c>
      <c r="C9321" s="6">
        <v>2.0</v>
      </c>
      <c r="D9321" s="7" t="s">
        <v>16976</v>
      </c>
      <c r="E9321" s="8" t="str">
        <f>IFERROR(__xludf.DUMMYFUNCTION("googletranslate(D9321,""id"",""en"")"),"Instead of hanging out, bro, again PPKM like this too, yes, it's better to cook, exciting, you can eat good food, gmn sieee")</f>
        <v>Instead of hanging out, bro, again PPKM like this too, yes, it's better to cook, exciting, you can eat good food, gmn sieee</v>
      </c>
    </row>
    <row r="9322" ht="15.75" customHeight="1">
      <c r="A9322" s="2">
        <v>9481.0</v>
      </c>
      <c r="B9322" s="5" t="s">
        <v>16977</v>
      </c>
      <c r="C9322" s="6">
        <v>2.0</v>
      </c>
      <c r="D9322" s="9" t="s">
        <v>16978</v>
      </c>
      <c r="E9322" s="8" t="str">
        <f>IFERROR(__xludf.DUMMYFUNCTION("googletranslate(D9322,""id"",""en"")"),"It's good if it can get kebo gather while ppkm gini, wfh while working")</f>
        <v>It's good if it can get kebo gather while ppkm gini, wfh while working</v>
      </c>
    </row>
    <row r="9323" ht="15.75" customHeight="1">
      <c r="A9323" s="2">
        <v>9482.0</v>
      </c>
      <c r="B9323" s="5" t="s">
        <v>16979</v>
      </c>
      <c r="C9323" s="6">
        <v>1.0</v>
      </c>
      <c r="D9323" s="7" t="s">
        <v>16980</v>
      </c>
      <c r="E9323" s="8" t="str">
        <f>IFERROR(__xludf.DUMMYFUNCTION("googletranslate(D9323,""id"",""en"")"),"Already covid ppkm too ... it's stressful it's dead ...")</f>
        <v>Already covid ppkm too ... it's stressful it's dead ...</v>
      </c>
    </row>
    <row r="9324" ht="15.75" customHeight="1">
      <c r="A9324" s="2">
        <v>9483.0</v>
      </c>
      <c r="B9324" s="5" t="s">
        <v>16981</v>
      </c>
      <c r="C9324" s="6">
        <v>2.0</v>
      </c>
      <c r="D9324" s="7" t="s">
        <v>16982</v>
      </c>
      <c r="E9324" s="8" t="str">
        <f>IFERROR(__xludf.DUMMYFUNCTION("googletranslate(D9324,""id"",""en"")"),"after a cpkm so many days, smoke taichan a week x so it's not a bad blessing?")</f>
        <v>after a cpkm so many days, smoke taichan a week x so it's not a bad blessing?</v>
      </c>
    </row>
    <row r="9325" ht="15.75" customHeight="1">
      <c r="A9325" s="2">
        <v>9484.0</v>
      </c>
      <c r="B9325" s="5" t="s">
        <v>16983</v>
      </c>
      <c r="C9325" s="6">
        <v>1.0</v>
      </c>
      <c r="D9325" s="7" t="s">
        <v>16984</v>
      </c>
      <c r="E9325" s="8" t="str">
        <f>IFERROR(__xludf.DUMMYFUNCTION("googletranslate(D9325,""id"",""en"")"),"Sy Surabaya dock, &amp; amp; The PPKM effect only feels to workers, not to the behavior of the community. Jd is not surprising that SBY has a terrible potential.")</f>
        <v>Sy Surabaya dock, &amp; amp; The PPKM effect only feels to workers, not to the behavior of the community. Jd is not surprising that SBY has a terrible potential.</v>
      </c>
    </row>
    <row r="9326" ht="15.75" customHeight="1">
      <c r="A9326" s="2">
        <v>9485.0</v>
      </c>
      <c r="B9326" s="5" t="s">
        <v>16985</v>
      </c>
      <c r="C9326" s="6">
        <v>1.0</v>
      </c>
      <c r="D9326" s="9" t="s">
        <v>16986</v>
      </c>
      <c r="E9326" s="8" t="str">
        <f>IFERROR(__xludf.DUMMYFUNCTION("googletranslate(D9326,""id"",""en"")"),"PPKM makes ... Add people cry and too much sorrow in our hearts")</f>
        <v>PPKM makes ... Add people cry and too much sorrow in our hearts</v>
      </c>
    </row>
    <row r="9327" ht="15.75" customHeight="1">
      <c r="A9327" s="2">
        <v>9486.0</v>
      </c>
      <c r="B9327" s="5" t="s">
        <v>16987</v>
      </c>
      <c r="C9327" s="6">
        <v>2.0</v>
      </c>
      <c r="D9327" s="10" t="s">
        <v>16988</v>
      </c>
      <c r="E9327" s="8" t="str">
        <f>IFERROR(__xludf.DUMMYFUNCTION("googletranslate(D9327,""id"",""en"")"),"PPKM Tah Mas.")</f>
        <v>PPKM Tah Mas.</v>
      </c>
    </row>
    <row r="9328" ht="15.75" customHeight="1">
      <c r="A9328" s="2">
        <v>9487.0</v>
      </c>
      <c r="B9328" s="5" t="s">
        <v>16989</v>
      </c>
      <c r="C9328" s="6">
        <v>3.0</v>
      </c>
      <c r="D9328" s="7" t="s">
        <v>16990</v>
      </c>
      <c r="E9328" s="8" t="str">
        <f>IFERROR(__xludf.DUMMYFUNCTION("googletranslate(D9328,""id"",""en"")"),"Come on, help each other, care about each other, share it on what you need. PPKM has to reduce the speed of the virus. Let's help the government pressure the virus by obeying PPKM")</f>
        <v>Come on, help each other, care about each other, share it on what you need. PPKM has to reduce the speed of the virus. Let's help the government pressure the virus by obeying PPKM</v>
      </c>
    </row>
    <row r="9329" ht="15.75" customHeight="1">
      <c r="A9329" s="2">
        <v>9488.0</v>
      </c>
      <c r="B9329" s="5" t="s">
        <v>16991</v>
      </c>
      <c r="C9329" s="6">
        <v>3.0</v>
      </c>
      <c r="D9329" s="7" t="s">
        <v>16992</v>
      </c>
      <c r="E9329" s="8" t="str">
        <f>IFERROR(__xludf.DUMMYFUNCTION("googletranslate(D9329,""id"",""en"")"),"Already kak ... hopefully the Corona BS is pressed with this PPKM")</f>
        <v>Already kak ... hopefully the Corona BS is pressed with this PPKM</v>
      </c>
    </row>
    <row r="9330" ht="15.75" customHeight="1">
      <c r="A9330" s="2">
        <v>9489.0</v>
      </c>
      <c r="B9330" s="5" t="s">
        <v>16993</v>
      </c>
      <c r="C9330" s="6">
        <v>2.0</v>
      </c>
      <c r="D9330" s="7" t="s">
        <v>16994</v>
      </c>
      <c r="E9330" s="8" t="str">
        <f>IFERROR(__xludf.DUMMYFUNCTION("googletranslate(D9330,""id"",""en"")"),"PPKM Level $ Number $, Tomorrow Spicy Level Nampol.")</f>
        <v>PPKM Level $ Number $, Tomorrow Spicy Level Nampol.</v>
      </c>
    </row>
    <row r="9331" ht="15.75" customHeight="1">
      <c r="A9331" s="2">
        <v>9490.0</v>
      </c>
      <c r="B9331" s="5" t="s">
        <v>16995</v>
      </c>
      <c r="C9331" s="6">
        <v>2.0</v>
      </c>
      <c r="D9331" s="10" t="s">
        <v>16996</v>
      </c>
      <c r="E9331" s="8" t="str">
        <f>IFERROR(__xludf.DUMMYFUNCTION("googletranslate(D9331,""id"",""en"")"),"Ppkm bang.")</f>
        <v>Ppkm bang.</v>
      </c>
    </row>
    <row r="9332" ht="15.75" customHeight="1">
      <c r="A9332" s="2">
        <v>9491.0</v>
      </c>
      <c r="B9332" s="5" t="s">
        <v>16997</v>
      </c>
      <c r="C9332" s="6">
        <v>1.0</v>
      </c>
      <c r="D9332" s="7" t="s">
        <v>16998</v>
      </c>
      <c r="E9332" s="8" t="str">
        <f>IFERROR(__xludf.DUMMYFUNCTION("googletranslate(D9332,""id"",""en"")"),"Mr. also doesn't know the difficulty of the poor looking for money to eat everyday because of this PPKM policy. The state should bear the economy of the poor during the PPKM. So please stop acting like just a dizzy father")</f>
        <v>Mr. also doesn't know the difficulty of the poor looking for money to eat everyday because of this PPKM policy. The state should bear the economy of the poor during the PPKM. So please stop acting like just a dizzy father</v>
      </c>
    </row>
    <row r="9333" ht="15.75" customHeight="1">
      <c r="A9333" s="2">
        <v>9492.0</v>
      </c>
      <c r="B9333" s="5" t="s">
        <v>16999</v>
      </c>
      <c r="C9333" s="6">
        <v>2.0</v>
      </c>
      <c r="D9333" s="7" t="s">
        <v>16999</v>
      </c>
      <c r="E9333" s="8" t="str">
        <f>IFERROR(__xludf.DUMMYFUNCTION("googletranslate(D9333,""id"",""en"")"),"Do you think PPKM will be extended again or not?")</f>
        <v>Do you think PPKM will be extended again or not?</v>
      </c>
    </row>
    <row r="9334" ht="15.75" customHeight="1">
      <c r="A9334" s="2">
        <v>9493.0</v>
      </c>
      <c r="B9334" s="5" t="s">
        <v>17000</v>
      </c>
      <c r="C9334" s="6">
        <v>1.0</v>
      </c>
      <c r="D9334" s="9" t="s">
        <v>17001</v>
      </c>
      <c r="E9334" s="8" t="str">
        <f>IFERROR(__xludf.DUMMYFUNCTION("googletranslate(D9334,""id"",""en"")"),"Want to be dilockdown or skrg dilockdown (emergency ppkm) just the same for lo2 pade must be broken again. Because the purpose of Lo2 on the riots is not helping. BTW loses x the presidential election is still the pain still feels yes right.")</f>
        <v>Want to be dilockdown or skrg dilockdown (emergency ppkm) just the same for lo2 pade must be broken again. Because the purpose of Lo2 on the riots is not helping. BTW loses x the presidential election is still the pain still feels yes right.</v>
      </c>
    </row>
    <row r="9335" ht="15.75" customHeight="1">
      <c r="A9335" s="2">
        <v>9494.0</v>
      </c>
      <c r="B9335" s="5" t="s">
        <v>17002</v>
      </c>
      <c r="C9335" s="6">
        <v>3.0</v>
      </c>
      <c r="D9335" s="7" t="s">
        <v>17003</v>
      </c>
      <c r="E9335" s="8" t="str">
        <f>IFERROR(__xludf.DUMMYFUNCTION("googletranslate(D9335,""id"",""en"")"),"Listen to so why should we obey the health protocol, and help the government in handling pandemics by means of emergency PPKM")</f>
        <v>Listen to so why should we obey the health protocol, and help the government in handling pandemics by means of emergency PPKM</v>
      </c>
    </row>
    <row r="9336" ht="15.75" customHeight="1">
      <c r="A9336" s="2">
        <v>9495.0</v>
      </c>
      <c r="B9336" s="5" t="s">
        <v>17004</v>
      </c>
      <c r="C9336" s="6">
        <v>2.0</v>
      </c>
      <c r="D9336" s="7" t="s">
        <v>17005</v>
      </c>
      <c r="E9336" s="8" t="str">
        <f>IFERROR(__xludf.DUMMYFUNCTION("googletranslate(D9336,""id"",""en"")"),"Semarang Gak PPKM to NDER")</f>
        <v>Semarang Gak PPKM to NDER</v>
      </c>
    </row>
    <row r="9337" ht="15.75" customHeight="1">
      <c r="A9337" s="2">
        <v>9496.0</v>
      </c>
      <c r="B9337" s="5" t="s">
        <v>17006</v>
      </c>
      <c r="C9337" s="6">
        <v>2.0</v>
      </c>
      <c r="D9337" s="7" t="s">
        <v>17007</v>
      </c>
      <c r="E9337" s="8" t="str">
        <f>IFERROR(__xludf.DUMMYFUNCTION("googletranslate(D9337,""id"",""en"")"),"Here's a girl's chat for your cow based on the PPKM level. ""Dear anything?"" : PPKM Level ""What's Again?"" : PPKM Level ""ping"": PPKM Level ""Oh"": Lockdown!")</f>
        <v>Here's a girl's chat for your cow based on the PPKM level. "Dear anything?" : PPKM Level "What's Again?" : PPKM Level "ping": PPKM Level "Oh": Lockdown!</v>
      </c>
    </row>
    <row r="9338" ht="15.75" customHeight="1">
      <c r="A9338" s="2">
        <v>9497.0</v>
      </c>
      <c r="B9338" s="5" t="s">
        <v>17008</v>
      </c>
      <c r="C9338" s="6">
        <v>1.0</v>
      </c>
      <c r="D9338" s="9" t="s">
        <v>17009</v>
      </c>
      <c r="E9338" s="8" t="str">
        <f>IFERROR(__xludf.DUMMYFUNCTION("googletranslate(D9338,""id"",""en"")"),"This is okay for the people ... out of the house may not ... automatically don't make a living ... does the people don't need to do? And the country can't fulfill food ... even there is a minister when this ppkm ... it's easy to watch the soap opera..tdka"&amp;"h sure he will heab akherat? Or did he believe it?")</f>
        <v>This is okay for the people ... out of the house may not ... automatically don't make a living ... does the people don't need to do? And the country can't fulfill food ... even there is a minister when this ppkm ... it's easy to watch the soap opera..tdkah sure he will heab akherat? Or did he believe it?</v>
      </c>
    </row>
    <row r="9339" ht="15.75" customHeight="1">
      <c r="A9339" s="2">
        <v>9498.0</v>
      </c>
      <c r="B9339" s="5" t="s">
        <v>17010</v>
      </c>
      <c r="C9339" s="6">
        <v>2.0</v>
      </c>
      <c r="D9339" s="7" t="s">
        <v>5620</v>
      </c>
      <c r="E9339" s="8" t="str">
        <f>IFERROR(__xludf.DUMMYFUNCTION("googletranslate(D9339,""id"",""en"")"),"ppkm when finished")</f>
        <v>ppkm when finished</v>
      </c>
    </row>
    <row r="9340" ht="15.75" customHeight="1">
      <c r="A9340" s="2">
        <v>9499.0</v>
      </c>
      <c r="B9340" s="5" t="s">
        <v>17011</v>
      </c>
      <c r="C9340" s="6">
        <v>2.0</v>
      </c>
      <c r="D9340" s="10" t="s">
        <v>17012</v>
      </c>
      <c r="E9340" s="8" t="str">
        <f>IFERROR(__xludf.DUMMYFUNCTION("googletranslate(D9340,""id"",""en"")"),"PPKM Close Yes")</f>
        <v>PPKM Close Yes</v>
      </c>
    </row>
    <row r="9341" ht="15.75" customHeight="1">
      <c r="A9341" s="2">
        <v>9500.0</v>
      </c>
      <c r="B9341" s="5" t="s">
        <v>17013</v>
      </c>
      <c r="C9341" s="6">
        <v>1.0</v>
      </c>
      <c r="D9341" s="9" t="s">
        <v>17014</v>
      </c>
      <c r="E9341" s="8" t="str">
        <f>IFERROR(__xludf.DUMMYFUNCTION("googletranslate(D9341,""id"",""en"")"),"PPKM only leaves misery of small people, o'clock, kick and jd prison everyday food like HDP in the colonial colonial era HRS is immediately changed to punishment ppkm violators Don't blame the people if it's an anti-PPKM demo")</f>
        <v>PPKM only leaves misery of small people, o'clock, kick and jd prison everyday food like HDP in the colonial colonial era HRS is immediately changed to punishment ppkm violators Don't blame the people if it's an anti-PPKM demo</v>
      </c>
    </row>
    <row r="9342" ht="15.75" customHeight="1">
      <c r="A9342" s="2">
        <v>9501.0</v>
      </c>
      <c r="B9342" s="5" t="s">
        <v>17015</v>
      </c>
      <c r="C9342" s="6">
        <v>2.0</v>
      </c>
      <c r="D9342" s="7" t="s">
        <v>17016</v>
      </c>
      <c r="E9342" s="8" t="str">
        <f>IFERROR(__xludf.DUMMYFUNCTION("googletranslate(D9342,""id"",""en"")"),"Mari Mas Jojo After PPKM")</f>
        <v>Mari Mas Jojo After PPKM</v>
      </c>
    </row>
    <row r="9343" ht="15.75" customHeight="1">
      <c r="A9343" s="2">
        <v>9502.0</v>
      </c>
      <c r="B9343" s="5" t="s">
        <v>17017</v>
      </c>
      <c r="C9343" s="6">
        <v>1.0</v>
      </c>
      <c r="D9343" s="9" t="s">
        <v>17018</v>
      </c>
      <c r="E9343" s="8" t="str">
        <f>IFERROR(__xludf.DUMMYFUNCTION("googletranslate(D9343,""id"",""en"")"),"He said he had to keep the distance and obey PPKM. Then why was a large number of large amounts it was allowed")</f>
        <v>He said he had to keep the distance and obey PPKM. Then why was a large number of large amounts it was allowed</v>
      </c>
    </row>
    <row r="9344" ht="15.75" customHeight="1">
      <c r="A9344" s="2">
        <v>9503.0</v>
      </c>
      <c r="B9344" s="5" t="s">
        <v>17019</v>
      </c>
      <c r="C9344" s="6">
        <v>2.0</v>
      </c>
      <c r="D9344" s="7" t="s">
        <v>17019</v>
      </c>
      <c r="E9344" s="8" t="str">
        <f>IFERROR(__xludf.DUMMYFUNCTION("googletranslate(D9344,""id"",""en"")"),"Like PPKM without PP")</f>
        <v>Like PPKM without PP</v>
      </c>
    </row>
    <row r="9345" ht="15.75" customHeight="1">
      <c r="A9345" s="2">
        <v>9504.0</v>
      </c>
      <c r="B9345" s="5" t="s">
        <v>17020</v>
      </c>
      <c r="C9345" s="6">
        <v>2.0</v>
      </c>
      <c r="D9345" s="7" t="s">
        <v>17021</v>
      </c>
      <c r="E9345" s="8" t="str">
        <f>IFERROR(__xludf.DUMMYFUNCTION("googletranslate(D9345,""id"",""en"")"),"Msh ppkm, blm vaccine also can't get on a plane, hrs pcr also entered bali")</f>
        <v>Msh ppkm, blm vaccine also can't get on a plane, hrs pcr also entered bali</v>
      </c>
    </row>
    <row r="9346" ht="15.75" customHeight="1">
      <c r="A9346" s="2">
        <v>9505.0</v>
      </c>
      <c r="B9346" s="5" t="s">
        <v>17022</v>
      </c>
      <c r="C9346" s="6">
        <v>2.0</v>
      </c>
      <c r="D9346" s="7" t="s">
        <v>17023</v>
      </c>
      <c r="E9346" s="8" t="str">
        <f>IFERROR(__xludf.DUMMYFUNCTION("googletranslate(D9346,""id"",""en"")"),"Kepo Pas PPKM.")</f>
        <v>Kepo Pas PPKM.</v>
      </c>
    </row>
    <row r="9347" ht="15.75" customHeight="1">
      <c r="A9347" s="2">
        <v>9506.0</v>
      </c>
      <c r="B9347" s="5" t="s">
        <v>17024</v>
      </c>
      <c r="C9347" s="6">
        <v>3.0</v>
      </c>
      <c r="D9347" s="7" t="s">
        <v>17025</v>
      </c>
      <c r="E9347" s="8" t="str">
        <f>IFERROR(__xludf.DUMMYFUNCTION("googletranslate(D9347,""id"",""en"")"),"citizens affected by emergency ppkm")</f>
        <v>citizens affected by emergency ppkm</v>
      </c>
    </row>
    <row r="9348" ht="15.75" customHeight="1">
      <c r="A9348" s="2">
        <v>9507.0</v>
      </c>
      <c r="B9348" s="5" t="s">
        <v>17026</v>
      </c>
      <c r="C9348" s="6">
        <v>3.0</v>
      </c>
      <c r="D9348" s="7" t="s">
        <v>17027</v>
      </c>
      <c r="E9348" s="8" t="str">
        <f>IFERROR(__xludf.DUMMYFUNCTION("googletranslate(D9348,""id"",""en"")"),"Masks and vitamins were distributed in Malang, this movement was a concern for residents affected by Emergency PPKM. Deliawan also distributed hundreds of rice wrap and hand sanitizer. Pandemic")</f>
        <v>Masks and vitamins were distributed in Malang, this movement was a concern for residents affected by Emergency PPKM. Deliawan also distributed hundreds of rice wrap and hand sanitizer. Pandemic</v>
      </c>
    </row>
    <row r="9349" ht="15.75" customHeight="1">
      <c r="A9349" s="2">
        <v>9508.0</v>
      </c>
      <c r="B9349" s="5" t="s">
        <v>17028</v>
      </c>
      <c r="C9349" s="6">
        <v>3.0</v>
      </c>
      <c r="D9349" s="7" t="s">
        <v>17029</v>
      </c>
      <c r="E9349" s="8" t="str">
        <f>IFERROR(__xludf.DUMMYFUNCTION("googletranslate(D9349,""id"",""en"")"),"Government policy by imposing emergency PPKM is an effort to suppress transmission, certainly affect the community, it is true that the government also gave social assistance. Let's Mari.")</f>
        <v>Government policy by imposing emergency PPKM is an effort to suppress transmission, certainly affect the community, it is true that the government also gave social assistance. Let's Mari.</v>
      </c>
    </row>
    <row r="9350" ht="15.75" customHeight="1">
      <c r="A9350" s="2">
        <v>9509.0</v>
      </c>
      <c r="B9350" s="5" t="s">
        <v>17030</v>
      </c>
      <c r="C9350" s="6">
        <v>1.0</v>
      </c>
      <c r="D9350" s="9" t="s">
        <v>17031</v>
      </c>
      <c r="E9350" s="8" t="str">
        <f>IFERROR(__xludf.DUMMYFUNCTION("googletranslate(D9350,""id"",""en"")"),"The end ""is tired, all complicated, or don't work from where. Want to tell people, also most get patient. Want to be embraced, trs crying out"". tired. Plus PPKM. Stress at home. And every problem, always run away. always calihs the same thing")</f>
        <v>The end "is tired, all complicated, or don't work from where. Want to tell people, also most get patient. Want to be embraced, trs crying out". tired. Plus PPKM. Stress at home. And every problem, always run away. always calihs the same thing</v>
      </c>
    </row>
    <row r="9351" ht="15.75" customHeight="1">
      <c r="A9351" s="2">
        <v>9516.0</v>
      </c>
      <c r="B9351" s="5" t="s">
        <v>17032</v>
      </c>
      <c r="C9351" s="6">
        <v>2.0</v>
      </c>
      <c r="D9351" s="7" t="s">
        <v>17033</v>
      </c>
      <c r="E9351" s="8" t="str">
        <f>IFERROR(__xludf.DUMMYFUNCTION("googletranslate(D9351,""id"",""en"")"),"Yeah ... what ppkm effect is ""I have to onlen")</f>
        <v>Yeah ... what ppkm effect is "I have to onlen</v>
      </c>
    </row>
    <row r="9352" ht="15.75" customHeight="1">
      <c r="A9352" s="2">
        <v>9518.0</v>
      </c>
      <c r="B9352" s="5" t="s">
        <v>6476</v>
      </c>
      <c r="C9352" s="6">
        <v>2.0</v>
      </c>
      <c r="D9352" s="7" t="s">
        <v>6477</v>
      </c>
      <c r="E9352" s="8" t="str">
        <f>IFERROR(__xludf.DUMMYFUNCTION("googletranslate(D9352,""id"",""en"")"),"I can't use the mother lgi ppkm")</f>
        <v>I can't use the mother lgi ppkm</v>
      </c>
    </row>
    <row r="9353" ht="15.75" customHeight="1">
      <c r="A9353" s="2">
        <v>9519.0</v>
      </c>
      <c r="B9353" s="5" t="s">
        <v>6478</v>
      </c>
      <c r="C9353" s="6">
        <v>2.0</v>
      </c>
      <c r="D9353" s="7" t="s">
        <v>6479</v>
      </c>
      <c r="E9353" s="8" t="str">
        <f>IFERROR(__xludf.DUMMYFUNCTION("googletranslate(D9353,""id"",""en"")"),"Patience in, Aaini Msh PPKM. Ntar Ntar LG Covid Task Force")</f>
        <v>Patience in, Aaini Msh PPKM. Ntar Ntar LG Covid Task Force</v>
      </c>
    </row>
    <row r="9354" ht="15.75" customHeight="1">
      <c r="A9354" s="2">
        <v>9520.0</v>
      </c>
      <c r="B9354" s="5" t="s">
        <v>17034</v>
      </c>
      <c r="C9354" s="6">
        <v>2.0</v>
      </c>
      <c r="D9354" s="7" t="s">
        <v>17035</v>
      </c>
      <c r="E9354" s="8" t="str">
        <f>IFERROR(__xludf.DUMMYFUNCTION("googletranslate(D9354,""id"",""en"")"),"What are you extended again?")</f>
        <v>What are you extended again?</v>
      </c>
    </row>
    <row r="9355" ht="15.75" customHeight="1">
      <c r="A9355" s="2">
        <v>9521.0</v>
      </c>
      <c r="B9355" s="5" t="s">
        <v>17036</v>
      </c>
      <c r="C9355" s="6">
        <v>2.0</v>
      </c>
      <c r="D9355" s="9" t="s">
        <v>17037</v>
      </c>
      <c r="E9355" s="8" t="str">
        <f>IFERROR(__xludf.DUMMYFUNCTION("googletranslate(D9355,""id"",""en"")"),"What is really really ya..ppkm outside Java Bali extended until August ... ???")</f>
        <v>What is really really ya..ppkm outside Java Bali extended until August ... ???</v>
      </c>
    </row>
    <row r="9356" ht="15.75" customHeight="1">
      <c r="A9356" s="2">
        <v>9522.0</v>
      </c>
      <c r="B9356" s="5" t="s">
        <v>17038</v>
      </c>
      <c r="C9356" s="6">
        <v>3.0</v>
      </c>
      <c r="D9356" s="7" t="s">
        <v>17039</v>
      </c>
      <c r="E9356" s="8" t="str">
        <f>IFERROR(__xludf.DUMMYFUNCTION("googletranslate(D9356,""id"",""en"")"),"Let's help the government in dealing with Covid-19 pandemic by obeying the PPKM rules and running Prokes M.Semesta supporting Jokowi")</f>
        <v>Let's help the government in dealing with Covid-19 pandemic by obeying the PPKM rules and running Prokes M.Semesta supporting Jokowi</v>
      </c>
    </row>
    <row r="9357" ht="15.75" customHeight="1">
      <c r="A9357" s="2">
        <v>9523.0</v>
      </c>
      <c r="B9357" s="5" t="s">
        <v>17040</v>
      </c>
      <c r="C9357" s="6">
        <v>1.0</v>
      </c>
      <c r="D9357" s="9" t="s">
        <v>17041</v>
      </c>
      <c r="E9357" s="8" t="str">
        <f>IFERROR(__xludf.DUMMYFUNCTION("googletranslate(D9357,""id"",""en"")"),"Nerima Tourists China When a surge in Chinese cases is high, PSBB, tourism promotions, Nerima Indian tourists when Delta variants are fierce in India, and the PPKM is a scientific method of economists What is the health person? Epidemiologists are heard?")</f>
        <v>Nerima Tourists China When a surge in Chinese cases is high, PSBB, tourism promotions, Nerima Indian tourists when Delta variants are fierce in India, and the PPKM is a scientific method of economists What is the health person? Epidemiologists are heard?</v>
      </c>
    </row>
    <row r="9358" ht="15.75" customHeight="1">
      <c r="A9358" s="2">
        <v>9524.0</v>
      </c>
      <c r="B9358" s="5" t="s">
        <v>17042</v>
      </c>
      <c r="C9358" s="6">
        <v>3.0</v>
      </c>
      <c r="D9358" s="7" t="s">
        <v>17043</v>
      </c>
      <c r="E9358" s="8" t="str">
        <f>IFERROR(__xludf.DUMMYFUNCTION("googletranslate(D9358,""id"",""en"")"),"Want whatever the name is when the implementation is in accordance with the applicable law, the government should have to do. PPKM PSBB PPKM Emergency PPKM The purpose of its goal is the quarantine of the area just the same. Not his textual understanding "&amp;"but his goal.")</f>
        <v>Want whatever the name is when the implementation is in accordance with the applicable law, the government should have to do. PPKM PSBB PPKM Emergency PPKM The purpose of its goal is the quarantine of the area just the same. Not his textual understanding but his goal.</v>
      </c>
    </row>
    <row r="9359" ht="15.75" customHeight="1">
      <c r="A9359" s="2">
        <v>9525.0</v>
      </c>
      <c r="B9359" s="5" t="s">
        <v>17044</v>
      </c>
      <c r="C9359" s="6">
        <v>2.0</v>
      </c>
      <c r="D9359" s="9" t="s">
        <v>17045</v>
      </c>
      <c r="E9359" s="8" t="str">
        <f>IFERROR(__xludf.DUMMYFUNCTION("googletranslate(D9359,""id"",""en"")"),"I sempet thought yesterday yesterday when I was right, where else ppkm was definitely quiet, but it can't be too bad, it's in a friend's house that has a wifi")</f>
        <v>I sempet thought yesterday yesterday when I was right, where else ppkm was definitely quiet, but it can't be too bad, it's in a friend's house that has a wifi</v>
      </c>
    </row>
    <row r="9360" ht="15.75" customHeight="1">
      <c r="A9360" s="2">
        <v>9526.0</v>
      </c>
      <c r="B9360" s="5" t="s">
        <v>17046</v>
      </c>
      <c r="C9360" s="6">
        <v>2.0</v>
      </c>
      <c r="D9360" s="7" t="s">
        <v>17047</v>
      </c>
      <c r="E9360" s="8" t="str">
        <f>IFERROR(__xludf.DUMMYFUNCTION("googletranslate(D9360,""id"",""en"")"),"Ooh who is near Jonas, bro? Ok ready later finished PPKM want to try getting down the mountain in the city, SKR there is still a insulation post in the hench hanupis ledeng")</f>
        <v>Ooh who is near Jonas, bro? Ok ready later finished PPKM want to try getting down the mountain in the city, SKR there is still a insulation post in the hench hanupis ledeng</v>
      </c>
    </row>
    <row r="9361" ht="15.75" customHeight="1">
      <c r="A9361" s="2">
        <v>9527.0</v>
      </c>
      <c r="B9361" s="5" t="s">
        <v>17048</v>
      </c>
      <c r="C9361" s="6">
        <v>2.0</v>
      </c>
      <c r="D9361" s="9" t="s">
        <v>17049</v>
      </c>
      <c r="E9361" s="8" t="str">
        <f>IFERROR(__xludf.DUMMYFUNCTION("googletranslate(D9361,""id"",""en"")"),"a few days ago a dream of seeing the news if there was an area that extended the PPKM until December was a dream of what kind of dream")</f>
        <v>a few days ago a dream of seeing the news if there was an area that extended the PPKM until December was a dream of what kind of dream</v>
      </c>
    </row>
    <row r="9362" ht="15.75" customHeight="1">
      <c r="A9362" s="2">
        <v>9528.0</v>
      </c>
      <c r="B9362" s="5" t="s">
        <v>17050</v>
      </c>
      <c r="C9362" s="6">
        <v>2.0</v>
      </c>
      <c r="D9362" s="7" t="s">
        <v>17051</v>
      </c>
      <c r="E9362" s="8" t="str">
        <f>IFERROR(__xludf.DUMMYFUNCTION("googletranslate(D9362,""id"",""en"")"),"If the ppkm finished wanting to go home to Semarang huhu longing it was really already going home")</f>
        <v>If the ppkm finished wanting to go home to Semarang huhu longing it was really already going home</v>
      </c>
    </row>
    <row r="9363" ht="15.75" customHeight="1">
      <c r="A9363" s="2">
        <v>9529.0</v>
      </c>
      <c r="B9363" s="5" t="s">
        <v>17052</v>
      </c>
      <c r="C9363" s="6">
        <v>2.0</v>
      </c>
      <c r="D9363" s="7" t="s">
        <v>17053</v>
      </c>
      <c r="E9363" s="8" t="str">
        <f>IFERROR(__xludf.DUMMYFUNCTION("googletranslate(D9363,""id"",""en"")"),"PPKM: once dating and then disappeared")</f>
        <v>PPKM: once dating and then disappeared</v>
      </c>
    </row>
    <row r="9364" ht="15.75" customHeight="1">
      <c r="A9364" s="2">
        <v>9530.0</v>
      </c>
      <c r="B9364" s="5" t="s">
        <v>17054</v>
      </c>
      <c r="C9364" s="6">
        <v>2.0</v>
      </c>
      <c r="D9364" s="7" t="s">
        <v>17054</v>
      </c>
      <c r="E9364" s="8" t="str">
        <f>IFERROR(__xludf.DUMMYFUNCTION("googletranslate(D9364,""id"",""en"")"),"Wow the last day of the ppkm")</f>
        <v>Wow the last day of the ppkm</v>
      </c>
    </row>
    <row r="9365" ht="15.75" customHeight="1">
      <c r="A9365" s="2">
        <v>9531.0</v>
      </c>
      <c r="B9365" s="5" t="s">
        <v>17055</v>
      </c>
      <c r="C9365" s="6">
        <v>1.0</v>
      </c>
      <c r="D9365" s="7" t="s">
        <v>17056</v>
      </c>
      <c r="E9365" s="8" t="str">
        <f>IFERROR(__xludf.DUMMYFUNCTION("googletranslate(D9365,""id"",""en"")"),"What can be WFH, especially work from Bali, you don't have to saritically with those who are still selling and business in this level PPKM. Moreover, screaming prokes to them.")</f>
        <v>What can be WFH, especially work from Bali, you don't have to saritically with those who are still selling and business in this level PPKM. Moreover, screaming prokes to them.</v>
      </c>
    </row>
    <row r="9366" ht="15.75" customHeight="1">
      <c r="A9366" s="2">
        <v>9532.0</v>
      </c>
      <c r="B9366" s="5" t="s">
        <v>17057</v>
      </c>
      <c r="C9366" s="6">
        <v>1.0</v>
      </c>
      <c r="D9366" s="7" t="s">
        <v>17058</v>
      </c>
      <c r="E9366" s="8" t="str">
        <f>IFERROR(__xludf.DUMMYFUNCTION("googletranslate(D9366,""id"",""en"")"),"Demo reject PPKM is a stomach affair. If the implementation in the field is definitely rioting. Politicians ... Liat Sikon, if their sporadic automatically benefit begins with the treason of the surrounding person. The demonstration is handled by really n"&amp;"ot with the mindset of orba nuduh macem")</f>
        <v>Demo reject PPKM is a stomach affair. If the implementation in the field is definitely rioting. Politicians ... Liat Sikon, if their sporadic automatically benefit begins with the treason of the surrounding person. The demonstration is handled by really not with the mindset of orba nuduh macem</v>
      </c>
    </row>
    <row r="9367" ht="15.75" customHeight="1">
      <c r="A9367" s="2">
        <v>9533.0</v>
      </c>
      <c r="B9367" s="5" t="s">
        <v>17059</v>
      </c>
      <c r="C9367" s="6">
        <v>3.0</v>
      </c>
      <c r="D9367" s="7" t="s">
        <v>17060</v>
      </c>
      <c r="E9367" s="8" t="str">
        <f>IFERROR(__xludf.DUMMYFUNCTION("googletranslate(D9367,""id"",""en"")"),"PPKM remains the best at this time, the need for sure to be assisted by the local government ...")</f>
        <v>PPKM remains the best at this time, the need for sure to be assisted by the local government ...</v>
      </c>
    </row>
    <row r="9368" ht="15.75" customHeight="1">
      <c r="A9368" s="2">
        <v>9534.0</v>
      </c>
      <c r="B9368" s="5" t="s">
        <v>17061</v>
      </c>
      <c r="C9368" s="6">
        <v>2.0</v>
      </c>
      <c r="D9368" s="7" t="s">
        <v>17062</v>
      </c>
      <c r="E9368" s="8" t="str">
        <f>IFERROR(__xludf.DUMMYFUNCTION("googletranslate(D9368,""id"",""en"")"),"Haha can morning afternoon, ppkm right afternoon down")</f>
        <v>Haha can morning afternoon, ppkm right afternoon down</v>
      </c>
    </row>
    <row r="9369" ht="15.75" customHeight="1">
      <c r="A9369" s="2">
        <v>9535.0</v>
      </c>
      <c r="B9369" s="5" t="s">
        <v>17063</v>
      </c>
      <c r="C9369" s="6">
        <v>1.0</v>
      </c>
      <c r="D9369" s="7" t="s">
        <v>17064</v>
      </c>
      <c r="E9369" s="8" t="str">
        <f>IFERROR(__xludf.DUMMYFUNCTION("googletranslate(D9369,""id"",""en"")"),"It should be, this morning was enjoying the beauty of Sunrise and may be accompanied by a glass of morning coffee to warm the body against Bromo's cold but all was blocked by PPKM.Thank you PPKM")</f>
        <v>It should be, this morning was enjoying the beauty of Sunrise and may be accompanied by a glass of morning coffee to warm the body against Bromo's cold but all was blocked by PPKM.Thank you PPKM</v>
      </c>
    </row>
    <row r="9370" ht="15.75" customHeight="1">
      <c r="A9370" s="2">
        <v>9536.0</v>
      </c>
      <c r="B9370" s="5" t="s">
        <v>17065</v>
      </c>
      <c r="C9370" s="6">
        <v>3.0</v>
      </c>
      <c r="D9370" s="9" t="s">
        <v>17066</v>
      </c>
      <c r="E9370" s="8" t="str">
        <f>IFERROR(__xludf.DUMMYFUNCTION("googletranslate(D9370,""id"",""en"")"),"Stay optimistic obedient Prokes and PPKM Corona will pass and keep your health")</f>
        <v>Stay optimistic obedient Prokes and PPKM Corona will pass and keep your health</v>
      </c>
    </row>
    <row r="9371" ht="15.75" customHeight="1">
      <c r="A9371" s="2">
        <v>9537.0</v>
      </c>
      <c r="B9371" s="5" t="s">
        <v>17067</v>
      </c>
      <c r="C9371" s="6">
        <v>2.0</v>
      </c>
      <c r="D9371" s="7" t="s">
        <v>17067</v>
      </c>
      <c r="E9371" s="8" t="str">
        <f>IFERROR(__xludf.DUMMYFUNCTION("googletranslate(D9371,""id"",""en"")"),"Ppkm today extended ga yaaa huhu")</f>
        <v>Ppkm today extended ga yaaa huhu</v>
      </c>
    </row>
    <row r="9372" ht="15.75" customHeight="1">
      <c r="A9372" s="2">
        <v>9538.0</v>
      </c>
      <c r="B9372" s="5" t="s">
        <v>17068</v>
      </c>
      <c r="C9372" s="6">
        <v>1.0</v>
      </c>
      <c r="D9372" s="9" t="s">
        <v>17069</v>
      </c>
      <c r="E9372" s="8" t="str">
        <f>IFERROR(__xludf.DUMMYFUNCTION("googletranslate(D9372,""id"",""en"")"),"Quickly passed PPKM ... already can't wait for aing")</f>
        <v>Quickly passed PPKM ... already can't wait for aing</v>
      </c>
    </row>
    <row r="9373" ht="15.75" customHeight="1">
      <c r="A9373" s="2">
        <v>9539.0</v>
      </c>
      <c r="B9373" s="5" t="s">
        <v>17070</v>
      </c>
      <c r="C9373" s="6">
        <v>2.0</v>
      </c>
      <c r="D9373" s="7" t="s">
        <v>17070</v>
      </c>
      <c r="E9373" s="8" t="str">
        <f>IFERROR(__xludf.DUMMYFUNCTION("googletranslate(D9373,""id"",""en"")"),"Ppkm = Slowly you disappear ...")</f>
        <v>Ppkm = Slowly you disappear ...</v>
      </c>
    </row>
    <row r="9374" ht="15.75" customHeight="1">
      <c r="A9374" s="2">
        <v>9540.0</v>
      </c>
      <c r="B9374" s="5" t="s">
        <v>17071</v>
      </c>
      <c r="C9374" s="6">
        <v>1.0</v>
      </c>
      <c r="D9374" s="9" t="s">
        <v>17072</v>
      </c>
      <c r="E9374" s="8" t="str">
        <f>IFERROR(__xludf.DUMMYFUNCTION("googletranslate(D9374,""id"",""en"")"),"Another dream of watching the concert continues to be raided by PPKM Dong and finally runs until the rice fields are really tired, I wake up")</f>
        <v>Another dream of watching the concert continues to be raided by PPKM Dong and finally runs until the rice fields are really tired, I wake up</v>
      </c>
    </row>
    <row r="9375" ht="15.75" customHeight="1">
      <c r="A9375" s="2">
        <v>9541.0</v>
      </c>
      <c r="B9375" s="5" t="s">
        <v>17073</v>
      </c>
      <c r="C9375" s="6">
        <v>1.0</v>
      </c>
      <c r="D9375" s="7" t="s">
        <v>17074</v>
      </c>
      <c r="E9375" s="8" t="str">
        <f>IFERROR(__xludf.DUMMYFUNCTION("googletranslate(D9375,""id"",""en"")"),"Good morning, Happy Weekend Guys, let's go to bed tomorrow, do you not get a ppkm right? bosen week at home not productive")</f>
        <v>Good morning, Happy Weekend Guys, let's go to bed tomorrow, do you not get a ppkm right? bosen week at home not productive</v>
      </c>
    </row>
    <row r="9376" ht="15.75" customHeight="1">
      <c r="A9376" s="2">
        <v>9542.0</v>
      </c>
      <c r="B9376" s="5" t="s">
        <v>17075</v>
      </c>
      <c r="C9376" s="6">
        <v>1.0</v>
      </c>
      <c r="D9376" s="9" t="s">
        <v>17076</v>
      </c>
      <c r="E9376" s="8" t="str">
        <f>IFERROR(__xludf.DUMMYFUNCTION("googletranslate(D9376,""id"",""en"")"),"PPKM the PPKM but why the street lights fit at night at the extinguished sir less effectively, not all Indonesian roads are good many wavy here")</f>
        <v>PPKM the PPKM but why the street lights fit at night at the extinguished sir less effectively, not all Indonesian roads are good many wavy here</v>
      </c>
    </row>
    <row r="9377" ht="15.75" customHeight="1">
      <c r="A9377" s="2">
        <v>9543.0</v>
      </c>
      <c r="B9377" s="5" t="s">
        <v>17077</v>
      </c>
      <c r="C9377" s="6">
        <v>2.0</v>
      </c>
      <c r="D9377" s="9" t="s">
        <v>17078</v>
      </c>
      <c r="E9377" s="8" t="str">
        <f>IFERROR(__xludf.DUMMYFUNCTION("googletranslate(D9377,""id"",""en"")"),"before the PPKM Harini wanted to look for seblakkk want to eat in place")</f>
        <v>before the PPKM Harini wanted to look for seblakkk want to eat in place</v>
      </c>
    </row>
    <row r="9378" ht="15.75" customHeight="1">
      <c r="A9378" s="2">
        <v>9544.0</v>
      </c>
      <c r="B9378" s="5" t="s">
        <v>17079</v>
      </c>
      <c r="C9378" s="6">
        <v>3.0</v>
      </c>
      <c r="D9378" s="9" t="s">
        <v>17080</v>
      </c>
      <c r="E9378" s="8" t="str">
        <f>IFERROR(__xludf.DUMMYFUNCTION("googletranslate(D9378,""id"",""en"")"),"PPKM-Trusting of Christ's help with you EW")</f>
        <v>PPKM-Trusting of Christ's help with you EW</v>
      </c>
    </row>
    <row r="9379" ht="15.75" customHeight="1">
      <c r="A9379" s="2">
        <v>9545.0</v>
      </c>
      <c r="B9379" s="5" t="s">
        <v>17081</v>
      </c>
      <c r="C9379" s="6">
        <v>1.0</v>
      </c>
      <c r="D9379" s="7" t="s">
        <v>17082</v>
      </c>
      <c r="E9379" s="8" t="str">
        <f>IFERROR(__xludf.DUMMYFUNCTION("googletranslate(D9379,""id"",""en"")"),"O yeah ... pretending to be kalen deafly with the voice of the folk ..... stopped the drama PPKM who did not guarantee prosperous people ... you guys on the salary with public money does not properly troublesome people ... don't come to blind &amp; amp; Your "&amp;"deafness ... !!")</f>
        <v>O yeah ... pretending to be kalen deafly with the voice of the folk ..... stopped the drama PPKM who did not guarantee prosperous people ... you guys on the salary with public money does not properly troublesome people ... don't come to blind &amp; amp; Your deafness ... !!</v>
      </c>
    </row>
    <row r="9380" ht="15.75" customHeight="1">
      <c r="A9380" s="2">
        <v>9546.0</v>
      </c>
      <c r="B9380" s="5" t="s">
        <v>17083</v>
      </c>
      <c r="C9380" s="6">
        <v>2.0</v>
      </c>
      <c r="D9380" s="7" t="s">
        <v>17084</v>
      </c>
      <c r="E9380" s="8" t="str">
        <f>IFERROR(__xludf.DUMMYFUNCTION("googletranslate(D9380,""id"",""en"")"),"Along the way A. Yani is still crowded, the info on the PPKM level. Mudhn2 all good SJ")</f>
        <v>Along the way A. Yani is still crowded, the info on the PPKM level. Mudhn2 all good SJ</v>
      </c>
    </row>
    <row r="9381" ht="15.75" customHeight="1">
      <c r="A9381" s="2">
        <v>9547.0</v>
      </c>
      <c r="B9381" s="5" t="s">
        <v>17085</v>
      </c>
      <c r="C9381" s="6">
        <v>1.0</v>
      </c>
      <c r="D9381" s="7" t="s">
        <v>17086</v>
      </c>
      <c r="E9381" s="8" t="str">
        <f>IFERROR(__xludf.DUMMYFUNCTION("googletranslate(D9381,""id"",""en"")"),"Masik PPKM sir. I'll be fine")</f>
        <v>Masik PPKM sir. I'll be fine</v>
      </c>
    </row>
    <row r="9382" ht="15.75" customHeight="1">
      <c r="A9382" s="2">
        <v>9548.0</v>
      </c>
      <c r="B9382" s="5" t="s">
        <v>17087</v>
      </c>
      <c r="C9382" s="6">
        <v>2.0</v>
      </c>
      <c r="D9382" s="9" t="s">
        <v>17087</v>
      </c>
      <c r="E9382" s="8" t="str">
        <f>IFERROR(__xludf.DUMMYFUNCTION("googletranslate(D9382,""id"",""en"")"),"It's great for this ppkm, I came out, there was an interest in the interest, kek kmrn to Bates just nengokin home. Then the lame bought the kebab was also taken home. Ah like I have been great in holding back lust")</f>
        <v>It's great for this ppkm, I came out, there was an interest in the interest, kek kmrn to Bates just nengokin home. Then the lame bought the kebab was also taken home. Ah like I have been great in holding back lust</v>
      </c>
    </row>
    <row r="9383" ht="15.75" customHeight="1">
      <c r="A9383" s="2">
        <v>9549.0</v>
      </c>
      <c r="B9383" s="5" t="s">
        <v>17088</v>
      </c>
      <c r="C9383" s="6">
        <v>1.0</v>
      </c>
      <c r="D9383" s="7" t="s">
        <v>17089</v>
      </c>
      <c r="E9383" s="8" t="str">
        <f>IFERROR(__xludf.DUMMYFUNCTION("googletranslate(D9383,""id"",""en"")"),"Overherd Indomart Convo Agent Yakult: * Entering Stock Yakult Barumba Cashier: A little Bangagen Yakult: Yes Ni LG PPKM, slowly we slowly die.")</f>
        <v>Overherd Indomart Convo Agent Yakult: * Entering Stock Yakult Barumba Cashier: A little Bangagen Yakult: Yes Ni LG PPKM, slowly we slowly die.</v>
      </c>
    </row>
    <row r="9384" ht="15.75" customHeight="1">
      <c r="A9384" s="2">
        <v>9550.0</v>
      </c>
      <c r="B9384" s="5" t="s">
        <v>17090</v>
      </c>
      <c r="C9384" s="6">
        <v>1.0</v>
      </c>
      <c r="D9384" s="7" t="s">
        <v>17091</v>
      </c>
      <c r="E9384" s="8" t="str">
        <f>IFERROR(__xludf.DUMMYFUNCTION("googletranslate(D9384,""id"",""en"")"),"Extended emergency PPKM, the people screamed "".")</f>
        <v>Extended emergency PPKM, the people screamed ".</v>
      </c>
    </row>
    <row r="9385" ht="15.75" customHeight="1">
      <c r="A9385" s="2">
        <v>9551.0</v>
      </c>
      <c r="B9385" s="5" t="s">
        <v>17092</v>
      </c>
      <c r="C9385" s="6">
        <v>2.0</v>
      </c>
      <c r="D9385" s="7" t="s">
        <v>17092</v>
      </c>
      <c r="E9385" s="8" t="str">
        <f>IFERROR(__xludf.DUMMYFUNCTION("googletranslate(D9385,""id"",""en"")"),"PPKM is extended again?")</f>
        <v>PPKM is extended again?</v>
      </c>
    </row>
    <row r="9386" ht="15.75" customHeight="1">
      <c r="A9386" s="2">
        <v>9552.0</v>
      </c>
      <c r="B9386" s="5" t="s">
        <v>17093</v>
      </c>
      <c r="C9386" s="6">
        <v>2.0</v>
      </c>
      <c r="D9386" s="7" t="s">
        <v>17094</v>
      </c>
      <c r="E9386" s="8" t="str">
        <f>IFERROR(__xludf.DUMMYFUNCTION("googletranslate(D9386,""id"",""en"")"),"Asemka doesn't look like again PPKM level")</f>
        <v>Asemka doesn't look like again PPKM level</v>
      </c>
    </row>
    <row r="9387" ht="15.75" customHeight="1">
      <c r="A9387" s="2">
        <v>9553.0</v>
      </c>
      <c r="B9387" s="5" t="s">
        <v>17095</v>
      </c>
      <c r="C9387" s="6">
        <v>1.0</v>
      </c>
      <c r="D9387" s="7" t="s">
        <v>17096</v>
      </c>
      <c r="E9387" s="8" t="str">
        <f>IFERROR(__xludf.DUMMYFUNCTION("googletranslate(D9387,""id"",""en"")"),"Want PSBB, PPKM, Micro PPKM, PPKM Level, Crazy PPKM Pedes Level, Pedes Mampus, Ruling2 Pedes. What implications? the feeling along Cireundeu Raya still jammed")</f>
        <v>Want PSBB, PPKM, Micro PPKM, PPKM Level, Crazy PPKM Pedes Level, Pedes Mampus, Ruling2 Pedes. What implications? the feeling along Cireundeu Raya still jammed</v>
      </c>
    </row>
    <row r="9388" ht="15.75" customHeight="1">
      <c r="A9388" s="2">
        <v>9554.0</v>
      </c>
      <c r="B9388" s="5" t="s">
        <v>17097</v>
      </c>
      <c r="C9388" s="6">
        <v>2.0</v>
      </c>
      <c r="D9388" s="7" t="s">
        <v>17098</v>
      </c>
      <c r="E9388" s="8" t="str">
        <f>IFERROR(__xludf.DUMMYFUNCTION("googletranslate(D9388,""id"",""en"")"),"Later yes ppkm s right")</f>
        <v>Later yes ppkm s right</v>
      </c>
    </row>
    <row r="9389" ht="15.75" customHeight="1">
      <c r="A9389" s="2">
        <v>9555.0</v>
      </c>
      <c r="B9389" s="5" t="s">
        <v>17099</v>
      </c>
      <c r="C9389" s="6">
        <v>2.0</v>
      </c>
      <c r="D9389" s="7" t="s">
        <v>17099</v>
      </c>
      <c r="E9389" s="8" t="str">
        <f>IFERROR(__xludf.DUMMYFUNCTION("googletranslate(D9389,""id"",""en"")"),"So PPKM is again?")</f>
        <v>So PPKM is again?</v>
      </c>
    </row>
    <row r="9390" ht="15.75" customHeight="1">
      <c r="A9390" s="2">
        <v>9556.0</v>
      </c>
      <c r="B9390" s="5" t="s">
        <v>17100</v>
      </c>
      <c r="C9390" s="6">
        <v>1.0</v>
      </c>
      <c r="D9390" s="7" t="s">
        <v>17100</v>
      </c>
      <c r="E9390" s="8" t="str">
        <f>IFERROR(__xludf.DUMMYFUNCTION("googletranslate(D9390,""id"",""en"")"),"The first HR extension of the PPKM and the toll road is jammed ...")</f>
        <v>The first HR extension of the PPKM and the toll road is jammed ...</v>
      </c>
    </row>
    <row r="9391" ht="15.75" customHeight="1">
      <c r="A9391" s="2">
        <v>9557.0</v>
      </c>
      <c r="B9391" s="5" t="s">
        <v>17101</v>
      </c>
      <c r="C9391" s="6">
        <v>2.0</v>
      </c>
      <c r="D9391" s="7" t="s">
        <v>17102</v>
      </c>
      <c r="E9391" s="8" t="str">
        <f>IFERROR(__xludf.DUMMYFUNCTION("googletranslate(D9391,""id"",""en"")"),"Initially Mager for sports, but it was increasingly conscious, the body widened and the activity during the PPKM KL did not sleep, ate, repeat. It happens now, thank God, every time you have a thin thin sport, the afternoon Workout HIIT LGYG MSH BLM can b"&amp;"e changed, the duration of the sleeping clock can be $ NUMBER $ JAM")</f>
        <v>Initially Mager for sports, but it was increasingly conscious, the body widened and the activity during the PPKM KL did not sleep, ate, repeat. It happens now, thank God, every time you have a thin thin sport, the afternoon Workout HIIT LGYG MSH BLM can be changed, the duration of the sleeping clock can be $ NUMBER $ JAM</v>
      </c>
    </row>
    <row r="9392" ht="15.75" customHeight="1">
      <c r="A9392" s="2">
        <v>9558.0</v>
      </c>
      <c r="B9392" s="5" t="s">
        <v>17103</v>
      </c>
      <c r="C9392" s="6">
        <v>2.0</v>
      </c>
      <c r="D9392" s="7" t="s">
        <v>17104</v>
      </c>
      <c r="E9392" s="8" t="str">
        <f>IFERROR(__xludf.DUMMYFUNCTION("googletranslate(D9392,""id"",""en"")"),"Seblak near the house losing to PPKM already a level")</f>
        <v>Seblak near the house losing to PPKM already a level</v>
      </c>
    </row>
    <row r="9393" ht="15.75" customHeight="1">
      <c r="A9393" s="2">
        <v>9559.0</v>
      </c>
      <c r="B9393" s="5" t="s">
        <v>17105</v>
      </c>
      <c r="C9393" s="6">
        <v>2.0</v>
      </c>
      <c r="D9393" s="7" t="s">
        <v>17106</v>
      </c>
      <c r="E9393" s="8" t="str">
        <f>IFERROR(__xludf.DUMMYFUNCTION("googletranslate(D9393,""id"",""en"")"),"Points to, there are restriction words ending if the parameters are achieved in successive weeks, meaning that the end of the New Year PPKM ends")</f>
        <v>Points to, there are restriction words ending if the parameters are achieved in successive weeks, meaning that the end of the New Year PPKM ends</v>
      </c>
    </row>
    <row r="9394" ht="15.75" customHeight="1">
      <c r="A9394" s="2">
        <v>9560.0</v>
      </c>
      <c r="B9394" s="5" t="s">
        <v>17107</v>
      </c>
      <c r="C9394" s="6">
        <v>3.0</v>
      </c>
      <c r="D9394" s="9" t="s">
        <v>17107</v>
      </c>
      <c r="E9394" s="8" t="str">
        <f>IFERROR(__xludf.DUMMYFUNCTION("googletranslate(D9394,""id"",""en"")"),"Ppkm day again work in rimah just can't go to the katingor first day yeah all met morning huh")</f>
        <v>Ppkm day again work in rimah just can't go to the katingor first day yeah all met morning huh</v>
      </c>
    </row>
    <row r="9395" ht="15.75" customHeight="1">
      <c r="A9395" s="2">
        <v>9561.0</v>
      </c>
      <c r="B9395" s="5" t="s">
        <v>17108</v>
      </c>
      <c r="C9395" s="6">
        <v>1.0</v>
      </c>
      <c r="D9395" s="7" t="s">
        <v>17109</v>
      </c>
      <c r="E9395" s="8" t="str">
        <f>IFERROR(__xludf.DUMMYFUNCTION("googletranslate(D9395,""id"",""en"")"),"The extended PPKM only makes people in nerves not calm, the immune goes down")</f>
        <v>The extended PPKM only makes people in nerves not calm, the immune goes down</v>
      </c>
    </row>
    <row r="9396" ht="15.75" customHeight="1">
      <c r="A9396" s="2">
        <v>9562.0</v>
      </c>
      <c r="B9396" s="5" t="s">
        <v>17110</v>
      </c>
      <c r="C9396" s="6">
        <v>3.0</v>
      </c>
      <c r="D9396" s="7" t="s">
        <v>17110</v>
      </c>
      <c r="E9396" s="8" t="str">
        <f>IFERROR(__xludf.DUMMYFUNCTION("googletranslate(D9396,""id"",""en"")"),"mantab ppkm extends ... more wfh deh ah")</f>
        <v>mantab ppkm extends ... more wfh deh ah</v>
      </c>
    </row>
    <row r="9397" ht="15.75" customHeight="1">
      <c r="A9397" s="2">
        <v>9563.0</v>
      </c>
      <c r="B9397" s="5" t="s">
        <v>17111</v>
      </c>
      <c r="C9397" s="6">
        <v>1.0</v>
      </c>
      <c r="D9397" s="9" t="s">
        <v>17112</v>
      </c>
      <c r="E9397" s="8" t="str">
        <f>IFERROR(__xludf.DUMMYFUNCTION("googletranslate(D9397,""id"",""en"")"),"If the PPKM is extended this fate of my book ya, the shop blom anter the reason because of PPKM")</f>
        <v>If the PPKM is extended this fate of my book ya, the shop blom anter the reason because of PPKM</v>
      </c>
    </row>
    <row r="9398" ht="15.75" customHeight="1">
      <c r="A9398" s="2">
        <v>9564.0</v>
      </c>
      <c r="B9398" s="5" t="s">
        <v>17113</v>
      </c>
      <c r="C9398" s="6">
        <v>2.0</v>
      </c>
      <c r="D9398" s="7" t="s">
        <v>17114</v>
      </c>
      <c r="E9398" s="8" t="str">
        <f>IFERROR(__xludf.DUMMYFUNCTION("googletranslate(D9398,""id"",""en"")"),"Must be TTP even though PPKM")</f>
        <v>Must be TTP even though PPKM</v>
      </c>
    </row>
    <row r="9399" ht="15.75" customHeight="1">
      <c r="A9399" s="2">
        <v>9565.0</v>
      </c>
      <c r="B9399" s="5" t="s">
        <v>17115</v>
      </c>
      <c r="C9399" s="6">
        <v>2.0</v>
      </c>
      <c r="D9399" s="7" t="s">
        <v>17116</v>
      </c>
      <c r="E9399" s="8" t="str">
        <f>IFERROR(__xludf.DUMMYFUNCTION("googletranslate(D9399,""id"",""en"")"),"BERES GAS GAS BERESAAAA")</f>
        <v>BERES GAS GAS BERESAAAA</v>
      </c>
    </row>
    <row r="9400" ht="15.75" customHeight="1">
      <c r="A9400" s="2">
        <v>9566.0</v>
      </c>
      <c r="B9400" s="5" t="s">
        <v>17117</v>
      </c>
      <c r="C9400" s="6">
        <v>1.0</v>
      </c>
      <c r="D9400" s="9" t="s">
        <v>17118</v>
      </c>
      <c r="E9400" s="8" t="str">
        <f>IFERROR(__xludf.DUMMYFUNCTION("googletranslate(D9400,""id"",""en"")"),"Ppkm extends more difficult, bro")</f>
        <v>Ppkm extends more difficult, bro</v>
      </c>
    </row>
    <row r="9401" ht="15.75" customHeight="1">
      <c r="A9401" s="2">
        <v>9567.0</v>
      </c>
      <c r="B9401" s="5" t="s">
        <v>17119</v>
      </c>
      <c r="C9401" s="6">
        <v>1.0</v>
      </c>
      <c r="D9401" s="7" t="s">
        <v>17119</v>
      </c>
      <c r="E9401" s="8" t="str">
        <f>IFERROR(__xludf.DUMMYFUNCTION("googletranslate(D9401,""id"",""en"")"),"PPKM makes people turn to switch professions to be a thief clothesline.")</f>
        <v>PPKM makes people turn to switch professions to be a thief clothesline.</v>
      </c>
    </row>
    <row r="9402" ht="15.75" customHeight="1">
      <c r="A9402" s="2">
        <v>9568.0</v>
      </c>
      <c r="B9402" s="5" t="s">
        <v>17120</v>
      </c>
      <c r="C9402" s="6">
        <v>2.0</v>
      </c>
      <c r="D9402" s="7" t="s">
        <v>17120</v>
      </c>
      <c r="E9402" s="8" t="str">
        <f>IFERROR(__xludf.DUMMYFUNCTION("googletranslate(D9402,""id"",""en"")"),"Btw, can anyone explain to me about the ppkm tidaaakk?")</f>
        <v>Btw, can anyone explain to me about the ppkm tidaaakk?</v>
      </c>
    </row>
    <row r="9403" ht="15.75" customHeight="1">
      <c r="A9403" s="2">
        <v>9569.0</v>
      </c>
      <c r="B9403" s="5" t="s">
        <v>17121</v>
      </c>
      <c r="C9403" s="6">
        <v>2.0</v>
      </c>
      <c r="D9403" s="7" t="s">
        <v>17122</v>
      </c>
      <c r="E9403" s="8" t="str">
        <f>IFERROR(__xludf.DUMMYFUNCTION("googletranslate(D9403,""id"",""en"")"),"It seems like still PPKM level until the end of August. That's the fastest.")</f>
        <v>It seems like still PPKM level until the end of August. That's the fastest.</v>
      </c>
    </row>
    <row r="9404" ht="15.75" customHeight="1">
      <c r="A9404" s="2">
        <v>9570.0</v>
      </c>
      <c r="B9404" s="5" t="s">
        <v>17123</v>
      </c>
      <c r="C9404" s="6">
        <v>3.0</v>
      </c>
      <c r="D9404" s="7" t="s">
        <v>17124</v>
      </c>
      <c r="E9404" s="8" t="str">
        <f>IFERROR(__xludf.DUMMYFUNCTION("googletranslate(D9404,""id"",""en"")"),"PPKM Ditembah Ditmbah until August Gaesss, let's get ready to work serving Indonesia. Spirit !!! It's hard to jealous of the wFh because it's also working hours")</f>
        <v>PPKM Ditembah Ditmbah until August Gaesss, let's get ready to work serving Indonesia. Spirit !!! It's hard to jealous of the wFh because it's also working hours</v>
      </c>
    </row>
    <row r="9405" ht="15.75" customHeight="1">
      <c r="A9405" s="2">
        <v>9571.0</v>
      </c>
      <c r="B9405" s="5" t="s">
        <v>17125</v>
      </c>
      <c r="C9405" s="6">
        <v>2.0</v>
      </c>
      <c r="D9405" s="7" t="s">
        <v>17125</v>
      </c>
      <c r="E9405" s="8" t="str">
        <f>IFERROR(__xludf.DUMMYFUNCTION("googletranslate(D9405,""id"",""en"")"),"This PPKM level is already the level of the Geprek level: """)</f>
        <v>This PPKM level is already the level of the Geprek level: "</v>
      </c>
    </row>
    <row r="9406" ht="15.75" customHeight="1">
      <c r="A9406" s="2">
        <v>9572.0</v>
      </c>
      <c r="B9406" s="5" t="s">
        <v>17126</v>
      </c>
      <c r="C9406" s="6">
        <v>1.0</v>
      </c>
      <c r="D9406" s="9" t="s">
        <v>17126</v>
      </c>
      <c r="E9406" s="8" t="str">
        <f>IFERROR(__xludf.DUMMYFUNCTION("googletranslate(D9406,""id"",""en"")"),"Actually this is strange, the PPKM is extended to make it severe mumet. But if many are covid, it's even worse too. As Covid's survivors, who were more worn out for fear of the symptoms of Long Post Covid, so felt really we had to keep the prokes.")</f>
        <v>Actually this is strange, the PPKM is extended to make it severe mumet. But if many are covid, it's even worse too. As Covid's survivors, who were more worn out for fear of the symptoms of Long Post Covid, so felt really we had to keep the prokes.</v>
      </c>
    </row>
    <row r="9407" ht="15.75" customHeight="1">
      <c r="A9407" s="2">
        <v>9573.0</v>
      </c>
      <c r="B9407" s="5" t="s">
        <v>17127</v>
      </c>
      <c r="C9407" s="6">
        <v>1.0</v>
      </c>
      <c r="D9407" s="9" t="s">
        <v>17127</v>
      </c>
      <c r="E9407" s="8" t="str">
        <f>IFERROR(__xludf.DUMMYFUNCTION("googletranslate(D9407,""id"",""en"")"),"PPKM sense of appointment will be lunasin debt ..")</f>
        <v>PPKM sense of appointment will be lunasin debt ..</v>
      </c>
    </row>
    <row r="9408" ht="15.75" customHeight="1">
      <c r="A9408" s="2">
        <v>9574.0</v>
      </c>
      <c r="B9408" s="5" t="s">
        <v>17128</v>
      </c>
      <c r="C9408" s="6">
        <v>2.0</v>
      </c>
      <c r="D9408" s="7" t="s">
        <v>17129</v>
      </c>
      <c r="E9408" s="8" t="str">
        <f>IFERROR(__xludf.DUMMYFUNCTION("googletranslate(D9408,""id"",""en"")"),"Ppkm level equivalent to what level bon chilli?")</f>
        <v>Ppkm level equivalent to what level bon chilli?</v>
      </c>
    </row>
    <row r="9409" ht="15.75" customHeight="1">
      <c r="A9409" s="2">
        <v>9575.0</v>
      </c>
      <c r="B9409" s="5" t="s">
        <v>17130</v>
      </c>
      <c r="C9409" s="6">
        <v>3.0</v>
      </c>
      <c r="D9409" s="9" t="s">
        <v>17131</v>
      </c>
      <c r="E9409" s="8" t="str">
        <f>IFERROR(__xludf.DUMMYFUNCTION("googletranslate(D9409,""id"",""en"")"),"However, this PPKM was more loose than before. BBRPA The Economic Sector has activity, Sy This is an important step in addition to health concentration, of course. Let's bring the government with the health protocol and the vaccine is there a chance")</f>
        <v>However, this PPKM was more loose than before. BBRPA The Economic Sector has activity, Sy This is an important step in addition to health concentration, of course. Let's bring the government with the health protocol and the vaccine is there a chance</v>
      </c>
    </row>
    <row r="9410" ht="15.75" customHeight="1">
      <c r="A9410" s="2">
        <v>9576.0</v>
      </c>
      <c r="B9410" s="5" t="s">
        <v>17132</v>
      </c>
      <c r="C9410" s="6">
        <v>1.0</v>
      </c>
      <c r="D9410" s="9" t="s">
        <v>17133</v>
      </c>
      <c r="E9410" s="8" t="str">
        <f>IFERROR(__xludf.DUMMYFUNCTION("googletranslate(D9410,""id"",""en"")"),"PPKM is extended ... For those who don't get a monthly salary, you will find a way of survive until August. You don't want to, you don't like it, you have to adapt to the solution. It used to be a dinosaur just as a result of being unable to adapt to chan"&amp;"ge. Indo's human time is extinct also due to PPKM?")</f>
        <v>PPKM is extended ... For those who don't get a monthly salary, you will find a way of survive until August. You don't want to, you don't like it, you have to adapt to the solution. It used to be a dinosaur just as a result of being unable to adapt to change. Indo's human time is extinct also due to PPKM?</v>
      </c>
    </row>
    <row r="9411" ht="15.75" customHeight="1">
      <c r="A9411" s="2">
        <v>9577.0</v>
      </c>
      <c r="B9411" s="5" t="s">
        <v>17134</v>
      </c>
      <c r="C9411" s="6">
        <v>2.0</v>
      </c>
      <c r="D9411" s="7" t="s">
        <v>17135</v>
      </c>
      <c r="E9411" s="8" t="str">
        <f>IFERROR(__xludf.DUMMYFUNCTION("googletranslate(D9411,""id"",""en"")"),"min, the new ppkm is the provisions for passengers, is there a change")</f>
        <v>min, the new ppkm is the provisions for passengers, is there a change</v>
      </c>
    </row>
    <row r="9412" ht="15.75" customHeight="1">
      <c r="A9412" s="2">
        <v>9578.0</v>
      </c>
      <c r="B9412" s="5" t="s">
        <v>17136</v>
      </c>
      <c r="C9412" s="6">
        <v>1.0</v>
      </c>
      <c r="D9412" s="7" t="s">
        <v>17137</v>
      </c>
      <c r="E9412" s="8" t="str">
        <f>IFERROR(__xludf.DUMMYFUNCTION("googletranslate(D9412,""id"",""en"")"),"how come it's good for it, where the PPKM is extended")</f>
        <v>how come it's good for it, where the PPKM is extended</v>
      </c>
    </row>
    <row r="9413" ht="15.75" customHeight="1">
      <c r="A9413" s="2">
        <v>9579.0</v>
      </c>
      <c r="B9413" s="5" t="s">
        <v>17138</v>
      </c>
      <c r="C9413" s="6">
        <v>1.0</v>
      </c>
      <c r="D9413" s="9" t="s">
        <v>17139</v>
      </c>
      <c r="E9413" s="8" t="str">
        <f>IFERROR(__xludf.DUMMYFUNCTION("googletranslate(D9413,""id"",""en"")"),"Have a good Monday morning, Congratulations on applying PPKM (slowly we turn off) which is extended until somehow! ON THE LIGHTER NOTE I WILL BE UPLOADING How To Make An Easy Curry Paste Recipe Today")</f>
        <v>Have a good Monday morning, Congratulations on applying PPKM (slowly we turn off) which is extended until somehow! ON THE LIGHTER NOTE I WILL BE UPLOADING How To Make An Easy Curry Paste Recipe Today</v>
      </c>
    </row>
    <row r="9414" ht="15.75" customHeight="1">
      <c r="A9414" s="2">
        <v>9580.0</v>
      </c>
      <c r="B9414" s="5" t="s">
        <v>17140</v>
      </c>
      <c r="C9414" s="6">
        <v>2.0</v>
      </c>
      <c r="D9414" s="7" t="s">
        <v>17141</v>
      </c>
      <c r="E9414" s="8" t="str">
        <f>IFERROR(__xludf.DUMMYFUNCTION("googletranslate(D9414,""id"",""en"")"),"After August, there will usually be a PPKM further with another name")</f>
        <v>After August, there will usually be a PPKM further with another name</v>
      </c>
    </row>
    <row r="9415" ht="15.75" customHeight="1">
      <c r="A9415" s="2">
        <v>9581.0</v>
      </c>
      <c r="B9415" s="5" t="s">
        <v>17142</v>
      </c>
      <c r="C9415" s="6">
        <v>1.0</v>
      </c>
      <c r="D9415" s="9" t="s">
        <v>17143</v>
      </c>
      <c r="E9415" s="8" t="str">
        <f>IFERROR(__xludf.DUMMYFUNCTION("googletranslate(D9415,""id"",""en"")"),"I am safe just as the concept of PSBB or PPKM or what is the name. Try from the beginning of Lgsg to say the moon, the public is not wanting to follow the applicable rules. I don't really do it.")</f>
        <v>I am safe just as the concept of PSBB or PPKM or what is the name. Try from the beginning of Lgsg to say the moon, the public is not wanting to follow the applicable rules. I don't really do it.</v>
      </c>
    </row>
    <row r="9416" ht="15.75" customHeight="1">
      <c r="A9416" s="2">
        <v>9582.0</v>
      </c>
      <c r="B9416" s="5" t="s">
        <v>17144</v>
      </c>
      <c r="C9416" s="6">
        <v>2.0</v>
      </c>
      <c r="D9416" s="7" t="s">
        <v>17145</v>
      </c>
      <c r="E9416" s="8" t="str">
        <f>IFERROR(__xludf.DUMMYFUNCTION("googletranslate(D9416,""id"",""en"")"),"Because ppkm ya bri")</f>
        <v>Because ppkm ya bri</v>
      </c>
    </row>
    <row r="9417" ht="15.75" customHeight="1">
      <c r="A9417" s="2">
        <v>9583.0</v>
      </c>
      <c r="B9417" s="5" t="s">
        <v>17146</v>
      </c>
      <c r="C9417" s="6">
        <v>3.0</v>
      </c>
      <c r="D9417" s="10" t="s">
        <v>17146</v>
      </c>
      <c r="E9417" s="8" t="str">
        <f>IFERROR(__xludf.DUMMYFUNCTION("googletranslate(D9417,""id"",""en"")"),"I like PPKM")</f>
        <v>I like PPKM</v>
      </c>
    </row>
    <row r="9418" ht="15.75" customHeight="1">
      <c r="A9418" s="2">
        <v>9584.0</v>
      </c>
      <c r="B9418" s="5" t="s">
        <v>17147</v>
      </c>
      <c r="C9418" s="6">
        <v>2.0</v>
      </c>
      <c r="D9418" s="9" t="s">
        <v>17147</v>
      </c>
      <c r="E9418" s="8" t="str">
        <f>IFERROR(__xludf.DUMMYFUNCTION("googletranslate(D9418,""id"",""en"")"),"The ppkm extension is taking care of yourself using brokers?")</f>
        <v>The ppkm extension is taking care of yourself using brokers?</v>
      </c>
    </row>
    <row r="9419" ht="15.75" customHeight="1">
      <c r="A9419" s="2">
        <v>9585.0</v>
      </c>
      <c r="B9419" s="5" t="s">
        <v>17148</v>
      </c>
      <c r="C9419" s="6">
        <v>2.0</v>
      </c>
      <c r="D9419" s="7" t="s">
        <v>17149</v>
      </c>
      <c r="E9419" s="8" t="str">
        <f>IFERROR(__xludf.DUMMYFUNCTION("googletranslate(D9419,""id"",""en"")"),"Like the ppkm jokes")</f>
        <v>Like the ppkm jokes</v>
      </c>
    </row>
    <row r="9420" ht="15.75" customHeight="1">
      <c r="A9420" s="2">
        <v>9586.0</v>
      </c>
      <c r="B9420" s="5" t="s">
        <v>17150</v>
      </c>
      <c r="C9420" s="6">
        <v>1.0</v>
      </c>
      <c r="D9420" s="9" t="s">
        <v>17151</v>
      </c>
      <c r="E9420" s="8" t="str">
        <f>IFERROR(__xludf.DUMMYFUNCTION("googletranslate(D9420,""id"",""en"")"),"But the blunder if there is a violation of PPKM punished using the Regional Quarantine Law, while the implementation of the PPKM does not want to use the Regional Quarantine Law")</f>
        <v>But the blunder if there is a violation of PPKM punished using the Regional Quarantine Law, while the implementation of the PPKM does not want to use the Regional Quarantine Law</v>
      </c>
    </row>
    <row r="9421" ht="15.75" customHeight="1">
      <c r="A9421" s="2">
        <v>9587.0</v>
      </c>
      <c r="B9421" s="5" t="s">
        <v>17152</v>
      </c>
      <c r="C9421" s="6">
        <v>3.0</v>
      </c>
      <c r="D9421" s="9" t="s">
        <v>17153</v>
      </c>
      <c r="E9421" s="8" t="str">
        <f>IFERROR(__xludf.DUMMYFUNCTION("googletranslate(D9421,""id"",""en"")"),"Good morning deck and hopefully today is fun, the spirit of undergoing activities even though the PPKM is extended, keep maintaining health, don't forget to drink water and vitamins")</f>
        <v>Good morning deck and hopefully today is fun, the spirit of undergoing activities even though the PPKM is extended, keep maintaining health, don't forget to drink water and vitamins</v>
      </c>
    </row>
    <row r="9422" ht="15.75" customHeight="1">
      <c r="A9422" s="2">
        <v>9588.0</v>
      </c>
      <c r="B9422" s="5" t="s">
        <v>17154</v>
      </c>
      <c r="C9422" s="6">
        <v>1.0</v>
      </c>
      <c r="D9422" s="7" t="s">
        <v>17155</v>
      </c>
      <c r="E9422" s="8" t="str">
        <f>IFERROR(__xludf.DUMMYFUNCTION("googletranslate(D9422,""id"",""en"")"),"PPKM restrictions on movement to students")</f>
        <v>PPKM restrictions on movement to students</v>
      </c>
    </row>
    <row r="9423" ht="15.75" customHeight="1">
      <c r="A9423" s="2">
        <v>9589.0</v>
      </c>
      <c r="B9423" s="5" t="s">
        <v>17156</v>
      </c>
      <c r="C9423" s="6">
        <v>2.0</v>
      </c>
      <c r="D9423" s="7" t="s">
        <v>17157</v>
      </c>
      <c r="E9423" s="8" t="str">
        <f>IFERROR(__xludf.DUMMYFUNCTION("googletranslate(D9423,""id"",""en"")"),"Nnti is OK PPKM Marriage WKWK")</f>
        <v>Nnti is OK PPKM Marriage WKWK</v>
      </c>
    </row>
    <row r="9424" ht="15.75" customHeight="1">
      <c r="A9424" s="2">
        <v>9590.0</v>
      </c>
      <c r="B9424" s="5" t="s">
        <v>17158</v>
      </c>
      <c r="C9424" s="6">
        <v>1.0</v>
      </c>
      <c r="D9424" s="7" t="s">
        <v>17159</v>
      </c>
      <c r="E9424" s="8" t="str">
        <f>IFERROR(__xludf.DUMMYFUNCTION("googletranslate(D9424,""id"",""en"")"),"PPKM extended PPKMPElan - softly I die")</f>
        <v>PPKM extended PPKMPElan - softly I die</v>
      </c>
    </row>
    <row r="9425" ht="15.75" customHeight="1">
      <c r="A9425" s="2">
        <v>9591.0</v>
      </c>
      <c r="B9425" s="5" t="s">
        <v>17160</v>
      </c>
      <c r="C9425" s="6">
        <v>1.0</v>
      </c>
      <c r="D9425" s="7" t="s">
        <v>17160</v>
      </c>
      <c r="E9425" s="8" t="str">
        <f>IFERROR(__xludf.DUMMYFUNCTION("googletranslate(D9425,""id"",""en"")"),"PPKM extended KPN I entered his work.")</f>
        <v>PPKM extended KPN I entered his work.</v>
      </c>
    </row>
    <row r="9426" ht="15.75" customHeight="1">
      <c r="A9426" s="2">
        <v>9592.0</v>
      </c>
      <c r="B9426" s="5" t="s">
        <v>17161</v>
      </c>
      <c r="C9426" s="6">
        <v>2.0</v>
      </c>
      <c r="D9426" s="7" t="s">
        <v>17162</v>
      </c>
      <c r="E9426" s="8" t="str">
        <f>IFERROR(__xludf.DUMMYFUNCTION("googletranslate(D9426,""id"",""en"")"),"Yes yes yesterday I read the newsbeb ppkm oh ppkm")</f>
        <v>Yes yes yesterday I read the newsbeb ppkm oh ppkm</v>
      </c>
    </row>
    <row r="9427" ht="15.75" customHeight="1">
      <c r="A9427" s="2">
        <v>9593.0</v>
      </c>
      <c r="B9427" s="5" t="s">
        <v>17163</v>
      </c>
      <c r="C9427" s="6">
        <v>2.0</v>
      </c>
      <c r="D9427" s="7" t="s">
        <v>17163</v>
      </c>
      <c r="E9427" s="8" t="str">
        <f>IFERROR(__xludf.DUMMYFUNCTION("googletranslate(D9427,""id"",""en"")"),"I don't know when PPKM is extended")</f>
        <v>I don't know when PPKM is extended</v>
      </c>
    </row>
    <row r="9428" ht="15.75" customHeight="1">
      <c r="A9428" s="2">
        <v>9594.0</v>
      </c>
      <c r="B9428" s="5" t="s">
        <v>17164</v>
      </c>
      <c r="C9428" s="6">
        <v>1.0</v>
      </c>
      <c r="D9428" s="7" t="s">
        <v>17165</v>
      </c>
      <c r="E9428" s="8" t="str">
        <f>IFERROR(__xludf.DUMMYFUNCTION("googletranslate(D9428,""id"",""en"")"),"PPKM Level Extends Pressing Your Karep August, Sak Happy")</f>
        <v>PPKM Level Extends Pressing Your Karep August, Sak Happy</v>
      </c>
    </row>
    <row r="9429" ht="15.75" customHeight="1">
      <c r="A9429" s="2">
        <v>9595.0</v>
      </c>
      <c r="B9429" s="5" t="s">
        <v>17166</v>
      </c>
      <c r="C9429" s="6">
        <v>1.0</v>
      </c>
      <c r="D9429" s="7" t="s">
        <v>17166</v>
      </c>
      <c r="E9429" s="8" t="str">
        <f>IFERROR(__xludf.DUMMYFUNCTION("googletranslate(D9429,""id"",""en"")"),"PPKM decreased numbers, because the test number also nurun? Wkwkwkwkwkwk")</f>
        <v>PPKM decreased numbers, because the test number also nurun? Wkwkwkwkwkwk</v>
      </c>
    </row>
    <row r="9430" ht="15.75" customHeight="1">
      <c r="A9430" s="2">
        <v>9596.0</v>
      </c>
      <c r="B9430" s="5" t="s">
        <v>17167</v>
      </c>
      <c r="C9430" s="6">
        <v>1.0</v>
      </c>
      <c r="D9430" s="9" t="s">
        <v>17168</v>
      </c>
      <c r="E9430" s="8" t="str">
        <f>IFERROR(__xludf.DUMMYFUNCTION("googletranslate(D9430,""id"",""en"")"),"Alhmdllh pa if it's extended but with the following conditions: 1. Pay for my rented house because our PPKM slma ssh krj")</f>
        <v>Alhmdllh pa if it's extended but with the following conditions: 1. Pay for my rented house because our PPKM slma ssh krj</v>
      </c>
    </row>
    <row r="9431" ht="15.75" customHeight="1">
      <c r="A9431" s="2">
        <v>9597.0</v>
      </c>
      <c r="B9431" s="5" t="s">
        <v>17169</v>
      </c>
      <c r="C9431" s="6">
        <v>2.0</v>
      </c>
      <c r="D9431" s="7" t="s">
        <v>17169</v>
      </c>
      <c r="E9431" s="8" t="str">
        <f>IFERROR(__xludf.DUMMYFUNCTION("googletranslate(D9431,""id"",""en"")"),"Ppkm extends nich wkwkw")</f>
        <v>Ppkm extends nich wkwkw</v>
      </c>
    </row>
    <row r="9432" ht="15.75" customHeight="1">
      <c r="A9432" s="2">
        <v>9598.0</v>
      </c>
      <c r="B9432" s="5" t="s">
        <v>17170</v>
      </c>
      <c r="C9432" s="6">
        <v>1.0</v>
      </c>
      <c r="D9432" s="9" t="s">
        <v>17170</v>
      </c>
      <c r="E9432" s="8" t="str">
        <f>IFERROR(__xludf.DUMMYFUNCTION("googletranslate(D9432,""id"",""en"")"),"serem gk sie told by the ppkm mulu tp kgk fed ...")</f>
        <v>serem gk sie told by the ppkm mulu tp kgk fed ...</v>
      </c>
    </row>
    <row r="9433" ht="15.75" customHeight="1">
      <c r="A9433" s="2">
        <v>9607.0</v>
      </c>
      <c r="B9433" s="5" t="s">
        <v>7173</v>
      </c>
      <c r="C9433" s="6">
        <v>2.0</v>
      </c>
      <c r="D9433" s="7" t="s">
        <v>7174</v>
      </c>
      <c r="E9433" s="8" t="str">
        <f>IFERROR(__xludf.DUMMYFUNCTION("googletranslate(D9433,""id"",""en"")"),"Yes, the viral grgr made the PPKM right event.")</f>
        <v>Yes, the viral grgr made the PPKM right event.</v>
      </c>
    </row>
    <row r="9434" ht="15.75" customHeight="1">
      <c r="A9434" s="2">
        <v>9611.0</v>
      </c>
      <c r="B9434" s="5" t="s">
        <v>17171</v>
      </c>
      <c r="C9434" s="6">
        <v>2.0</v>
      </c>
      <c r="D9434" s="7" t="s">
        <v>17172</v>
      </c>
      <c r="E9434" s="8" t="str">
        <f>IFERROR(__xludf.DUMMYFUNCTION("googletranslate(D9434,""id"",""en"")"),"BLM Emergency PPKM")</f>
        <v>BLM Emergency PPKM</v>
      </c>
    </row>
    <row r="9435" ht="15.75" customHeight="1">
      <c r="A9435" s="2">
        <v>9612.0</v>
      </c>
      <c r="B9435" s="5" t="s">
        <v>17173</v>
      </c>
      <c r="C9435" s="6">
        <v>2.0</v>
      </c>
      <c r="D9435" s="9" t="s">
        <v>17174</v>
      </c>
      <c r="E9435" s="8" t="str">
        <f>IFERROR(__xludf.DUMMYFUNCTION("googletranslate(D9435,""id"",""en"")"),"Who is the PPKM to campus ?? Yes, of course I just")</f>
        <v>Who is the PPKM to campus ?? Yes, of course I just</v>
      </c>
    </row>
    <row r="9436" ht="15.75" customHeight="1">
      <c r="A9436" s="2">
        <v>9613.0</v>
      </c>
      <c r="B9436" s="5" t="s">
        <v>17175</v>
      </c>
      <c r="C9436" s="6">
        <v>2.0</v>
      </c>
      <c r="D9436" s="7" t="s">
        <v>17176</v>
      </c>
      <c r="E9436" s="8" t="str">
        <f>IFERROR(__xludf.DUMMYFUNCTION("googletranslate(D9436,""id"",""en"")"),"No. Aq the week of a coral holiday. Masih ppkm want to go anywhere")</f>
        <v>No. Aq the week of a coral holiday. Masih ppkm want to go anywhere</v>
      </c>
    </row>
    <row r="9437" ht="15.75" customHeight="1">
      <c r="A9437" s="2">
        <v>9614.0</v>
      </c>
      <c r="B9437" s="5" t="s">
        <v>17177</v>
      </c>
      <c r="C9437" s="6">
        <v>1.0</v>
      </c>
      <c r="D9437" s="7" t="s">
        <v>17178</v>
      </c>
      <c r="E9437" s="8" t="str">
        <f>IFERROR(__xludf.DUMMYFUNCTION("googletranslate(D9437,""id"",""en"")"),"Great, this pandemic, which said the virus patient can be nongky while meatball snacks, there are those who are jogging also in Tiktok. While those who are healthy forced to be complicated and miserable by PPKM rules.")</f>
        <v>Great, this pandemic, which said the virus patient can be nongky while meatball snacks, there are those who are jogging also in Tiktok. While those who are healthy forced to be complicated and miserable by PPKM rules.</v>
      </c>
    </row>
    <row r="9438" ht="15.75" customHeight="1">
      <c r="A9438" s="2">
        <v>9615.0</v>
      </c>
      <c r="B9438" s="5" t="s">
        <v>17179</v>
      </c>
      <c r="C9438" s="6">
        <v>1.0</v>
      </c>
      <c r="D9438" s="7" t="s">
        <v>17180</v>
      </c>
      <c r="E9438" s="8" t="str">
        <f>IFERROR(__xludf.DUMMYFUNCTION("googletranslate(D9438,""id"",""en"")"),"Hopefully I will be very successful to Staycasion but PPKM")</f>
        <v>Hopefully I will be very successful to Staycasion but PPKM</v>
      </c>
    </row>
    <row r="9439" ht="15.75" customHeight="1">
      <c r="A9439" s="2">
        <v>9616.0</v>
      </c>
      <c r="B9439" s="5" t="s">
        <v>17181</v>
      </c>
      <c r="C9439" s="6">
        <v>1.0</v>
      </c>
      <c r="D9439" s="7" t="s">
        <v>17182</v>
      </c>
      <c r="E9439" s="8" t="str">
        <f>IFERROR(__xludf.DUMMYFUNCTION("googletranslate(D9439,""id"",""en"")"),"Cepet PPKM Selder, Want to Bandung from Ga So So")</f>
        <v>Cepet PPKM Selder, Want to Bandung from Ga So So</v>
      </c>
    </row>
    <row r="9440" ht="15.75" customHeight="1">
      <c r="A9440" s="2">
        <v>9617.0</v>
      </c>
      <c r="B9440" s="5" t="s">
        <v>17183</v>
      </c>
      <c r="C9440" s="6">
        <v>3.0</v>
      </c>
      <c r="D9440" s="9" t="s">
        <v>17184</v>
      </c>
      <c r="E9440" s="8" t="str">
        <f>IFERROR(__xludf.DUMMYFUNCTION("googletranslate(D9440,""id"",""en"")"),"Extended again PPKM until August, it's easy there is a change and getting down, really valuable.Apalagi klo get help for business,")</f>
        <v>Extended again PPKM until August, it's easy there is a change and getting down, really valuable.Apalagi klo get help for business,</v>
      </c>
    </row>
    <row r="9441" ht="15.75" customHeight="1">
      <c r="A9441" s="2">
        <v>9618.0</v>
      </c>
      <c r="B9441" s="5" t="s">
        <v>17185</v>
      </c>
      <c r="C9441" s="6">
        <v>3.0</v>
      </c>
      <c r="D9441" s="7" t="s">
        <v>17186</v>
      </c>
      <c r="E9441" s="8" t="str">
        <f>IFERROR(__xludf.DUMMYFUNCTION("googletranslate(D9441,""id"",""en"")"),"We succeed in PPKM")</f>
        <v>We succeed in PPKM</v>
      </c>
    </row>
    <row r="9442" ht="15.75" customHeight="1">
      <c r="A9442" s="2">
        <v>9619.0</v>
      </c>
      <c r="B9442" s="5" t="s">
        <v>17187</v>
      </c>
      <c r="C9442" s="6">
        <v>1.0</v>
      </c>
      <c r="D9442" s="9" t="s">
        <v>17188</v>
      </c>
      <c r="E9442" s="8" t="str">
        <f>IFERROR(__xludf.DUMMYFUNCTION("googletranslate(D9442,""id"",""en"")"),"Currently handling Covid19 seems messy + inconsequential, does the government unable to think clearer? Overcome the roots of violations that occur, namely the people must be given enough to eat during the PPKM without having to leave the house. Give JT / "&amp;"KK.")</f>
        <v>Currently handling Covid19 seems messy + inconsequential, does the government unable to think clearer? Overcome the roots of violations that occur, namely the people must be given enough to eat during the PPKM without having to leave the house. Give JT / KK.</v>
      </c>
    </row>
    <row r="9443" ht="15.75" customHeight="1">
      <c r="A9443" s="2">
        <v>9620.0</v>
      </c>
      <c r="B9443" s="5" t="s">
        <v>17189</v>
      </c>
      <c r="C9443" s="6">
        <v>2.0</v>
      </c>
      <c r="D9443" s="7" t="s">
        <v>17190</v>
      </c>
      <c r="E9443" s="8" t="str">
        <f>IFERROR(__xludf.DUMMYFUNCTION("googletranslate(D9443,""id"",""en"")"),"The right PSBB is still listed by PPKM, it has changed people, where is his voice")</f>
        <v>The right PSBB is still listed by PPKM, it has changed people, where is his voice</v>
      </c>
    </row>
    <row r="9444" ht="15.75" customHeight="1">
      <c r="A9444" s="2">
        <v>9621.0</v>
      </c>
      <c r="B9444" s="5" t="s">
        <v>17191</v>
      </c>
      <c r="C9444" s="6">
        <v>3.0</v>
      </c>
      <c r="D9444" s="10" t="s">
        <v>17192</v>
      </c>
      <c r="E9444" s="8" t="str">
        <f>IFERROR(__xludf.DUMMYFUNCTION("googletranslate(D9444,""id"",""en"")"),"Help PPKM.")</f>
        <v>Help PPKM.</v>
      </c>
    </row>
    <row r="9445" ht="15.75" customHeight="1">
      <c r="A9445" s="2">
        <v>9622.0</v>
      </c>
      <c r="B9445" s="5" t="s">
        <v>17193</v>
      </c>
      <c r="C9445" s="6">
        <v>2.0</v>
      </c>
      <c r="D9445" s="9" t="s">
        <v>17194</v>
      </c>
      <c r="E9445" s="8" t="str">
        <f>IFERROR(__xludf.DUMMYFUNCTION("googletranslate(D9445,""id"",""en"")"),"yes ma'am, but don't be too confident first, can it be because of the Effect of PPKM right?")</f>
        <v>yes ma'am, but don't be too confident first, can it be because of the Effect of PPKM right?</v>
      </c>
    </row>
    <row r="9446" ht="15.75" customHeight="1">
      <c r="A9446" s="2">
        <v>9623.0</v>
      </c>
      <c r="B9446" s="5" t="s">
        <v>17195</v>
      </c>
      <c r="C9446" s="6">
        <v>2.0</v>
      </c>
      <c r="D9446" s="7" t="s">
        <v>17196</v>
      </c>
      <c r="E9446" s="8" t="str">
        <f>IFERROR(__xludf.DUMMYFUNCTION("googletranslate(D9446,""id"",""en"")"),"Ayookktapi waiting for PPKM finished")</f>
        <v>Ayookktapi waiting for PPKM finished</v>
      </c>
    </row>
    <row r="9447" ht="15.75" customHeight="1">
      <c r="A9447" s="2">
        <v>9624.0</v>
      </c>
      <c r="B9447" s="5" t="s">
        <v>17197</v>
      </c>
      <c r="C9447" s="6">
        <v>2.0</v>
      </c>
      <c r="D9447" s="9" t="s">
        <v>17198</v>
      </c>
      <c r="E9447" s="8" t="str">
        <f>IFERROR(__xludf.DUMMYFUNCTION("googletranslate(D9447,""id"",""en"")"),"PPKM still continues. So I don't know until when")</f>
        <v>PPKM still continues. So I don't know until when</v>
      </c>
    </row>
    <row r="9448" ht="15.75" customHeight="1">
      <c r="A9448" s="2">
        <v>9625.0</v>
      </c>
      <c r="B9448" s="5" t="s">
        <v>17199</v>
      </c>
      <c r="C9448" s="6">
        <v>3.0</v>
      </c>
      <c r="D9448" s="7" t="s">
        <v>17200</v>
      </c>
      <c r="E9448" s="8" t="str">
        <f>IFERROR(__xludf.DUMMYFUNCTION("googletranslate(D9448,""id"",""en"")"),"Really happy if the PPKM level can open a business again, my neighbor even though there is an operating hours huh")</f>
        <v>Really happy if the PPKM level can open a business again, my neighbor even though there is an operating hours huh</v>
      </c>
    </row>
    <row r="9449" ht="15.75" customHeight="1">
      <c r="A9449" s="2">
        <v>9626.0</v>
      </c>
      <c r="B9449" s="5" t="s">
        <v>17201</v>
      </c>
      <c r="C9449" s="6">
        <v>2.0</v>
      </c>
      <c r="D9449" s="10" t="s">
        <v>17202</v>
      </c>
      <c r="E9449" s="8" t="str">
        <f>IFERROR(__xludf.DUMMYFUNCTION("googletranslate(D9449,""id"",""en"")"),"Ppkm wkwk ffuu.")</f>
        <v>Ppkm wkwk ffuu.</v>
      </c>
    </row>
    <row r="9450" ht="15.75" customHeight="1">
      <c r="A9450" s="2">
        <v>9627.0</v>
      </c>
      <c r="B9450" s="5" t="s">
        <v>17203</v>
      </c>
      <c r="C9450" s="6">
        <v>1.0</v>
      </c>
      <c r="D9450" s="7" t="s">
        <v>17204</v>
      </c>
      <c r="E9450" s="8" t="str">
        <f>IFERROR(__xludf.DUMMYFUNCTION("googletranslate(D9450,""id"",""en"")"),"This lecturer reason is damaged by stress because of the PPKM ... hopefully his deeds will be accepted by him")</f>
        <v>This lecturer reason is damaged by stress because of the PPKM ... hopefully his deeds will be accepted by him</v>
      </c>
    </row>
    <row r="9451" ht="15.75" customHeight="1">
      <c r="A9451" s="2">
        <v>9628.0</v>
      </c>
      <c r="B9451" s="5" t="s">
        <v>17205</v>
      </c>
      <c r="C9451" s="6">
        <v>1.0</v>
      </c>
      <c r="D9451" s="7" t="s">
        <v>17206</v>
      </c>
      <c r="E9451" s="8" t="str">
        <f>IFERROR(__xludf.DUMMYFUNCTION("googletranslate(D9451,""id"",""en"")"),"When I saw Shopee ""I hemes, I want to buy"" I said, PPKM heh or payday")</f>
        <v>When I saw Shopee "I hemes, I want to buy" I said, PPKM heh or payday</v>
      </c>
    </row>
    <row r="9452" ht="15.75" customHeight="1">
      <c r="A9452" s="2">
        <v>9629.0</v>
      </c>
      <c r="B9452" s="5" t="s">
        <v>17207</v>
      </c>
      <c r="C9452" s="6">
        <v>3.0</v>
      </c>
      <c r="D9452" s="7" t="s">
        <v>17208</v>
      </c>
      <c r="E9452" s="8" t="str">
        <f>IFERROR(__xludf.DUMMYFUNCTION("googletranslate(D9452,""id"",""en"")"),"Participate in supporting PPKM Level so that the Indonesian economy is more stable")</f>
        <v>Participate in supporting PPKM Level so that the Indonesian economy is more stable</v>
      </c>
    </row>
    <row r="9453" ht="15.75" customHeight="1">
      <c r="A9453" s="2">
        <v>9630.0</v>
      </c>
      <c r="B9453" s="5" t="s">
        <v>17209</v>
      </c>
      <c r="C9453" s="6">
        <v>2.0</v>
      </c>
      <c r="D9453" s="7" t="s">
        <v>17210</v>
      </c>
      <c r="E9453" s="8" t="str">
        <f>IFERROR(__xludf.DUMMYFUNCTION("googletranslate(D9453,""id"",""en"")"),"PPKM? This month the battery is overtime the clock turns out the important thing is not just burnout")</f>
        <v>PPKM? This month the battery is overtime the clock turns out the important thing is not just burnout</v>
      </c>
    </row>
    <row r="9454" ht="15.75" customHeight="1">
      <c r="A9454" s="2">
        <v>9631.0</v>
      </c>
      <c r="B9454" s="5" t="s">
        <v>17211</v>
      </c>
      <c r="C9454" s="6">
        <v>3.0</v>
      </c>
      <c r="D9454" s="7" t="s">
        <v>17212</v>
      </c>
      <c r="E9454" s="8" t="str">
        <f>IFERROR(__xludf.DUMMYFUNCTION("googletranslate(D9454,""id"",""en"")"),"It's really that open, open the sad news, hiks ... Smooga PPKM can reduce the mortality rate due to Covid-19")</f>
        <v>It's really that open, open the sad news, hiks ... Smooga PPKM can reduce the mortality rate due to Covid-19</v>
      </c>
    </row>
    <row r="9455" ht="15.75" customHeight="1">
      <c r="A9455" s="2">
        <v>9632.0</v>
      </c>
      <c r="B9455" s="5" t="s">
        <v>17213</v>
      </c>
      <c r="C9455" s="6">
        <v>1.0</v>
      </c>
      <c r="D9455" s="9" t="s">
        <v>17214</v>
      </c>
      <c r="E9455" s="8" t="str">
        <f>IFERROR(__xludf.DUMMYFUNCTION("googletranslate(D9455,""id"",""en"")"),"Just ppkm jadrun starvation especially lockdown. Kadrun Mending Lockdown himself first. The mosque doesn't open the cluster, he said asking for Lockdown but still to the mosque. Lockdown Mr. Lo.")</f>
        <v>Just ppkm jadrun starvation especially lockdown. Kadrun Mending Lockdown himself first. The mosque doesn't open the cluster, he said asking for Lockdown but still to the mosque. Lockdown Mr. Lo.</v>
      </c>
    </row>
    <row r="9456" ht="15.75" customHeight="1">
      <c r="A9456" s="2">
        <v>9633.0</v>
      </c>
      <c r="B9456" s="5" t="s">
        <v>17215</v>
      </c>
      <c r="C9456" s="6">
        <v>1.0</v>
      </c>
      <c r="D9456" s="9" t="s">
        <v>17216</v>
      </c>
      <c r="E9456" s="8" t="str">
        <f>IFERROR(__xludf.DUMMYFUNCTION("googletranslate(D9456,""id"",""en"")"),"Maybe it's not a ppkm or what is the more namayatapi to fear if it must be scrambling for oxygen")</f>
        <v>Maybe it's not a ppkm or what is the more namayatapi to fear if it must be scrambling for oxygen</v>
      </c>
    </row>
    <row r="9457" ht="15.75" customHeight="1">
      <c r="A9457" s="2">
        <v>9634.0</v>
      </c>
      <c r="B9457" s="5" t="s">
        <v>17217</v>
      </c>
      <c r="C9457" s="6">
        <v>1.0</v>
      </c>
      <c r="D9457" s="7" t="s">
        <v>17218</v>
      </c>
      <c r="E9457" s="8" t="str">
        <f>IFERROR(__xludf.DUMMYFUNCTION("googletranslate(D9457,""id"",""en"")"),"And who violates PPKM for the sake of making a living just fill the stomach, go to jail !!")</f>
        <v>And who violates PPKM for the sake of making a living just fill the stomach, go to jail !!</v>
      </c>
    </row>
    <row r="9458" ht="15.75" customHeight="1">
      <c r="A9458" s="2">
        <v>9635.0</v>
      </c>
      <c r="B9458" s="5" t="s">
        <v>17219</v>
      </c>
      <c r="C9458" s="6">
        <v>3.0</v>
      </c>
      <c r="D9458" s="10" t="s">
        <v>7294</v>
      </c>
      <c r="E9458" s="8" t="str">
        <f>IFERROR(__xludf.DUMMYFUNCTION("googletranslate(D9458,""id"",""en"")"),"Support PPKM")</f>
        <v>Support PPKM</v>
      </c>
    </row>
    <row r="9459" ht="15.75" customHeight="1">
      <c r="A9459" s="2">
        <v>9636.0</v>
      </c>
      <c r="B9459" s="5" t="s">
        <v>17220</v>
      </c>
      <c r="C9459" s="6">
        <v>3.0</v>
      </c>
      <c r="D9459" s="7" t="s">
        <v>17221</v>
      </c>
      <c r="E9459" s="8" t="str">
        <f>IFERROR(__xludf.DUMMYFUNCTION("googletranslate(D9459,""id"",""en"")"),"Already know MBK, hopefully this PPKM is maximal and residents can sell it again")</f>
        <v>Already know MBK, hopefully this PPKM is maximal and residents can sell it again</v>
      </c>
    </row>
    <row r="9460" ht="15.75" customHeight="1">
      <c r="A9460" s="2">
        <v>9637.0</v>
      </c>
      <c r="B9460" s="5" t="s">
        <v>17222</v>
      </c>
      <c r="C9460" s="6">
        <v>2.0</v>
      </c>
      <c r="D9460" s="7" t="s">
        <v>17223</v>
      </c>
      <c r="E9460" s="8" t="str">
        <f>IFERROR(__xludf.DUMMYFUNCTION("googletranslate(D9460,""id"",""en"")"),"Mr. President is sweet | PPKM")</f>
        <v>Mr. President is sweet | PPKM</v>
      </c>
    </row>
    <row r="9461" ht="15.75" customHeight="1">
      <c r="A9461" s="2">
        <v>9638.0</v>
      </c>
      <c r="B9461" s="5" t="s">
        <v>17224</v>
      </c>
      <c r="C9461" s="6">
        <v>2.0</v>
      </c>
      <c r="D9461" s="7" t="s">
        <v>17225</v>
      </c>
      <c r="E9461" s="8" t="str">
        <f>IFERROR(__xludf.DUMMYFUNCTION("googletranslate(D9461,""id"",""en"")"),"PPKM Stop if Yu Na Bi is aware")</f>
        <v>PPKM Stop if Yu Na Bi is aware</v>
      </c>
    </row>
    <row r="9462" ht="15.75" customHeight="1">
      <c r="A9462" s="2">
        <v>9639.0</v>
      </c>
      <c r="B9462" s="5" t="s">
        <v>17226</v>
      </c>
      <c r="C9462" s="6">
        <v>3.0</v>
      </c>
      <c r="D9462" s="9" t="s">
        <v>17227</v>
      </c>
      <c r="E9462" s="8" t="str">
        <f>IFERROR(__xludf.DUMMYFUNCTION("googletranslate(D9462,""id"",""en"")"),"Indonesia must be able to be healthy again, so that life goes and returns to normal. So, vaccines, tight prokes and obedient PPKM are the way out if you want our lives back forty as before.")</f>
        <v>Indonesia must be able to be healthy again, so that life goes and returns to normal. So, vaccines, tight prokes and obedient PPKM are the way out if you want our lives back forty as before.</v>
      </c>
    </row>
    <row r="9463" ht="15.75" customHeight="1">
      <c r="A9463" s="2">
        <v>9640.0</v>
      </c>
      <c r="B9463" s="5" t="s">
        <v>17228</v>
      </c>
      <c r="C9463" s="6">
        <v>1.0</v>
      </c>
      <c r="D9463" s="7" t="s">
        <v>17229</v>
      </c>
      <c r="E9463" s="8" t="str">
        <f>IFERROR(__xludf.DUMMYFUNCTION("googletranslate(D9463,""id"",""en"")"),"BGM believes every day the people die thousands, while PPKM does not support handling except preventing people's activities")</f>
        <v>BGM believes every day the people die thousands, while PPKM does not support handling except preventing people's activities</v>
      </c>
    </row>
    <row r="9464" ht="15.75" customHeight="1">
      <c r="A9464" s="2">
        <v>9654.0</v>
      </c>
      <c r="B9464" s="5" t="s">
        <v>17230</v>
      </c>
      <c r="C9464" s="6">
        <v>1.0</v>
      </c>
      <c r="D9464" s="7" t="s">
        <v>17230</v>
      </c>
      <c r="E9464" s="8" t="str">
        <f>IFERROR(__xludf.DUMMYFUNCTION("googletranslate(D9464,""id"",""en"")"),"Ppkm extended but your friendship will not be extended")</f>
        <v>Ppkm extended but your friendship will not be extended</v>
      </c>
    </row>
    <row r="9465" ht="15.75" customHeight="1">
      <c r="A9465" s="2">
        <v>9655.0</v>
      </c>
      <c r="B9465" s="5" t="s">
        <v>17231</v>
      </c>
      <c r="C9465" s="6">
        <v>1.0</v>
      </c>
      <c r="D9465" s="7" t="s">
        <v>17231</v>
      </c>
      <c r="E9465" s="8" t="str">
        <f>IFERROR(__xludf.DUMMYFUNCTION("googletranslate(D9465,""id"",""en"")"),"Yes, this way, the Bank's branch office is close, diverted to the main office. PPKM IS SUCKS FROM EVERY ASPECT")</f>
        <v>Yes, this way, the Bank's branch office is close, diverted to the main office. PPKM IS SUCKS FROM EVERY ASPECT</v>
      </c>
    </row>
    <row r="9466" ht="15.75" customHeight="1">
      <c r="A9466" s="2">
        <v>9656.0</v>
      </c>
      <c r="B9466" s="5" t="s">
        <v>17232</v>
      </c>
      <c r="C9466" s="6">
        <v>3.0</v>
      </c>
      <c r="D9466" s="7" t="s">
        <v>17233</v>
      </c>
      <c r="E9466" s="8" t="str">
        <f>IFERROR(__xludf.DUMMYFUNCTION("googletranslate(D9466,""id"",""en"")"),"And join the vaccine so that this pandemic is not prolonged. Let's save the nation with your contribution. Follow Prokes, PPKM and join the vaccine ... ok? No ad compromise to live healthy!")</f>
        <v>And join the vaccine so that this pandemic is not prolonged. Let's save the nation with your contribution. Follow Prokes, PPKM and join the vaccine ... ok? No ad compromise to live healthy!</v>
      </c>
    </row>
    <row r="9467" ht="15.75" customHeight="1">
      <c r="A9467" s="2">
        <v>9657.0</v>
      </c>
      <c r="B9467" s="5" t="s">
        <v>17234</v>
      </c>
      <c r="C9467" s="6">
        <v>1.0</v>
      </c>
      <c r="D9467" s="7" t="s">
        <v>17235</v>
      </c>
      <c r="E9467" s="8" t="str">
        <f>IFERROR(__xludf.DUMMYFUNCTION("googletranslate(D9467,""id"",""en"")"),"What exactly is the purpose of this PPKM so that the oxygen distribution vehicle for sick people is not permitted to pass. Even though there are so many sick people who are emergency and need oxygen. He said PPKM to save human life, but ...")</f>
        <v>What exactly is the purpose of this PPKM so that the oxygen distribution vehicle for sick people is not permitted to pass. Even though there are so many sick people who are emergency and need oxygen. He said PPKM to save human life, but ...</v>
      </c>
    </row>
    <row r="9468" ht="15.75" customHeight="1">
      <c r="A9468" s="2">
        <v>9658.0</v>
      </c>
      <c r="B9468" s="5" t="s">
        <v>17236</v>
      </c>
      <c r="C9468" s="6">
        <v>1.0</v>
      </c>
      <c r="D9468" s="9" t="s">
        <v>17237</v>
      </c>
      <c r="E9468" s="8" t="str">
        <f>IFERROR(__xludf.DUMMYFUNCTION("googletranslate(D9468,""id"",""en"")"),"PPKM ... certain direction roads are closed. But there are instructions to the city of turning left. The point is TTP passes only through another road. Macetny moves. As a result, the PPKM tour is successful in East Java ... so it's not a restriction but "&amp;"a shift. It's funny?")</f>
        <v>PPKM ... certain direction roads are closed. But there are instructions to the city of turning left. The point is TTP passes only through another road. Macetny moves. As a result, the PPKM tour is successful in East Java ... so it's not a restriction but a shift. It's funny?</v>
      </c>
    </row>
    <row r="9469" ht="15.75" customHeight="1">
      <c r="A9469" s="2">
        <v>9659.0</v>
      </c>
      <c r="B9469" s="5" t="s">
        <v>17238</v>
      </c>
      <c r="C9469" s="6">
        <v>2.0</v>
      </c>
      <c r="D9469" s="7" t="s">
        <v>17239</v>
      </c>
      <c r="E9469" s="8" t="str">
        <f>IFERROR(__xludf.DUMMYFUNCTION("googletranslate(D9469,""id"",""en"")"),"Miss leaving the morning at the morning of the middle of the night again ... it's easy to quickly improve and no more ppkm")</f>
        <v>Miss leaving the morning at the morning of the middle of the night again ... it's easy to quickly improve and no more ppkm</v>
      </c>
    </row>
    <row r="9470" ht="15.75" customHeight="1">
      <c r="A9470" s="2">
        <v>9660.0</v>
      </c>
      <c r="B9470" s="5" t="s">
        <v>17240</v>
      </c>
      <c r="C9470" s="6">
        <v>2.0</v>
      </c>
      <c r="D9470" s="7" t="s">
        <v>17241</v>
      </c>
      <c r="E9470" s="8" t="str">
        <f>IFERROR(__xludf.DUMMYFUNCTION("googletranslate(D9470,""id"",""en"")"),"Is this in Korea PPKM too?")</f>
        <v>Is this in Korea PPKM too?</v>
      </c>
    </row>
    <row r="9471" ht="15.75" customHeight="1">
      <c r="A9471" s="2">
        <v>9661.0</v>
      </c>
      <c r="B9471" s="5" t="s">
        <v>17242</v>
      </c>
      <c r="C9471" s="6">
        <v>3.0</v>
      </c>
      <c r="D9471" s="7" t="s">
        <v>17243</v>
      </c>
      <c r="E9471" s="8" t="str">
        <f>IFERROR(__xludf.DUMMYFUNCTION("googletranslate(D9471,""id"",""en"")"),"PPKM must be pleasured so that the immune remains high")</f>
        <v>PPKM must be pleasured so that the immune remains high</v>
      </c>
    </row>
    <row r="9472" ht="15.75" customHeight="1">
      <c r="A9472" s="2">
        <v>9662.0</v>
      </c>
      <c r="B9472" s="5" t="s">
        <v>17244</v>
      </c>
      <c r="C9472" s="6">
        <v>1.0</v>
      </c>
      <c r="D9472" s="9" t="s">
        <v>17245</v>
      </c>
      <c r="E9472" s="8" t="str">
        <f>IFERROR(__xludf.DUMMYFUNCTION("googletranslate(D9472,""id"",""en"")"),"Mr. JK, what do you want to give a solution to give a problem? Imagine if the government does the Lockdown of the people, what businessman doesn't hurt? PPKM applied only to scream. If Lockdown runs out how many trillion state money is to confront to the "&amp;"people? What if the lockdown is old?")</f>
        <v>Mr. JK, what do you want to give a solution to give a problem? Imagine if the government does the Lockdown of the people, what businessman doesn't hurt? PPKM applied only to scream. If Lockdown runs out how many trillion state money is to confront to the people? What if the lockdown is old?</v>
      </c>
    </row>
    <row r="9473" ht="15.75" customHeight="1">
      <c r="A9473" s="2">
        <v>9663.0</v>
      </c>
      <c r="B9473" s="5" t="s">
        <v>17246</v>
      </c>
      <c r="C9473" s="6">
        <v>1.0</v>
      </c>
      <c r="D9473" s="9" t="s">
        <v>17247</v>
      </c>
      <c r="E9473" s="8" t="str">
        <f>IFERROR(__xludf.DUMMYFUNCTION("googletranslate(D9473,""id"",""en"")"),"Friday July - Sunday through PPKM PSBB PSPB PPKN PMP What's the area around the child Pak Lurah: Lebay Jalan2 Closed Water Barrier But told to look for your own road - Ponorogo - Trenggalek - Tulungagung - Blitar? Loss Doll")</f>
        <v>Friday July - Sunday through PPKM PSBB PSPB PPKN PMP What's the area around the child Pak Lurah: Lebay Jalan2 Closed Water Barrier But told to look for your own road - Ponorogo - Trenggalek - Tulungagung - Blitar? Loss Doll</v>
      </c>
    </row>
    <row r="9474" ht="15.75" customHeight="1">
      <c r="A9474" s="2">
        <v>9664.0</v>
      </c>
      <c r="B9474" s="5" t="s">
        <v>17248</v>
      </c>
      <c r="C9474" s="6">
        <v>1.0</v>
      </c>
      <c r="D9474" s="9" t="s">
        <v>17249</v>
      </c>
      <c r="E9474" s="8" t="str">
        <f>IFERROR(__xludf.DUMMYFUNCTION("googletranslate(D9474,""id"",""en"")"),"If the argument needs to be chewed, I agree. But if you smoke at the place where it doesn't urgent. Mending should not eat, just come out ... Don't bother the business owner in this difficult PPKM time")</f>
        <v>If the argument needs to be chewed, I agree. But if you smoke at the place where it doesn't urgent. Mending should not eat, just come out ... Don't bother the business owner in this difficult PPKM time</v>
      </c>
    </row>
    <row r="9475" ht="15.75" customHeight="1">
      <c r="A9475" s="2">
        <v>9665.0</v>
      </c>
      <c r="B9475" s="5" t="s">
        <v>17250</v>
      </c>
      <c r="C9475" s="6">
        <v>2.0</v>
      </c>
      <c r="D9475" s="9" t="s">
        <v>17251</v>
      </c>
      <c r="E9475" s="8" t="str">
        <f>IFERROR(__xludf.DUMMYFUNCTION("googletranslate(D9475,""id"",""en"")"),"$ Number $ An degree, the reason for going out of the house is not because of PPKM or is prohibited but because it's really hot out for a moment, it's been burned here")</f>
        <v>$ Number $ An degree, the reason for going out of the house is not because of PPKM or is prohibited but because it's really hot out for a moment, it's been burned here</v>
      </c>
    </row>
    <row r="9476" ht="15.75" customHeight="1">
      <c r="A9476" s="2">
        <v>9666.0</v>
      </c>
      <c r="B9476" s="5" t="s">
        <v>17252</v>
      </c>
      <c r="C9476" s="6">
        <v>3.0</v>
      </c>
      <c r="D9476" s="7" t="s">
        <v>17253</v>
      </c>
      <c r="E9476" s="8" t="str">
        <f>IFERROR(__xludf.DUMMYFUNCTION("googletranslate(D9476,""id"",""en"")"),"Since deciding the Emergency PPKM which is currently extended to PPKM Level, has been proven to have pressed the Covid19 ssuspect number.")</f>
        <v>Since deciding the Emergency PPKM which is currently extended to PPKM Level, has been proven to have pressed the Covid19 ssuspect number.</v>
      </c>
    </row>
    <row r="9477" ht="15.75" customHeight="1">
      <c r="A9477" s="2">
        <v>9667.0</v>
      </c>
      <c r="B9477" s="5" t="s">
        <v>17254</v>
      </c>
      <c r="C9477" s="6">
        <v>3.0</v>
      </c>
      <c r="D9477" s="9" t="s">
        <v>17255</v>
      </c>
      <c r="E9477" s="8" t="str">
        <f>IFERROR(__xludf.DUMMYFUNCTION("googletranslate(D9477,""id"",""en"")"),"With an extended Emergency PPKM, hopefully it can reduce the surge in Covid-19 case.")</f>
        <v>With an extended Emergency PPKM, hopefully it can reduce the surge in Covid-19 case.</v>
      </c>
    </row>
    <row r="9478" ht="15.75" customHeight="1">
      <c r="A9478" s="2">
        <v>9668.0</v>
      </c>
      <c r="B9478" s="5" t="s">
        <v>17256</v>
      </c>
      <c r="C9478" s="6">
        <v>1.0</v>
      </c>
      <c r="D9478" s="7" t="s">
        <v>17257</v>
      </c>
      <c r="E9478" s="8" t="str">
        <f>IFERROR(__xludf.DUMMYFUNCTION("googletranslate(D9478,""id"",""en"")"),"Remember, please use the level of however extended, provided the people's sufferers are shortened.")</f>
        <v>Remember, please use the level of however extended, provided the people's sufferers are shortened.</v>
      </c>
    </row>
    <row r="9479" ht="15.75" customHeight="1">
      <c r="A9479" s="2">
        <v>9669.0</v>
      </c>
      <c r="B9479" s="5" t="s">
        <v>17258</v>
      </c>
      <c r="C9479" s="6">
        <v>1.0</v>
      </c>
      <c r="D9479" s="9" t="s">
        <v>17259</v>
      </c>
      <c r="E9479" s="8" t="str">
        <f>IFERROR(__xludf.DUMMYFUNCTION("googletranslate(D9479,""id"",""en"")"),"The logic is not yes, the PPKM demo is escorted by the cost of the state, selling. Fig foot was channeled by a living, even Melon gas was taken")</f>
        <v>The logic is not yes, the PPKM demo is escorted by the cost of the state, selling. Fig foot was channeled by a living, even Melon gas was taken</v>
      </c>
    </row>
    <row r="9480" ht="15.75" customHeight="1">
      <c r="A9480" s="2">
        <v>9670.0</v>
      </c>
      <c r="B9480" s="5" t="s">
        <v>17260</v>
      </c>
      <c r="C9480" s="6">
        <v>3.0</v>
      </c>
      <c r="D9480" s="9" t="s">
        <v>17261</v>
      </c>
      <c r="E9480" s="8" t="str">
        <f>IFERROR(__xludf.DUMMYFUNCTION("googletranslate(D9480,""id"",""en"")"),"Carry out in an emergency PPKM level in the entire area that applies. Together we work together to prevent the spread of Covid-19 for Indonesia to recover and get up!")</f>
        <v>Carry out in an emergency PPKM level in the entire area that applies. Together we work together to prevent the spread of Covid-19 for Indonesia to recover and get up!</v>
      </c>
    </row>
    <row r="9481" ht="15.75" customHeight="1">
      <c r="A9481" s="2">
        <v>9671.0</v>
      </c>
      <c r="B9481" s="5" t="s">
        <v>17262</v>
      </c>
      <c r="C9481" s="6">
        <v>3.0</v>
      </c>
      <c r="D9481" s="7" t="s">
        <v>17263</v>
      </c>
      <c r="E9481" s="8" t="str">
        <f>IFERROR(__xludf.DUMMYFUNCTION("googletranslate(D9481,""id"",""en"")"),"!! Not obedient can make it fast dead. Don't be stubborn, helped to lighten the nakes obey this PPKM so as not to drag on.")</f>
        <v>!! Not obedient can make it fast dead. Don't be stubborn, helped to lighten the nakes obey this PPKM so as not to drag on.</v>
      </c>
    </row>
    <row r="9482" ht="15.75" customHeight="1">
      <c r="A9482" s="2">
        <v>9672.0</v>
      </c>
      <c r="B9482" s="5" t="s">
        <v>17264</v>
      </c>
      <c r="C9482" s="6">
        <v>1.0</v>
      </c>
      <c r="D9482" s="7" t="s">
        <v>17265</v>
      </c>
      <c r="E9482" s="8" t="str">
        <f>IFERROR(__xludf.DUMMYFUNCTION("googletranslate(D9482,""id"",""en"")"),"Around here is still a lot of worship in congregation even in the middle of the PPKM")</f>
        <v>Around here is still a lot of worship in congregation even in the middle of the PPKM</v>
      </c>
    </row>
    <row r="9483" ht="15.75" customHeight="1">
      <c r="A9483" s="2">
        <v>9673.0</v>
      </c>
      <c r="B9483" s="5" t="s">
        <v>17266</v>
      </c>
      <c r="C9483" s="6">
        <v>2.0</v>
      </c>
      <c r="D9483" s="7" t="s">
        <v>17267</v>
      </c>
      <c r="E9483" s="8" t="str">
        <f>IFERROR(__xludf.DUMMYFUNCTION("googletranslate(D9483,""id"",""en"")"),"Wait is open yes ppkm gini")</f>
        <v>Wait is open yes ppkm gini</v>
      </c>
    </row>
    <row r="9484" ht="15.75" customHeight="1">
      <c r="A9484" s="2">
        <v>9674.0</v>
      </c>
      <c r="B9484" s="5" t="s">
        <v>17268</v>
      </c>
      <c r="C9484" s="6">
        <v>3.0</v>
      </c>
      <c r="D9484" s="7" t="s">
        <v>17269</v>
      </c>
      <c r="E9484" s="8" t="str">
        <f>IFERROR(__xludf.DUMMYFUNCTION("googletranslate(D9484,""id"",""en"")"),"Combined again held a patrol in the framework of an extended PPKM level until August. Patrols are carried out to enforce PPKM rules and proced discipline")</f>
        <v>Combined again held a patrol in the framework of an extended PPKM level until August. Patrols are carried out to enforce PPKM rules and proced discipline</v>
      </c>
    </row>
    <row r="9485" ht="15.75" customHeight="1">
      <c r="A9485" s="2">
        <v>9675.0</v>
      </c>
      <c r="B9485" s="5" t="s">
        <v>17270</v>
      </c>
      <c r="C9485" s="6">
        <v>3.0</v>
      </c>
      <c r="D9485" s="7" t="s">
        <v>17271</v>
      </c>
      <c r="E9485" s="8" t="str">
        <f>IFERROR(__xludf.DUMMYFUNCTION("googletranslate(D9485,""id"",""en"")"),"&amp; amp; Together we support the Emergency Emergency Level Extension")</f>
        <v>&amp; amp; Together we support the Emergency Emergency Level Extension</v>
      </c>
    </row>
    <row r="9486" ht="15.75" customHeight="1">
      <c r="A9486" s="2">
        <v>9676.0</v>
      </c>
      <c r="B9486" s="5" t="s">
        <v>17272</v>
      </c>
      <c r="C9486" s="6">
        <v>3.0</v>
      </c>
      <c r="D9486" s="9" t="s">
        <v>17273</v>
      </c>
      <c r="E9486" s="8" t="str">
        <f>IFERROR(__xludf.DUMMYFUNCTION("googletranslate(D9486,""id"",""en"")"),"Sure &amp; amp; Believe if we together unite implementing this level PPKM we will be able to go through this pandemic ..")</f>
        <v>Sure &amp; amp; Believe if we together unite implementing this level PPKM we will be able to go through this pandemic ..</v>
      </c>
    </row>
    <row r="9487" ht="15.75" customHeight="1">
      <c r="A9487" s="2">
        <v>9677.0</v>
      </c>
      <c r="B9487" s="5" t="s">
        <v>17274</v>
      </c>
      <c r="C9487" s="6">
        <v>3.0</v>
      </c>
      <c r="D9487" s="7" t="s">
        <v>17275</v>
      </c>
      <c r="E9487" s="8" t="str">
        <f>IFERROR(__xludf.DUMMYFUNCTION("googletranslate(D9487,""id"",""en"")"),"Government Pinta is very easy to do, even a piece. Obediently during the PPKM level in the level!")</f>
        <v>Government Pinta is very easy to do, even a piece. Obediently during the PPKM level in the level!</v>
      </c>
    </row>
    <row r="9488" ht="15.75" customHeight="1">
      <c r="A9488" s="2">
        <v>9678.0</v>
      </c>
      <c r="B9488" s="5" t="s">
        <v>17276</v>
      </c>
      <c r="C9488" s="6">
        <v>3.0</v>
      </c>
      <c r="D9488" s="9" t="s">
        <v>17277</v>
      </c>
      <c r="E9488" s="8" t="str">
        <f>IFERROR(__xludf.DUMMYFUNCTION("googletranslate(D9488,""id"",""en"")"),"Emergency PPKM for mutual interests, there is a profit of loss, which is clearly a surge in Covid-19 cases reduced.")</f>
        <v>Emergency PPKM for mutual interests, there is a profit of loss, which is clearly a surge in Covid-19 cases reduced.</v>
      </c>
    </row>
    <row r="9489" ht="15.75" customHeight="1">
      <c r="A9489" s="2">
        <v>9679.0</v>
      </c>
      <c r="B9489" s="5" t="s">
        <v>17278</v>
      </c>
      <c r="C9489" s="6">
        <v>3.0</v>
      </c>
      <c r="D9489" s="7" t="s">
        <v>17279</v>
      </c>
      <c r="E9489" s="8" t="str">
        <f>IFERROR(__xludf.DUMMYFUNCTION("googletranslate(D9489,""id"",""en"")"),"I keep supporting an extended emergency PPKM to a level.")</f>
        <v>I keep supporting an extended emergency PPKM to a level.</v>
      </c>
    </row>
    <row r="9490" ht="15.75" customHeight="1">
      <c r="A9490" s="2">
        <v>9680.0</v>
      </c>
      <c r="B9490" s="5" t="s">
        <v>17280</v>
      </c>
      <c r="C9490" s="6">
        <v>3.0</v>
      </c>
      <c r="D9490" s="9" t="s">
        <v>17255</v>
      </c>
      <c r="E9490" s="8" t="str">
        <f>IFERROR(__xludf.DUMMYFUNCTION("googletranslate(D9490,""id"",""en"")"),"With an extended Emergency PPKM, hopefully it can reduce the surge in Covid-19 case.")</f>
        <v>With an extended Emergency PPKM, hopefully it can reduce the surge in Covid-19 case.</v>
      </c>
    </row>
    <row r="9491" ht="15.75" customHeight="1">
      <c r="A9491" s="2">
        <v>9681.0</v>
      </c>
      <c r="B9491" s="5" t="s">
        <v>17281</v>
      </c>
      <c r="C9491" s="6">
        <v>3.0</v>
      </c>
      <c r="D9491" s="7" t="s">
        <v>17282</v>
      </c>
      <c r="E9491" s="8" t="str">
        <f>IFERROR(__xludf.DUMMYFUNCTION("googletranslate(D9491,""id"",""en"")"),"Joint Safety Let us support the Emergency Emergency PPKM extension.")</f>
        <v>Joint Safety Let us support the Emergency Emergency PPKM extension.</v>
      </c>
    </row>
    <row r="9492" ht="15.75" customHeight="1">
      <c r="A9492" s="2">
        <v>9682.0</v>
      </c>
      <c r="B9492" s="5" t="s">
        <v>17283</v>
      </c>
      <c r="C9492" s="6">
        <v>3.0</v>
      </c>
      <c r="D9492" s="9" t="s">
        <v>17284</v>
      </c>
      <c r="E9492" s="8" t="str">
        <f>IFERROR(__xludf.DUMMYFUNCTION("googletranslate(D9492,""id"",""en"")"),"Obey the prokes, at home if there is no urgent need, support emergency PPKM so that Covid will immediately pass.")</f>
        <v>Obey the prokes, at home if there is no urgent need, support emergency PPKM so that Covid will immediately pass.</v>
      </c>
    </row>
    <row r="9493" ht="15.75" customHeight="1">
      <c r="A9493" s="2">
        <v>9683.0</v>
      </c>
      <c r="B9493" s="5" t="s">
        <v>17285</v>
      </c>
      <c r="C9493" s="6">
        <v>3.0</v>
      </c>
      <c r="D9493" s="9" t="s">
        <v>17286</v>
      </c>
      <c r="E9493" s="8" t="str">
        <f>IFERROR(__xludf.DUMMYFUNCTION("googletranslate(D9493,""id"",""en"")"),"Hopefully with an extended emergency PPKM, it can reduce the surge in Covid-19 case.")</f>
        <v>Hopefully with an extended emergency PPKM, it can reduce the surge in Covid-19 case.</v>
      </c>
    </row>
    <row r="9494" ht="15.75" customHeight="1">
      <c r="A9494" s="2">
        <v>9684.0</v>
      </c>
      <c r="B9494" s="5" t="s">
        <v>17287</v>
      </c>
      <c r="C9494" s="6">
        <v>3.0</v>
      </c>
      <c r="D9494" s="7" t="s">
        <v>17288</v>
      </c>
      <c r="E9494" s="8" t="str">
        <f>IFERROR(__xludf.DUMMYFUNCTION("googletranslate(D9494,""id"",""en"")"),"Application of emergency PPKM.")</f>
        <v>Application of emergency PPKM.</v>
      </c>
    </row>
    <row r="9495" ht="15.75" customHeight="1">
      <c r="A9495" s="2">
        <v>9685.0</v>
      </c>
      <c r="B9495" s="5" t="s">
        <v>17289</v>
      </c>
      <c r="C9495" s="6">
        <v>3.0</v>
      </c>
      <c r="D9495" s="9" t="s">
        <v>17290</v>
      </c>
      <c r="E9495" s="8" t="str">
        <f>IFERROR(__xludf.DUMMYFUNCTION("googletranslate(D9495,""id"",""en"")"),"""Use a dead price mask, not using it can die"" Ayoo Don't be abandoned, don't be off guard the high discipline, obey the proces during the Emergency PPKM.")</f>
        <v>"Use a dead price mask, not using it can die" Ayoo Don't be abandoned, don't be off guard the high discipline, obey the proces during the Emergency PPKM.</v>
      </c>
    </row>
    <row r="9496" ht="15.75" customHeight="1">
      <c r="A9496" s="2">
        <v>9686.0</v>
      </c>
      <c r="B9496" s="5" t="s">
        <v>17291</v>
      </c>
      <c r="C9496" s="6">
        <v>3.0</v>
      </c>
      <c r="D9496" s="9" t="s">
        <v>17292</v>
      </c>
      <c r="E9496" s="8" t="str">
        <f>IFERROR(__xludf.DUMMYFUNCTION("googletranslate(D9496,""id"",""en"")"),"Emergency PPKM must indeed be done together, this is to break the chain of viruses. Need to understand all parties to be able to control themselves so that everything can avoid each other transmission.")</f>
        <v>Emergency PPKM must indeed be done together, this is to break the chain of viruses. Need to understand all parties to be able to control themselves so that everything can avoid each other transmission.</v>
      </c>
    </row>
    <row r="9497" ht="15.75" customHeight="1">
      <c r="A9497" s="2">
        <v>9687.0</v>
      </c>
      <c r="B9497" s="5" t="s">
        <v>17293</v>
      </c>
      <c r="C9497" s="6">
        <v>3.0</v>
      </c>
      <c r="D9497" s="7" t="s">
        <v>17294</v>
      </c>
      <c r="E9497" s="8" t="str">
        <f>IFERROR(__xludf.DUMMYFUNCTION("googletranslate(D9497,""id"",""en"")"),"Extension of Emergency Level PPKM")</f>
        <v>Extension of Emergency Level PPKM</v>
      </c>
    </row>
    <row r="9498" ht="15.75" customHeight="1">
      <c r="A9498" s="2">
        <v>9695.0</v>
      </c>
      <c r="B9498" s="5" t="s">
        <v>17295</v>
      </c>
      <c r="C9498" s="6">
        <v>3.0</v>
      </c>
      <c r="D9498" s="7" t="s">
        <v>17296</v>
      </c>
      <c r="E9498" s="8" t="str">
        <f>IFERROR(__xludf.DUMMYFUNCTION("googletranslate(D9498,""id"",""en"")"),"Support and obey the PPKM level rules")</f>
        <v>Support and obey the PPKM level rules</v>
      </c>
    </row>
    <row r="9499" ht="15.75" customHeight="1">
      <c r="A9499" s="2">
        <v>9696.0</v>
      </c>
      <c r="B9499" s="5" t="s">
        <v>17297</v>
      </c>
      <c r="C9499" s="6">
        <v>3.0</v>
      </c>
      <c r="D9499" s="7" t="s">
        <v>17298</v>
      </c>
      <c r="E9499" s="8" t="str">
        <f>IFERROR(__xludf.DUMMYFUNCTION("googletranslate(D9499,""id"",""en"")"),"Keep obeying PPKM and Prokes")</f>
        <v>Keep obeying PPKM and Prokes</v>
      </c>
    </row>
    <row r="9500" ht="15.75" customHeight="1">
      <c r="A9500" s="2">
        <v>9697.0</v>
      </c>
      <c r="B9500" s="5" t="s">
        <v>17299</v>
      </c>
      <c r="C9500" s="6">
        <v>3.0</v>
      </c>
      <c r="D9500" s="7" t="s">
        <v>17300</v>
      </c>
      <c r="E9500" s="8" t="str">
        <f>IFERROR(__xludf.DUMMYFUNCTION("googletranslate(D9500,""id"",""en"")"),"PPKM Level has considered health aspects")</f>
        <v>PPKM Level has considered health aspects</v>
      </c>
    </row>
    <row r="9501" ht="15.75" customHeight="1">
      <c r="A9501" s="2">
        <v>9698.0</v>
      </c>
      <c r="B9501" s="5" t="s">
        <v>17301</v>
      </c>
      <c r="C9501" s="6">
        <v>3.0</v>
      </c>
      <c r="D9501" s="7" t="s">
        <v>17302</v>
      </c>
      <c r="E9501" s="8" t="str">
        <f>IFERROR(__xludf.DUMMYFUNCTION("googletranslate(D9501,""id"",""en"")"),"Together obey the emergency level PPKM rules")</f>
        <v>Together obey the emergency level PPKM rules</v>
      </c>
    </row>
    <row r="9502" ht="15.75" customHeight="1">
      <c r="A9502" s="2">
        <v>9699.0</v>
      </c>
      <c r="B9502" s="5" t="s">
        <v>17303</v>
      </c>
      <c r="C9502" s="6">
        <v>3.0</v>
      </c>
      <c r="D9502" s="7" t="s">
        <v>17304</v>
      </c>
      <c r="E9502" s="8" t="str">
        <f>IFERROR(__xludf.DUMMYFUNCTION("googletranslate(D9502,""id"",""en"")"),"Extension of PPKM Level so that this pandemic can be resolved")</f>
        <v>Extension of PPKM Level so that this pandemic can be resolved</v>
      </c>
    </row>
    <row r="9503" ht="15.75" customHeight="1">
      <c r="A9503" s="2">
        <v>9700.0</v>
      </c>
      <c r="B9503" s="5" t="s">
        <v>17305</v>
      </c>
      <c r="C9503" s="6">
        <v>1.0</v>
      </c>
      <c r="D9503" s="9" t="s">
        <v>17306</v>
      </c>
      <c r="E9503" s="8" t="str">
        <f>IFERROR(__xludf.DUMMYFUNCTION("googletranslate(D9503,""id"",""en"")"),"Though pandemic but many of some people who can be said to be rich, they have been really used to squander money &amp; amp; Don't look first even though the situation is still PPKM, in the middle of a pandemic. Just a little person looking for money difficult"&amp;" to ask for forgiveness. Reminder.")</f>
        <v>Though pandemic but many of some people who can be said to be rich, they have been really used to squander money &amp; amp; Don't look first even though the situation is still PPKM, in the middle of a pandemic. Just a little person looking for money difficult to ask for forgiveness. Reminder.</v>
      </c>
    </row>
    <row r="9504" ht="15.75" customHeight="1">
      <c r="A9504" s="2">
        <v>9701.0</v>
      </c>
      <c r="B9504" s="5" t="s">
        <v>17307</v>
      </c>
      <c r="C9504" s="6">
        <v>3.0</v>
      </c>
      <c r="D9504" s="7" t="s">
        <v>17308</v>
      </c>
      <c r="E9504" s="8" t="str">
        <f>IFERROR(__xludf.DUMMYFUNCTION("googletranslate(D9504,""id"",""en"")"),"With the existence of PPKM ... hopefully the Covid pandemic will end in Indonesia ...")</f>
        <v>With the existence of PPKM ... hopefully the Covid pandemic will end in Indonesia ...</v>
      </c>
    </row>
    <row r="9505" ht="15.75" customHeight="1">
      <c r="A9505" s="2">
        <v>9702.0</v>
      </c>
      <c r="B9505" s="5" t="s">
        <v>17309</v>
      </c>
      <c r="C9505" s="6">
        <v>1.0</v>
      </c>
      <c r="D9505" s="9" t="s">
        <v>17310</v>
      </c>
      <c r="E9505" s="8" t="str">
        <f>IFERROR(__xludf.DUMMYFUNCTION("googletranslate(D9505,""id"",""en"")"),"Ppkm doang work can, kaga there is anjj money, complaints the lower people")</f>
        <v>Ppkm doang work can, kaga there is anjj money, complaints the lower people</v>
      </c>
    </row>
    <row r="9506" ht="15.75" customHeight="1">
      <c r="A9506" s="2">
        <v>9703.0</v>
      </c>
      <c r="B9506" s="5" t="s">
        <v>17311</v>
      </c>
      <c r="C9506" s="6">
        <v>1.0</v>
      </c>
      <c r="D9506" s="9" t="s">
        <v>17312</v>
      </c>
      <c r="E9506" s="8" t="str">
        <f>IFERROR(__xludf.DUMMYFUNCTION("googletranslate(D9506,""id"",""en"")"),"This is due to the PPKM Levelan level all so use plus plus ..., Cape")</f>
        <v>This is due to the PPKM Levelan level all so use plus plus ..., Cape</v>
      </c>
    </row>
    <row r="9507" ht="15.75" customHeight="1">
      <c r="A9507" s="2">
        <v>9704.0</v>
      </c>
      <c r="B9507" s="5" t="s">
        <v>17313</v>
      </c>
      <c r="C9507" s="6">
        <v>2.0</v>
      </c>
      <c r="D9507" s="7" t="s">
        <v>17314</v>
      </c>
      <c r="E9507" s="8" t="str">
        <f>IFERROR(__xludf.DUMMYFUNCTION("googletranslate(D9507,""id"",""en"")"),"During the new PPKM semalem it can be normal")</f>
        <v>During the new PPKM semalem it can be normal</v>
      </c>
    </row>
    <row r="9508" ht="15.75" customHeight="1">
      <c r="A9508" s="2">
        <v>9705.0</v>
      </c>
      <c r="B9508" s="5" t="s">
        <v>17315</v>
      </c>
      <c r="C9508" s="6">
        <v>2.0</v>
      </c>
      <c r="D9508" s="10" t="s">
        <v>17316</v>
      </c>
      <c r="E9508" s="8" t="str">
        <f>IFERROR(__xludf.DUMMYFUNCTION("googletranslate(D9508,""id"",""en"")"),"Provincial PPKM")</f>
        <v>Provincial PPKM</v>
      </c>
    </row>
    <row r="9509" ht="15.75" customHeight="1">
      <c r="A9509" s="2">
        <v>9706.0</v>
      </c>
      <c r="B9509" s="5" t="s">
        <v>17317</v>
      </c>
      <c r="C9509" s="6">
        <v>2.0</v>
      </c>
      <c r="D9509" s="7" t="s">
        <v>17318</v>
      </c>
      <c r="E9509" s="8" t="str">
        <f>IFERROR(__xludf.DUMMYFUNCTION("googletranslate(D9509,""id"",""en"")"),"How come the ppkm knn ... different from the chouse ... hehe")</f>
        <v>How come the ppkm knn ... different from the chouse ... hehe</v>
      </c>
    </row>
    <row r="9510" ht="15.75" customHeight="1">
      <c r="A9510" s="2">
        <v>9707.0</v>
      </c>
      <c r="B9510" s="5" t="s">
        <v>17319</v>
      </c>
      <c r="C9510" s="6">
        <v>1.0</v>
      </c>
      <c r="D9510" s="7" t="s">
        <v>17320</v>
      </c>
      <c r="E9510" s="8" t="str">
        <f>IFERROR(__xludf.DUMMYFUNCTION("googletranslate(D9510,""id"",""en"")"),"PPKM: PPKM Spicy Level, Close All Utamarakyat Road Access: There are still many roads to Rome (""Jalan2 Mice"") Effects: Macet everywhere, embossed the crowd, pandemic? ......... Oh my country, how long?")</f>
        <v>PPKM: PPKM Spicy Level, Close All Utamarakyat Road Access: There are still many roads to Rome ("Jalan2 Mice") Effects: Macet everywhere, embossed the crowd, pandemic? ......... Oh my country, how long?</v>
      </c>
    </row>
    <row r="9511" ht="15.75" customHeight="1">
      <c r="A9511" s="2">
        <v>9708.0</v>
      </c>
      <c r="B9511" s="5" t="s">
        <v>17321</v>
      </c>
      <c r="C9511" s="6">
        <v>2.0</v>
      </c>
      <c r="D9511" s="7" t="s">
        <v>17322</v>
      </c>
      <c r="E9511" s="8" t="str">
        <f>IFERROR(__xludf.DUMMYFUNCTION("googletranslate(D9511,""id"",""en"")"),"Again ppkm so it's not selling")</f>
        <v>Again ppkm so it's not selling</v>
      </c>
    </row>
    <row r="9512" ht="15.75" customHeight="1">
      <c r="A9512" s="2">
        <v>9709.0</v>
      </c>
      <c r="B9512" s="5" t="s">
        <v>17323</v>
      </c>
      <c r="C9512" s="6">
        <v>3.0</v>
      </c>
      <c r="D9512" s="7" t="s">
        <v>17324</v>
      </c>
      <c r="E9512" s="8" t="str">
        <f>IFERROR(__xludf.DUMMYFUNCTION("googletranslate(D9512,""id"",""en"")"),"If there is no PPKM active case a million times")</f>
        <v>If there is no PPKM active case a million times</v>
      </c>
    </row>
    <row r="9513" ht="15.75" customHeight="1">
      <c r="A9513" s="2">
        <v>9710.0</v>
      </c>
      <c r="B9513" s="5" t="s">
        <v>17325</v>
      </c>
      <c r="C9513" s="6">
        <v>2.0</v>
      </c>
      <c r="D9513" s="10" t="s">
        <v>3179</v>
      </c>
      <c r="E9513" s="8" t="str">
        <f>IFERROR(__xludf.DUMMYFUNCTION("googletranslate(D9513,""id"",""en"")"),"PPKM effect")</f>
        <v>PPKM effect</v>
      </c>
    </row>
    <row r="9514" ht="15.75" customHeight="1">
      <c r="A9514" s="2">
        <v>9711.0</v>
      </c>
      <c r="B9514" s="5" t="s">
        <v>17326</v>
      </c>
      <c r="C9514" s="6">
        <v>1.0</v>
      </c>
      <c r="D9514" s="9" t="s">
        <v>17327</v>
      </c>
      <c r="E9514" s="8" t="str">
        <f>IFERROR(__xludf.DUMMYFUNCTION("googletranslate(D9514,""id"",""en"")"),"Bansos have not been evenly distributed in Central Java. Even though the PPKM impact is evenly distributed for all Central Java residents. Please review sir again. Healthy continues sir.")</f>
        <v>Bansos have not been evenly distributed in Central Java. Even though the PPKM impact is evenly distributed for all Central Java residents. Please review sir again. Healthy continues sir.</v>
      </c>
    </row>
    <row r="9515" ht="15.75" customHeight="1">
      <c r="A9515" s="2">
        <v>9712.0</v>
      </c>
      <c r="B9515" s="5" t="s">
        <v>17328</v>
      </c>
      <c r="C9515" s="6">
        <v>1.0</v>
      </c>
      <c r="D9515" s="7" t="s">
        <v>17329</v>
      </c>
      <c r="E9515" s="8" t="str">
        <f>IFERROR(__xludf.DUMMYFUNCTION("googletranslate(D9515,""id"",""en"")"),"Why is Chitato? I know again PPKM some people are stressed, but don't point to Lahh")</f>
        <v>Why is Chitato? I know again PPKM some people are stressed, but don't point to Lahh</v>
      </c>
    </row>
    <row r="9516" ht="15.75" customHeight="1">
      <c r="A9516" s="2">
        <v>9713.0</v>
      </c>
      <c r="B9516" s="5" t="s">
        <v>17330</v>
      </c>
      <c r="C9516" s="6">
        <v>1.0</v>
      </c>
      <c r="D9516" s="7" t="s">
        <v>17331</v>
      </c>
      <c r="E9516" s="8" t="str">
        <f>IFERROR(__xludf.DUMMYFUNCTION("googletranslate(D9516,""id"",""en"")"),"ppkm = morning morning km cry")</f>
        <v>ppkm = morning morning km cry</v>
      </c>
    </row>
    <row r="9517" ht="15.75" customHeight="1">
      <c r="A9517" s="2">
        <v>9714.0</v>
      </c>
      <c r="B9517" s="5" t="s">
        <v>17332</v>
      </c>
      <c r="C9517" s="6">
        <v>1.0</v>
      </c>
      <c r="D9517" s="7" t="s">
        <v>17333</v>
      </c>
      <c r="E9517" s="8" t="str">
        <f>IFERROR(__xludf.DUMMYFUNCTION("googletranslate(D9517,""id"",""en"")"),"Can ""I'm a dream with Soobin eating lesehan the edge of Jalaantrs chased by the police because of"" LGI PPKM")</f>
        <v>Can "I'm a dream with Soobin eating lesehan the edge of Jalaantrs chased by the police because of" LGI PPKM</v>
      </c>
    </row>
    <row r="9518" ht="15.75" customHeight="1">
      <c r="A9518" s="2">
        <v>9715.0</v>
      </c>
      <c r="B9518" s="5" t="s">
        <v>17334</v>
      </c>
      <c r="C9518" s="6">
        <v>1.0</v>
      </c>
      <c r="D9518" s="7" t="s">
        <v>17335</v>
      </c>
      <c r="E9518" s="8" t="str">
        <f>IFERROR(__xludf.DUMMYFUNCTION("googletranslate(D9518,""id"",""en"")"),"Ppkm extended until you can drain the lake toba using a spoon of puyer ... wkwkkw")</f>
        <v>Ppkm extended until you can drain the lake toba using a spoon of puyer ... wkwkkw</v>
      </c>
    </row>
    <row r="9519" ht="15.75" customHeight="1">
      <c r="A9519" s="2">
        <v>9716.0</v>
      </c>
      <c r="B9519" s="5" t="s">
        <v>17336</v>
      </c>
      <c r="C9519" s="6">
        <v>1.0</v>
      </c>
      <c r="D9519" s="7" t="s">
        <v>17337</v>
      </c>
      <c r="E9519" s="8" t="str">
        <f>IFERROR(__xludf.DUMMYFUNCTION("googletranslate(D9519,""id"",""en"")"),"""Threat of hunger in the middle of the pandemic"" Pandemic Covid-19 in Indonesia never ends. Even though it is enactment (PPKM) emergency by the government in a number of regions, but an")</f>
        <v>"Threat of hunger in the middle of the pandemic" Pandemic Covid-19 in Indonesia never ends. Even though it is enactment (PPKM) emergency by the government in a number of regions, but an</v>
      </c>
    </row>
    <row r="9520" ht="15.75" customHeight="1">
      <c r="A9520" s="2">
        <v>9717.0</v>
      </c>
      <c r="B9520" s="5" t="s">
        <v>17338</v>
      </c>
      <c r="C9520" s="6">
        <v>1.0</v>
      </c>
      <c r="D9520" s="7" t="s">
        <v>17339</v>
      </c>
      <c r="E9520" s="8" t="str">
        <f>IFERROR(__xludf.DUMMYFUNCTION("googletranslate(D9520,""id"",""en"")"),"Covid19 bansos that ppkm this ponorogo period has not received")</f>
        <v>Covid19 bansos that ppkm this ponorogo period has not received</v>
      </c>
    </row>
    <row r="9521" ht="15.75" customHeight="1">
      <c r="A9521" s="2">
        <v>9718.0</v>
      </c>
      <c r="B9521" s="5" t="s">
        <v>17340</v>
      </c>
      <c r="C9521" s="6">
        <v>2.0</v>
      </c>
      <c r="D9521" s="7" t="s">
        <v>17341</v>
      </c>
      <c r="E9521" s="8" t="str">
        <f>IFERROR(__xludf.DUMMYFUNCTION("googletranslate(D9521,""id"",""en"")"),"It seems like it's normal to hang out in Lawang Park. When this PPKM impact is bencong")</f>
        <v>It seems like it's normal to hang out in Lawang Park. When this PPKM impact is bencong</v>
      </c>
    </row>
    <row r="9522" ht="15.75" customHeight="1">
      <c r="A9522" s="2">
        <v>9719.0</v>
      </c>
      <c r="B9522" s="5" t="s">
        <v>17342</v>
      </c>
      <c r="C9522" s="6">
        <v>1.0</v>
      </c>
      <c r="D9522" s="7" t="s">
        <v>17343</v>
      </c>
      <c r="E9522" s="8" t="str">
        <f>IFERROR(__xludf.DUMMYFUNCTION("googletranslate(D9522,""id"",""en"")"),"Napa officials, especially the PPKM enforcement apparatus who are paid by the country are not cut off their salary so that they know it's hungry. They violently because they were full while the traders were fighting because of hungry")</f>
        <v>Napa officials, especially the PPKM enforcement apparatus who are paid by the country are not cut off their salary so that they know it's hungry. They violently because they were full while the traders were fighting because of hungry</v>
      </c>
    </row>
    <row r="9523" ht="15.75" customHeight="1">
      <c r="A9523" s="2">
        <v>9720.0</v>
      </c>
      <c r="B9523" s="5" t="s">
        <v>17344</v>
      </c>
      <c r="C9523" s="6">
        <v>1.0</v>
      </c>
      <c r="D9523" s="9" t="s">
        <v>17345</v>
      </c>
      <c r="E9523" s="8" t="str">
        <f>IFERROR(__xludf.DUMMYFUNCTION("googletranslate(D9523,""id"",""en"")"),"if I tweet it's already rich in stalls in the middle of PPKM Anjr quiet")</f>
        <v>if I tweet it's already rich in stalls in the middle of PPKM Anjr quiet</v>
      </c>
    </row>
    <row r="9524" ht="15.75" customHeight="1">
      <c r="A9524" s="2">
        <v>9721.0</v>
      </c>
      <c r="B9524" s="5" t="s">
        <v>17346</v>
      </c>
      <c r="C9524" s="6">
        <v>2.0</v>
      </c>
      <c r="D9524" s="7" t="s">
        <v>17346</v>
      </c>
      <c r="E9524" s="8" t="str">
        <f>IFERROR(__xludf.DUMMYFUNCTION("googletranslate(D9524,""id"",""en"")"),"Ppkm: dizzy cat disappear")</f>
        <v>Ppkm: dizzy cat disappear</v>
      </c>
    </row>
    <row r="9525" ht="15.75" customHeight="1">
      <c r="A9525" s="2">
        <v>9722.0</v>
      </c>
      <c r="B9525" s="5" t="s">
        <v>17347</v>
      </c>
      <c r="C9525" s="6">
        <v>2.0</v>
      </c>
      <c r="D9525" s="7" t="s">
        <v>17348</v>
      </c>
      <c r="E9525" s="8" t="str">
        <f>IFERROR(__xludf.DUMMYFUNCTION("googletranslate(D9525,""id"",""en"")"),"The PPKM will be extended, kyknya ... or maybe change the version ...")</f>
        <v>The PPKM will be extended, kyknya ... or maybe change the version ...</v>
      </c>
    </row>
    <row r="9526" ht="15.75" customHeight="1">
      <c r="A9526" s="2">
        <v>9723.0</v>
      </c>
      <c r="B9526" s="5" t="s">
        <v>17349</v>
      </c>
      <c r="C9526" s="6">
        <v>2.0</v>
      </c>
      <c r="D9526" s="7" t="s">
        <v>17350</v>
      </c>
      <c r="E9526" s="8" t="str">
        <f>IFERROR(__xludf.DUMMYFUNCTION("googletranslate(D9526,""id"",""en"")"),"Yesterday ate at Yeobi Cafe Butter, honestly the food was really delicious, the delicious drink was just sad because the PPKM regulation, my tongue blistered because it had to be fast, the hot bibimbap was really hot, just choose just gimbap")</f>
        <v>Yesterday ate at Yeobi Cafe Butter, honestly the food was really delicious, the delicious drink was just sad because the PPKM regulation, my tongue blistered because it had to be fast, the hot bibimbap was really hot, just choose just gimbap</v>
      </c>
    </row>
    <row r="9527" ht="15.75" customHeight="1">
      <c r="A9527" s="2">
        <v>9724.0</v>
      </c>
      <c r="B9527" s="5" t="s">
        <v>17351</v>
      </c>
      <c r="C9527" s="6">
        <v>1.0</v>
      </c>
      <c r="D9527" s="7" t="s">
        <v>17352</v>
      </c>
      <c r="E9527" s="8" t="str">
        <f>IFERROR(__xludf.DUMMYFUNCTION("googletranslate(D9527,""id"",""en"")"),"Eating at the Karteg Period PPKM seemed to be an official or tycoon because it was escorted by uniformed troops.")</f>
        <v>Eating at the Karteg Period PPKM seemed to be an official or tycoon because it was escorted by uniformed troops.</v>
      </c>
    </row>
    <row r="9528" ht="15.75" customHeight="1">
      <c r="A9528" s="2">
        <v>9725.0</v>
      </c>
      <c r="B9528" s="5" t="s">
        <v>17353</v>
      </c>
      <c r="C9528" s="6">
        <v>2.0</v>
      </c>
      <c r="D9528" s="10" t="s">
        <v>12438</v>
      </c>
      <c r="E9528" s="8" t="str">
        <f>IFERROR(__xludf.DUMMYFUNCTION("googletranslate(D9528,""id"",""en"")"),"But right PPKM.")</f>
        <v>But right PPKM.</v>
      </c>
    </row>
    <row r="9529" ht="15.75" customHeight="1">
      <c r="A9529" s="2">
        <v>9726.0</v>
      </c>
      <c r="B9529" s="5" t="s">
        <v>17354</v>
      </c>
      <c r="C9529" s="6">
        <v>1.0</v>
      </c>
      <c r="D9529" s="7" t="s">
        <v>17354</v>
      </c>
      <c r="E9529" s="8" t="str">
        <f>IFERROR(__xludf.DUMMYFUNCTION("googletranslate(D9529,""id"",""en"")"),"Even though it doesn't realize it, the impact can go to everyone. The case continued to rise, Faskkes collapse, the PPKM did not finish - finished, and the more they were fallen. People behavior became as important as a virus that Human to human transmiss"&amp;"ion like this.")</f>
        <v>Even though it doesn't realize it, the impact can go to everyone. The case continued to rise, Faskkes collapse, the PPKM did not finish - finished, and the more they were fallen. People behavior became as important as a virus that Human to human transmission like this.</v>
      </c>
    </row>
    <row r="9530" ht="15.75" customHeight="1">
      <c r="A9530" s="2">
        <v>9727.0</v>
      </c>
      <c r="B9530" s="5" t="s">
        <v>17355</v>
      </c>
      <c r="C9530" s="6">
        <v>1.0</v>
      </c>
      <c r="D9530" s="9" t="s">
        <v>17356</v>
      </c>
      <c r="E9530" s="8" t="str">
        <f>IFERROR(__xludf.DUMMYFUNCTION("googletranslate(D9530,""id"",""en"")"),"Sorry sir if we found the travel driver how sir..penumpang increasingly quiet during the PPKM because it doesn't dare to come out and to make a living for ank wife and income decreases from the beginning of the PSBB until now PPKM lavel and the help hasn'"&amp;"t been able to get to now to our travel driver")</f>
        <v>Sorry sir if we found the travel driver how sir..penumpang increasingly quiet during the PPKM because it doesn't dare to come out and to make a living for ank wife and income decreases from the beginning of the PSBB until now PPKM lavel and the help hasn't been able to get to now to our travel driver</v>
      </c>
    </row>
    <row r="9531" ht="15.75" customHeight="1">
      <c r="A9531" s="2">
        <v>9728.0</v>
      </c>
      <c r="B9531" s="5" t="s">
        <v>17357</v>
      </c>
      <c r="C9531" s="6">
        <v>1.0</v>
      </c>
      <c r="D9531" s="7" t="s">
        <v>17358</v>
      </c>
      <c r="E9531" s="8" t="str">
        <f>IFERROR(__xludf.DUMMYFUNCTION("googletranslate(D9531,""id"",""en"")"),"Sad ppkm gakaks extended, continue to be confused about what to do? Eits but just calm down, here I give a recommendation so that as long as the PPKM has an act of suspicing ...")</f>
        <v>Sad ppkm gakaks extended, continue to be confused about what to do? Eits but just calm down, here I give a recommendation so that as long as the PPKM has an act of suspicing ...</v>
      </c>
    </row>
    <row r="9532" ht="15.75" customHeight="1">
      <c r="A9532" s="2">
        <v>9729.0</v>
      </c>
      <c r="B9532" s="5" t="s">
        <v>17359</v>
      </c>
      <c r="C9532" s="6">
        <v>1.0</v>
      </c>
      <c r="D9532" s="9" t="s">
        <v>17359</v>
      </c>
      <c r="E9532" s="8" t="str">
        <f>IFERROR(__xludf.DUMMYFUNCTION("googletranslate(D9532,""id"",""en"")"),"This country of the current rules is very super tight, it is for the people, it is dilemmed for those who make the rules that make the rules valid for political reasons, do not fool the people with political guys, bring Aseng Aseng when PPKM why isn't it "&amp;"funny")</f>
        <v>This country of the current rules is very super tight, it is for the people, it is dilemmed for those who make the rules that make the rules valid for political reasons, do not fool the people with political guys, bring Aseng Aseng when PPKM why isn't it funny</v>
      </c>
    </row>
    <row r="9533" ht="15.75" customHeight="1">
      <c r="A9533" s="2">
        <v>9730.0</v>
      </c>
      <c r="B9533" s="5" t="s">
        <v>17360</v>
      </c>
      <c r="C9533" s="6">
        <v>3.0</v>
      </c>
      <c r="D9533" s="9" t="s">
        <v>17361</v>
      </c>
      <c r="E9533" s="8" t="str">
        <f>IFERROR(__xludf.DUMMYFUNCTION("googletranslate(D9533,""id"",""en"")"),"Abis shakuhan bayan &amp; amp; Drag the blanket again, the most delicious, if it's not right on the PPKM?")</f>
        <v>Abis shakuhan bayan &amp; amp; Drag the blanket again, the most delicious, if it's not right on the PPKM?</v>
      </c>
    </row>
    <row r="9534" ht="15.75" customHeight="1">
      <c r="A9534" s="2">
        <v>9731.0</v>
      </c>
      <c r="B9534" s="5" t="s">
        <v>17362</v>
      </c>
      <c r="C9534" s="6">
        <v>2.0</v>
      </c>
      <c r="D9534" s="9" t="s">
        <v>17363</v>
      </c>
      <c r="E9534" s="8" t="str">
        <f>IFERROR(__xludf.DUMMYFUNCTION("googletranslate(D9534,""id"",""en"")"),"Wait for the PPKM to finish the new Gass, I joined KL there was a walk on Dit")</f>
        <v>Wait for the PPKM to finish the new Gass, I joined KL there was a walk on Dit</v>
      </c>
    </row>
    <row r="9535" ht="15.75" customHeight="1">
      <c r="A9535" s="2">
        <v>9732.0</v>
      </c>
      <c r="B9535" s="5" t="s">
        <v>17364</v>
      </c>
      <c r="C9535" s="6">
        <v>1.0</v>
      </c>
      <c r="D9535" s="10" t="s">
        <v>17365</v>
      </c>
      <c r="E9535" s="8" t="str">
        <f>IFERROR(__xludf.DUMMYFUNCTION("googletranslate(D9535,""id"",""en"")"),"In prank ppkm.")</f>
        <v>In prank ppkm.</v>
      </c>
    </row>
    <row r="9536" ht="15.75" customHeight="1">
      <c r="A9536" s="2">
        <v>9733.0</v>
      </c>
      <c r="B9536" s="5" t="s">
        <v>17366</v>
      </c>
      <c r="C9536" s="6">
        <v>2.0</v>
      </c>
      <c r="D9536" s="9" t="s">
        <v>17367</v>
      </c>
      <c r="E9536" s="8" t="str">
        <f>IFERROR(__xludf.DUMMYFUNCTION("googletranslate(D9536,""id"",""en"")"),"What we really respect Mr. President, sir ... for PPKM level or submit all his decisions to the regional head ... Live check and push it. No need to dizzy. Will see which gold is copper")</f>
        <v>What we really respect Mr. President, sir ... for PPKM level or submit all his decisions to the regional head ... Live check and push it. No need to dizzy. Will see which gold is copper</v>
      </c>
    </row>
    <row r="9537" ht="15.75" customHeight="1">
      <c r="A9537" s="2">
        <v>9734.0</v>
      </c>
      <c r="B9537" s="5" t="s">
        <v>17368</v>
      </c>
      <c r="C9537" s="6">
        <v>3.0</v>
      </c>
      <c r="D9537" s="7" t="s">
        <v>17369</v>
      </c>
      <c r="E9537" s="8" t="str">
        <f>IFERROR(__xludf.DUMMYFUNCTION("googletranslate(D9537,""id"",""en"")"),"Come on Indonesian Rakyat, so that there is no PPKM for a ppkm again")</f>
        <v>Come on Indonesian Rakyat, so that there is no PPKM for a ppkm again</v>
      </c>
    </row>
    <row r="9538" ht="15.75" customHeight="1">
      <c r="A9538" s="2">
        <v>9735.0</v>
      </c>
      <c r="B9538" s="5" t="s">
        <v>17370</v>
      </c>
      <c r="C9538" s="6">
        <v>1.0</v>
      </c>
      <c r="D9538" s="9" t="s">
        <v>17371</v>
      </c>
      <c r="E9538" s="8" t="str">
        <f>IFERROR(__xludf.DUMMYFUNCTION("googletranslate(D9538,""id"",""en"")"),"This country is not clear because too many smart people. Mintar makes terms, starting PSBB, PPKM DST")</f>
        <v>This country is not clear because too many smart people. Mintar makes terms, starting PSBB, PPKM DST</v>
      </c>
    </row>
    <row r="9539" ht="15.75" customHeight="1">
      <c r="A9539" s="2">
        <v>9736.0</v>
      </c>
      <c r="B9539" s="5" t="s">
        <v>17372</v>
      </c>
      <c r="C9539" s="6">
        <v>1.0</v>
      </c>
      <c r="D9539" s="9" t="s">
        <v>17373</v>
      </c>
      <c r="E9539" s="8" t="str">
        <f>IFERROR(__xludf.DUMMYFUNCTION("googletranslate(D9539,""id"",""en"")"),"Again ppkm gabisa hug arms")</f>
        <v>Again ppkm gabisa hug arms</v>
      </c>
    </row>
    <row r="9540" ht="15.75" customHeight="1">
      <c r="A9540" s="2">
        <v>9737.0</v>
      </c>
      <c r="B9540" s="5" t="s">
        <v>17374</v>
      </c>
      <c r="C9540" s="6">
        <v>1.0</v>
      </c>
      <c r="D9540" s="7" t="s">
        <v>17375</v>
      </c>
      <c r="E9540" s="8" t="str">
        <f>IFERROR(__xludf.DUMMYFUNCTION("googletranslate(D9540,""id"",""en"")"),"Who's poinity? gregetetan me..knp given permission..knp g was beaten..kan there is a quarantine uu..knp g ""tinjek"" ajalah..g need to be on behalf of democracy .. we are small org small ppkm ... sdh just the demonstrators and this poinity")</f>
        <v>Who's poinity? gregetetan me..knp given permission..knp g was beaten..kan there is a quarantine uu..knp g "tinjek" ajalah..g need to be on behalf of democracy .. we are small org small ppkm ... sdh just the demonstrators and this poinity</v>
      </c>
    </row>
    <row r="9541" ht="15.75" customHeight="1">
      <c r="A9541" s="2">
        <v>9738.0</v>
      </c>
      <c r="B9541" s="5" t="s">
        <v>17376</v>
      </c>
      <c r="C9541" s="6">
        <v>1.0</v>
      </c>
      <c r="D9541" s="9" t="s">
        <v>17377</v>
      </c>
      <c r="E9541" s="8" t="str">
        <f>IFERROR(__xludf.DUMMYFUNCTION("googletranslate(D9541,""id"",""en"")"),"The strange negerk after the cupid vaccine instead seemed ... the PPKM was just a sense to graduate Chinese Communist.")</f>
        <v>The strange negerk after the cupid vaccine instead seemed ... the PPKM was just a sense to graduate Chinese Communist.</v>
      </c>
    </row>
    <row r="9542" ht="15.75" customHeight="1">
      <c r="A9542" s="2">
        <v>9739.0</v>
      </c>
      <c r="B9542" s="5" t="s">
        <v>17378</v>
      </c>
      <c r="C9542" s="6">
        <v>1.0</v>
      </c>
      <c r="D9542" s="7" t="s">
        <v>17379</v>
      </c>
      <c r="E9542" s="8" t="str">
        <f>IFERROR(__xludf.DUMMYFUNCTION("googletranslate(D9542,""id"",""en"")"),"Already arid this wallet with account gara ""ppkm more longer")</f>
        <v>Already arid this wallet with account gara "ppkm more longer</v>
      </c>
    </row>
    <row r="9543" ht="15.75" customHeight="1">
      <c r="A9543" s="2">
        <v>9740.0</v>
      </c>
      <c r="B9543" s="5" t="s">
        <v>17380</v>
      </c>
      <c r="C9543" s="6">
        <v>1.0</v>
      </c>
      <c r="D9543" s="7" t="s">
        <v>17381</v>
      </c>
      <c r="E9543" s="8" t="str">
        <f>IFERROR(__xludf.DUMMYFUNCTION("googletranslate(D9543,""id"",""en"")"),"Gazing at home, want to play too but right ppkm")</f>
        <v>Gazing at home, want to play too but right ppkm</v>
      </c>
    </row>
    <row r="9544" ht="15.75" customHeight="1">
      <c r="A9544" s="2">
        <v>9741.0</v>
      </c>
      <c r="B9544" s="5" t="s">
        <v>17382</v>
      </c>
      <c r="C9544" s="6">
        <v>1.0</v>
      </c>
      <c r="D9544" s="7" t="s">
        <v>17382</v>
      </c>
      <c r="E9544" s="8" t="str">
        <f>IFERROR(__xludf.DUMMYFUNCTION("googletranslate(D9544,""id"",""en"")"),"Ppkm but can't give help to the residents what")</f>
        <v>Ppkm but can't give help to the residents what</v>
      </c>
    </row>
    <row r="9545" ht="15.75" customHeight="1">
      <c r="A9545" s="2">
        <v>9742.0</v>
      </c>
      <c r="B9545" s="5" t="s">
        <v>17383</v>
      </c>
      <c r="C9545" s="6">
        <v>1.0</v>
      </c>
      <c r="D9545" s="9" t="s">
        <v>17384</v>
      </c>
      <c r="E9545" s="8" t="str">
        <f>IFERROR(__xludf.DUMMYFUNCTION("googletranslate(D9545,""id"",""en"")"),"The suffering that must be obedient to the PPKM but what should you eat? Intensive authorities also do not yet exist.")</f>
        <v>The suffering that must be obedient to the PPKM but what should you eat? Intensive authorities also do not yet exist.</v>
      </c>
    </row>
    <row r="9546" ht="15.75" customHeight="1">
      <c r="A9546" s="2">
        <v>9743.0</v>
      </c>
      <c r="B9546" s="5" t="s">
        <v>17385</v>
      </c>
      <c r="C9546" s="6">
        <v>2.0</v>
      </c>
      <c r="D9546" s="7" t="s">
        <v>17385</v>
      </c>
      <c r="E9546" s="8" t="str">
        <f>IFERROR(__xludf.DUMMYFUNCTION("googletranslate(D9546,""id"",""en"")"),"The emergency PPKM emergency expert extended until you become mine.")</f>
        <v>The emergency PPKM emergency expert extended until you become mine.</v>
      </c>
    </row>
    <row r="9547" ht="15.75" customHeight="1">
      <c r="A9547" s="2">
        <v>9744.0</v>
      </c>
      <c r="B9547" s="5" t="s">
        <v>17386</v>
      </c>
      <c r="C9547" s="6">
        <v>3.0</v>
      </c>
      <c r="D9547" s="7" t="s">
        <v>17387</v>
      </c>
      <c r="E9547" s="8" t="str">
        <f>IFERROR(__xludf.DUMMYFUNCTION("googletranslate(D9547,""id"",""en"")"),"Who says PPKM is boring? My version of PPKM is my PPKM activity ... Asyiiikk Kaaaa")</f>
        <v>Who says PPKM is boring? My version of PPKM is my PPKM activity ... Asyiiikk Kaaaa</v>
      </c>
    </row>
    <row r="9548" ht="15.75" customHeight="1">
      <c r="A9548" s="2">
        <v>9745.0</v>
      </c>
      <c r="B9548" s="5" t="s">
        <v>17388</v>
      </c>
      <c r="C9548" s="6">
        <v>2.0</v>
      </c>
      <c r="D9548" s="7" t="s">
        <v>17389</v>
      </c>
      <c r="E9548" s="8" t="str">
        <f>IFERROR(__xludf.DUMMYFUNCTION("googletranslate(D9548,""id"",""en"")"),"Banjarmasin starts PPKM July.")</f>
        <v>Banjarmasin starts PPKM July.</v>
      </c>
    </row>
    <row r="9549" ht="15.75" customHeight="1">
      <c r="A9549" s="2">
        <v>9746.0</v>
      </c>
      <c r="B9549" s="5" t="s">
        <v>17390</v>
      </c>
      <c r="C9549" s="6">
        <v>2.0</v>
      </c>
      <c r="D9549" s="9" t="s">
        <v>17391</v>
      </c>
      <c r="E9549" s="8" t="str">
        <f>IFERROR(__xludf.DUMMYFUNCTION("googletranslate(D9549,""id"",""en"")"),"The central government gives you when? Just now give it to the local government. So, don't seem to be made during more weeks PPKM passed and the central government has gave it from before it")</f>
        <v>The central government gives you when? Just now give it to the local government. So, don't seem to be made during more weeks PPKM passed and the central government has gave it from before it</v>
      </c>
    </row>
    <row r="9550" ht="15.75" customHeight="1">
      <c r="A9550" s="2">
        <v>9747.0</v>
      </c>
      <c r="B9550" s="5" t="s">
        <v>17392</v>
      </c>
      <c r="C9550" s="6">
        <v>1.0</v>
      </c>
      <c r="D9550" s="7" t="s">
        <v>17393</v>
      </c>
      <c r="E9550" s="8" t="str">
        <f>IFERROR(__xludf.DUMMYFUNCTION("googletranslate(D9550,""id"",""en"")"),"So the PPKM demo and search for government weaknesses to be exposed to the monafik DSR")</f>
        <v>So the PPKM demo and search for government weaknesses to be exposed to the monafik DSR</v>
      </c>
    </row>
    <row r="9551" ht="15.75" customHeight="1">
      <c r="A9551" s="2">
        <v>9748.0</v>
      </c>
      <c r="B9551" s="5" t="s">
        <v>17394</v>
      </c>
      <c r="C9551" s="6">
        <v>2.0</v>
      </c>
      <c r="D9551" s="9" t="s">
        <v>17395</v>
      </c>
      <c r="E9551" s="8" t="str">
        <f>IFERROR(__xludf.DUMMYFUNCTION("googletranslate(D9551,""id"",""en"")"),"Stop first the road is closed still PPKM")</f>
        <v>Stop first the road is closed still PPKM</v>
      </c>
    </row>
    <row r="9552" ht="15.75" customHeight="1">
      <c r="A9552" s="2">
        <v>9749.0</v>
      </c>
      <c r="B9552" s="5" t="s">
        <v>17396</v>
      </c>
      <c r="C9552" s="6">
        <v>1.0</v>
      </c>
      <c r="D9552" s="9" t="s">
        <v>17396</v>
      </c>
      <c r="E9552" s="8" t="str">
        <f>IFERROR(__xludf.DUMMYFUNCTION("googletranslate(D9552,""id"",""en"")"),"Ppkm trs eat what I ntr, aduhhhh")</f>
        <v>Ppkm trs eat what I ntr, aduhhhh</v>
      </c>
    </row>
    <row r="9553" ht="15.75" customHeight="1">
      <c r="A9553" s="2">
        <v>9750.0</v>
      </c>
      <c r="B9553" s="5" t="s">
        <v>17397</v>
      </c>
      <c r="C9553" s="6">
        <v>2.0</v>
      </c>
      <c r="D9553" s="7" t="s">
        <v>17398</v>
      </c>
      <c r="E9553" s="8" t="str">
        <f>IFERROR(__xludf.DUMMYFUNCTION("googletranslate(D9553,""id"",""en"")"),"Congratulations on enjoying the weekend in PPKM that can't go anywhere.")</f>
        <v>Congratulations on enjoying the weekend in PPKM that can't go anywhere.</v>
      </c>
    </row>
    <row r="9554" ht="15.75" customHeight="1">
      <c r="A9554" s="2">
        <v>9751.0</v>
      </c>
      <c r="B9554" s="5" t="s">
        <v>17399</v>
      </c>
      <c r="C9554" s="6">
        <v>1.0</v>
      </c>
      <c r="D9554" s="7" t="s">
        <v>17400</v>
      </c>
      <c r="E9554" s="8" t="str">
        <f>IFERROR(__xludf.DUMMYFUNCTION("googletranslate(D9554,""id"",""en"")"),"You're late to wake up sufmi ... from the beginning you want psbb, psbb transition, until emergency ppkm indeed there is no strict supervision in the field ... the post is there everywhere, but just make a hangout play cellphone ...")</f>
        <v>You're late to wake up sufmi ... from the beginning you want psbb, psbb transition, until emergency ppkm indeed there is no strict supervision in the field ... the post is there everywhere, but just make a hangout play cellphone ...</v>
      </c>
    </row>
    <row r="9555" ht="15.75" customHeight="1">
      <c r="A9555" s="2">
        <v>9752.0</v>
      </c>
      <c r="B9555" s="5" t="s">
        <v>17401</v>
      </c>
      <c r="C9555" s="6">
        <v>3.0</v>
      </c>
      <c r="D9555" s="7" t="s">
        <v>17402</v>
      </c>
      <c r="E9555" s="8" t="str">
        <f>IFERROR(__xludf.DUMMYFUNCTION("googletranslate(D9555,""id"",""en"")"),"Well, hopefully this prediction can be realized considering the PPKM is intensified and has a positive impact on the movement of stock prices.")</f>
        <v>Well, hopefully this prediction can be realized considering the PPKM is intensified and has a positive impact on the movement of stock prices.</v>
      </c>
    </row>
    <row r="9556" ht="15.75" customHeight="1">
      <c r="A9556" s="2">
        <v>9753.0</v>
      </c>
      <c r="B9556" s="5" t="s">
        <v>17403</v>
      </c>
      <c r="C9556" s="6">
        <v>2.0</v>
      </c>
      <c r="D9556" s="9" t="s">
        <v>17403</v>
      </c>
      <c r="E9556" s="8" t="str">
        <f>IFERROR(__xludf.DUMMYFUNCTION("googletranslate(D9556,""id"",""en"")"),"yes from the kmaren period of ppkm, many bets are looking for a new road that I can pass in Jakarta, and there are also many new classic buildings I see")</f>
        <v>yes from the kmaren period of ppkm, many bets are looking for a new road that I can pass in Jakarta, and there are also many new classic buildings I see</v>
      </c>
    </row>
    <row r="9557" ht="15.75" customHeight="1">
      <c r="A9557" s="2">
        <v>9754.0</v>
      </c>
      <c r="B9557" s="5" t="s">
        <v>17404</v>
      </c>
      <c r="C9557" s="6">
        <v>1.0</v>
      </c>
      <c r="D9557" s="7" t="s">
        <v>17405</v>
      </c>
      <c r="E9557" s="8" t="str">
        <f>IFERROR(__xludf.DUMMYFUNCTION("googletranslate(D9557,""id"",""en"")"),"Airlangga Asks Kiai, Habib, Ulama Support PPKM Emergency Regulations that inhibit and troublesome people, how come they ask to support Kyai-Habib-ulama. Aneeeh is the person ... where is it ...!?")</f>
        <v>Airlangga Asks Kiai, Habib, Ulama Support PPKM Emergency Regulations that inhibit and troublesome people, how come they ask to support Kyai-Habib-ulama. Aneeeh is the person ... where is it ...!?</v>
      </c>
    </row>
    <row r="9558" ht="15.75" customHeight="1">
      <c r="A9558" s="2">
        <v>9755.0</v>
      </c>
      <c r="B9558" s="5" t="s">
        <v>17406</v>
      </c>
      <c r="C9558" s="6">
        <v>2.0</v>
      </c>
      <c r="D9558" s="7" t="s">
        <v>17407</v>
      </c>
      <c r="E9558" s="8" t="str">
        <f>IFERROR(__xludf.DUMMYFUNCTION("googletranslate(D9558,""id"",""en"")"),"PPKM never believes later disappearing")</f>
        <v>PPKM never believes later disappearing</v>
      </c>
    </row>
    <row r="9559" ht="15.75" customHeight="1">
      <c r="A9559" s="2">
        <v>9756.0</v>
      </c>
      <c r="B9559" s="5" t="s">
        <v>17408</v>
      </c>
      <c r="C9559" s="6">
        <v>1.0</v>
      </c>
      <c r="D9559" s="9" t="s">
        <v>17409</v>
      </c>
      <c r="E9559" s="8" t="str">
        <f>IFERROR(__xludf.DUMMYFUNCTION("googletranslate(D9559,""id"",""en"")"),"The officer has been paid all, so calm just say don't be provoked. If you have to be a small people will certainly feel the misery of life because of PPKM without compensation")</f>
        <v>The officer has been paid all, so calm just say don't be provoked. If you have to be a small people will certainly feel the misery of life because of PPKM without compensation</v>
      </c>
    </row>
    <row r="9560" ht="15.75" customHeight="1">
      <c r="A9560" s="2">
        <v>9757.0</v>
      </c>
      <c r="B9560" s="5" t="s">
        <v>17410</v>
      </c>
      <c r="C9560" s="6">
        <v>1.0</v>
      </c>
      <c r="D9560" s="7" t="s">
        <v>17411</v>
      </c>
      <c r="E9560" s="8" t="str">
        <f>IFERROR(__xludf.DUMMYFUNCTION("googletranslate(D9560,""id"",""en"")"),"If you owe only to meghelize the reasons to meet the needs of RakyatGasbbmLalitSembakShealthyaka Disband BUMN !!! Ampera (Mandate of People's Suffering) PPKM Level Pa President You Retrieve the country has been dying !!!")</f>
        <v>If you owe only to meghelize the reasons to meet the needs of RakyatGasbbmLalitSembakShealthyaka Disband BUMN !!! Ampera (Mandate of People's Suffering) PPKM Level Pa President You Retrieve the country has been dying !!!</v>
      </c>
    </row>
    <row r="9561" ht="15.75" customHeight="1">
      <c r="A9561" s="2">
        <v>9758.0</v>
      </c>
      <c r="B9561" s="5" t="s">
        <v>17412</v>
      </c>
      <c r="C9561" s="6">
        <v>2.0</v>
      </c>
      <c r="D9561" s="9" t="s">
        <v>17413</v>
      </c>
      <c r="E9561" s="8" t="str">
        <f>IFERROR(__xludf.DUMMYFUNCTION("googletranslate(D9561,""id"",""en"")"),"morning. I want to refund the ticket via APK KAI, but no ID on my ticket using a KTP, if the account ID is SIM. I Change Data No ID Can't. Maybe I once had another account that logged in using my ID number I forgotten. Want to refund on the TP KN PPKM sta"&amp;"tion. The solution is what?")</f>
        <v>morning. I want to refund the ticket via APK KAI, but no ID on my ticket using a KTP, if the account ID is SIM. I Change Data No ID Can't. Maybe I once had another account that logged in using my ID number I forgotten. Want to refund on the TP KN PPKM station. The solution is what?</v>
      </c>
    </row>
    <row r="9562" ht="15.75" customHeight="1">
      <c r="A9562" s="2">
        <v>9759.0</v>
      </c>
      <c r="B9562" s="5" t="s">
        <v>17414</v>
      </c>
      <c r="C9562" s="6">
        <v>2.0</v>
      </c>
      <c r="D9562" s="9" t="s">
        <v>17415</v>
      </c>
      <c r="E9562" s="8" t="str">
        <f>IFERROR(__xludf.DUMMYFUNCTION("googletranslate(D9562,""id"",""en"")"),"It's not lockdown, it's possible that I don't use the PPKM in Indo. But it was driven even though the PPKM stalls ate msh, you can open it just can't eat there hrs wrapped up so there are no noisy traders. So what I see.")</f>
        <v>It's not lockdown, it's possible that I don't use the PPKM in Indo. But it was driven even though the PPKM stalls ate msh, you can open it just can't eat there hrs wrapped up so there are no noisy traders. So what I see.</v>
      </c>
    </row>
    <row r="9563" ht="15.75" customHeight="1">
      <c r="A9563" s="2">
        <v>9760.0</v>
      </c>
      <c r="B9563" s="5" t="s">
        <v>17416</v>
      </c>
      <c r="C9563" s="6">
        <v>3.0</v>
      </c>
      <c r="D9563" s="9" t="s">
        <v>17417</v>
      </c>
      <c r="E9563" s="8" t="str">
        <f>IFERROR(__xludf.DUMMYFUNCTION("googletranslate(D9563,""id"",""en"")"),"Don't forget to have breakfast again, if you hurt me, I can't get the problem for today, hopefully there is good news for good people")</f>
        <v>Don't forget to have breakfast again, if you hurt me, I can't get the problem for today, hopefully there is good news for good people</v>
      </c>
    </row>
    <row r="9564" ht="15.75" customHeight="1">
      <c r="A9564" s="2">
        <v>9761.0</v>
      </c>
      <c r="B9564" s="5" t="s">
        <v>17418</v>
      </c>
      <c r="C9564" s="6">
        <v>1.0</v>
      </c>
      <c r="D9564" s="7" t="s">
        <v>17419</v>
      </c>
      <c r="E9564" s="8" t="str">
        <f>IFERROR(__xludf.DUMMYFUNCTION("googletranslate(D9564,""id"",""en"")"),"Ppkm tuh bother")</f>
        <v>Ppkm tuh bother</v>
      </c>
    </row>
    <row r="9565" ht="15.75" customHeight="1">
      <c r="A9565" s="2">
        <v>9762.0</v>
      </c>
      <c r="B9565" s="5" t="s">
        <v>17420</v>
      </c>
      <c r="C9565" s="6">
        <v>1.0</v>
      </c>
      <c r="D9565" s="7" t="s">
        <v>17421</v>
      </c>
      <c r="E9565" s="8" t="str">
        <f>IFERROR(__xludf.DUMMYFUNCTION("googletranslate(D9565,""id"",""en"")"),"Business is difficult, the stomach is exposed to the PPKM. Aja exceptions ... Support the Demo Reject PPKM.")</f>
        <v>Business is difficult, the stomach is exposed to the PPKM. Aja exceptions ... Support the Demo Reject PPKM.</v>
      </c>
    </row>
    <row r="9566" ht="15.75" customHeight="1">
      <c r="A9566" s="2">
        <v>9763.0</v>
      </c>
      <c r="B9566" s="5" t="s">
        <v>17422</v>
      </c>
      <c r="C9566" s="6">
        <v>1.0</v>
      </c>
      <c r="D9566" s="7" t="s">
        <v>17423</v>
      </c>
      <c r="E9566" s="8" t="str">
        <f>IFERROR(__xludf.DUMMYFUNCTION("googletranslate(D9566,""id"",""en"")"),"Sir, the trader is looking for Rezky in a banned of PPKM. Firmly, sir")</f>
        <v>Sir, the trader is looking for Rezky in a banned of PPKM. Firmly, sir</v>
      </c>
    </row>
    <row r="9567" ht="15.75" customHeight="1">
      <c r="A9567" s="2">
        <v>9764.0</v>
      </c>
      <c r="B9567" s="5" t="s">
        <v>17424</v>
      </c>
      <c r="C9567" s="6">
        <v>1.0</v>
      </c>
      <c r="D9567" s="7" t="s">
        <v>17424</v>
      </c>
      <c r="E9567" s="8" t="str">
        <f>IFERROR(__xludf.DUMMYFUNCTION("googletranslate(D9567,""id"",""en"")"),"Udh a month more, I haven't found it, hhhhhh ppkm this really makes it even longer")</f>
        <v>Udh a month more, I haven't found it, hhhhhh ppkm this really makes it even longer</v>
      </c>
    </row>
    <row r="9568" ht="15.75" customHeight="1">
      <c r="A9568" s="2">
        <v>9765.0</v>
      </c>
      <c r="B9568" s="5" t="s">
        <v>17425</v>
      </c>
      <c r="C9568" s="6">
        <v>2.0</v>
      </c>
      <c r="D9568" s="7" t="s">
        <v>17426</v>
      </c>
      <c r="E9568" s="8" t="str">
        <f>IFERROR(__xludf.DUMMYFUNCTION("googletranslate(D9568,""id"",""en"")"),"finished PPKM directly around")</f>
        <v>finished PPKM directly around</v>
      </c>
    </row>
    <row r="9569" ht="15.75" customHeight="1">
      <c r="A9569" s="2">
        <v>9766.0</v>
      </c>
      <c r="B9569" s="5" t="s">
        <v>17427</v>
      </c>
      <c r="C9569" s="6">
        <v>1.0</v>
      </c>
      <c r="D9569" s="9" t="s">
        <v>17428</v>
      </c>
      <c r="E9569" s="8" t="str">
        <f>IFERROR(__xludf.DUMMYFUNCTION("googletranslate(D9569,""id"",""en"")"),"Nga dlu bestie, there is no money woii: ""PPKM makes it even more dragged")</f>
        <v>Nga dlu bestie, there is no money woii: "PPKM makes it even more dragged</v>
      </c>
    </row>
    <row r="9570" ht="15.75" customHeight="1">
      <c r="A9570" s="2">
        <v>9767.0</v>
      </c>
      <c r="B9570" s="5" t="s">
        <v>17429</v>
      </c>
      <c r="C9570" s="6">
        <v>1.0</v>
      </c>
      <c r="D9570" s="7" t="s">
        <v>17430</v>
      </c>
      <c r="E9570" s="8" t="str">
        <f>IFERROR(__xludf.DUMMYFUNCTION("googletranslate(D9570,""id"",""en"")"),"The riot is because it is not bechered by the officials who are officials ... every day it dies, drugs are rare oxygen, collapsing rs, PPKM is not over,")</f>
        <v>The riot is because it is not bechered by the officials who are officials ... every day it dies, drugs are rare oxygen, collapsing rs, PPKM is not over,</v>
      </c>
    </row>
    <row r="9571" ht="15.75" customHeight="1">
      <c r="A9571" s="2">
        <v>9768.0</v>
      </c>
      <c r="B9571" s="5" t="s">
        <v>17431</v>
      </c>
      <c r="C9571" s="6">
        <v>1.0</v>
      </c>
      <c r="D9571" s="9" t="s">
        <v>17432</v>
      </c>
      <c r="E9571" s="8" t="str">
        <f>IFERROR(__xludf.DUMMYFUNCTION("googletranslate(D9571,""id"",""en"")"),"Not yet locked new ppkm just many people who are challenging do not want to be obedient. In the airport org there are raging not allow flying to other provinces or other regions")</f>
        <v>Not yet locked new ppkm just many people who are challenging do not want to be obedient. In the airport org there are raging not allow flying to other provinces or other regions</v>
      </c>
    </row>
    <row r="9572" ht="15.75" customHeight="1">
      <c r="A9572" s="2">
        <v>9769.0</v>
      </c>
      <c r="B9572" s="5" t="s">
        <v>17433</v>
      </c>
      <c r="C9572" s="6">
        <v>1.0</v>
      </c>
      <c r="D9572" s="7" t="s">
        <v>17433</v>
      </c>
      <c r="E9572" s="8" t="str">
        <f>IFERROR(__xludf.DUMMYFUNCTION("googletranslate(D9572,""id"",""en"")"),"If you pay attention to the quarantine Law, in my opinion, the PPKM policy is a cunning policy")</f>
        <v>If you pay attention to the quarantine Law, in my opinion, the PPKM policy is a cunning policy</v>
      </c>
    </row>
    <row r="9573" ht="15.75" customHeight="1">
      <c r="A9573" s="2">
        <v>9770.0</v>
      </c>
      <c r="B9573" s="5" t="s">
        <v>17434</v>
      </c>
      <c r="C9573" s="6">
        <v>2.0</v>
      </c>
      <c r="D9573" s="7" t="s">
        <v>17435</v>
      </c>
      <c r="E9573" s="8" t="str">
        <f>IFERROR(__xludf.DUMMYFUNCTION("googletranslate(D9573,""id"",""en"")"),"maybe just because the streets are closed nder so stop their status")</f>
        <v>maybe just because the streets are closed nder so stop their status</v>
      </c>
    </row>
    <row r="9574" ht="15.75" customHeight="1">
      <c r="A9574" s="2">
        <v>9771.0</v>
      </c>
      <c r="B9574" s="5" t="s">
        <v>17436</v>
      </c>
      <c r="C9574" s="6">
        <v>1.0</v>
      </c>
      <c r="D9574" s="7" t="s">
        <v>17437</v>
      </c>
      <c r="E9574" s="8" t="str">
        <f>IFERROR(__xludf.DUMMYFUNCTION("googletranslate(D9574,""id"",""en"")"),"I want to pijet, the back is already extra-broken, but still the ppkm season gmn")</f>
        <v>I want to pijet, the back is already extra-broken, but still the ppkm season gmn</v>
      </c>
    </row>
    <row r="9575" ht="15.75" customHeight="1">
      <c r="A9575" s="2">
        <v>9772.0</v>
      </c>
      <c r="B9575" s="5" t="s">
        <v>17438</v>
      </c>
      <c r="C9575" s="6">
        <v>2.0</v>
      </c>
      <c r="D9575" s="7" t="s">
        <v>17439</v>
      </c>
      <c r="E9575" s="8" t="str">
        <f>IFERROR(__xludf.DUMMYFUNCTION("googletranslate(D9575,""id"",""en"")"),"If the level and level means how huh? What's the difference with Emergency PPKM? TKS.")</f>
        <v>If the level and level means how huh? What's the difference with Emergency PPKM? TKS.</v>
      </c>
    </row>
    <row r="9576" ht="15.75" customHeight="1">
      <c r="A9576" s="2">
        <v>9773.0</v>
      </c>
      <c r="B9576" s="5" t="s">
        <v>17440</v>
      </c>
      <c r="C9576" s="6">
        <v>3.0</v>
      </c>
      <c r="D9576" s="9" t="s">
        <v>17440</v>
      </c>
      <c r="E9576" s="8" t="str">
        <f>IFERROR(__xludf.DUMMYFUNCTION("googletranslate(D9576,""id"",""en"")"),"pls klu dah finished ppkm not too barbarian so it doesn't repeat the sm mistake, yok can yok")</f>
        <v>pls klu dah finished ppkm not too barbarian so it doesn't repeat the sm mistake, yok can yok</v>
      </c>
    </row>
    <row r="9577" ht="15.75" customHeight="1">
      <c r="A9577" s="2">
        <v>9774.0</v>
      </c>
      <c r="B9577" s="5" t="s">
        <v>17441</v>
      </c>
      <c r="C9577" s="6">
        <v>3.0</v>
      </c>
      <c r="D9577" s="7" t="s">
        <v>17442</v>
      </c>
      <c r="E9577" s="8" t="str">
        <f>IFERROR(__xludf.DUMMYFUNCTION("googletranslate(D9577,""id"",""en"")"),"Control of feeling when an angry PPKM is beautiful")</f>
        <v>Control of feeling when an angry PPKM is beautiful</v>
      </c>
    </row>
    <row r="9578" ht="15.75" customHeight="1">
      <c r="A9578" s="2">
        <v>9775.0</v>
      </c>
      <c r="B9578" s="5" t="s">
        <v>17443</v>
      </c>
      <c r="C9578" s="6">
        <v>3.0</v>
      </c>
      <c r="D9578" s="7" t="s">
        <v>17444</v>
      </c>
      <c r="E9578" s="8" t="str">
        <f>IFERROR(__xludf.DUMMYFUNCTION("googletranslate(D9578,""id"",""en"")"),", everything is set up. So it's not an arty reason to break. Even the government has disbursed the Bansos to resist the Emergency PPKM effect. Love you, obey the prokes, reduce the mobility of Daan to join the vaccine")</f>
        <v>, everything is set up. So it's not an arty reason to break. Even the government has disbursed the Bansos to resist the Emergency PPKM effect. Love you, obey the prokes, reduce the mobility of Daan to join the vaccine</v>
      </c>
    </row>
    <row r="9579" ht="15.75" customHeight="1">
      <c r="A9579" s="2">
        <v>9776.0</v>
      </c>
      <c r="B9579" s="5" t="s">
        <v>17445</v>
      </c>
      <c r="C9579" s="6">
        <v>1.0</v>
      </c>
      <c r="D9579" s="9" t="s">
        <v>17446</v>
      </c>
      <c r="E9579" s="8" t="str">
        <f>IFERROR(__xludf.DUMMYFUNCTION("googletranslate(D9579,""id"",""en"")"),"Mr. Ppkm People .... Staying at home Don't eat dead already getting covid isoman can't eat ... How immune goes up ... While you can get out can eat eating can make the immune go ... think sir")</f>
        <v>Mr. Ppkm People .... Staying at home Don't eat dead already getting covid isoman can't eat ... How immune goes up ... While you can get out can eat eating can make the immune go ... think sir</v>
      </c>
    </row>
    <row r="9580" ht="15.75" customHeight="1">
      <c r="A9580" s="2">
        <v>9777.0</v>
      </c>
      <c r="B9580" s="5" t="s">
        <v>17447</v>
      </c>
      <c r="C9580" s="6">
        <v>1.0</v>
      </c>
      <c r="D9580" s="9" t="s">
        <v>17448</v>
      </c>
      <c r="E9580" s="8" t="str">
        <f>IFERROR(__xludf.DUMMYFUNCTION("googletranslate(D9580,""id"",""en"")"),"Delicious father walaupu ppkm can watch because of payday every month")</f>
        <v>Delicious father walaupu ppkm can watch because of payday every month</v>
      </c>
    </row>
    <row r="9581" ht="15.75" customHeight="1">
      <c r="A9581" s="2">
        <v>9778.0</v>
      </c>
      <c r="B9581" s="5" t="s">
        <v>17449</v>
      </c>
      <c r="C9581" s="6">
        <v>2.0</v>
      </c>
      <c r="D9581" s="9" t="s">
        <v>17450</v>
      </c>
      <c r="E9581" s="8" t="str">
        <f>IFERROR(__xludf.DUMMYFUNCTION("googletranslate(D9581,""id"",""en"")"),"Or how to control PPKM is rich like this, there are still many ways to humanize humans. "" Without a blow")</f>
        <v>Or how to control PPKM is rich like this, there are still many ways to humanize humans. " Without a blow</v>
      </c>
    </row>
    <row r="9582" ht="15.75" customHeight="1">
      <c r="A9582" s="2">
        <v>9779.0</v>
      </c>
      <c r="B9582" s="5" t="s">
        <v>17451</v>
      </c>
      <c r="C9582" s="6">
        <v>2.0</v>
      </c>
      <c r="D9582" s="9" t="s">
        <v>17452</v>
      </c>
      <c r="E9582" s="8" t="str">
        <f>IFERROR(__xludf.DUMMYFUNCTION("googletranslate(D9582,""id"",""en"")"),"If so do you agree that GA PPKM is extended? So you can watch the soap opera")</f>
        <v>If so do you agree that GA PPKM is extended? So you can watch the soap opera</v>
      </c>
    </row>
    <row r="9583" ht="15.75" customHeight="1">
      <c r="A9583" s="2">
        <v>9780.0</v>
      </c>
      <c r="B9583" s="5" t="s">
        <v>17453</v>
      </c>
      <c r="C9583" s="6">
        <v>1.0</v>
      </c>
      <c r="D9583" s="7" t="s">
        <v>17454</v>
      </c>
      <c r="E9583" s="8" t="str">
        <f>IFERROR(__xludf.DUMMYFUNCTION("googletranslate(D9583,""id"",""en"")"),"We slowly die")</f>
        <v>We slowly die</v>
      </c>
    </row>
    <row r="9584" ht="15.75" customHeight="1">
      <c r="A9584" s="2">
        <v>9781.0</v>
      </c>
      <c r="B9584" s="5" t="s">
        <v>17455</v>
      </c>
      <c r="C9584" s="6">
        <v>3.0</v>
      </c>
      <c r="D9584" s="7" t="s">
        <v>17456</v>
      </c>
      <c r="E9584" s="8" t="str">
        <f>IFERROR(__xludf.DUMMYFUNCTION("googletranslate(D9584,""id"",""en"")"),"Decisive sanctions provided against government policy violators about Emergency Covid-19 PPKM. The aim of disciplining the public to remain adhere to the health protocol and emergency PPKM rules.")</f>
        <v>Decisive sanctions provided against government policy violators about Emergency Covid-19 PPKM. The aim of disciplining the public to remain adhere to the health protocol and emergency PPKM rules.</v>
      </c>
    </row>
    <row r="9585" ht="15.75" customHeight="1">
      <c r="A9585" s="2">
        <v>9782.0</v>
      </c>
      <c r="B9585" s="5" t="s">
        <v>17457</v>
      </c>
      <c r="C9585" s="6">
        <v>1.0</v>
      </c>
      <c r="D9585" s="7" t="s">
        <v>17458</v>
      </c>
      <c r="E9585" s="8" t="str">
        <f>IFERROR(__xludf.DUMMYFUNCTION("googletranslate(D9585,""id"",""en"")"),"The people need to live benefits from the government during the PPKM. The narrative of Hatea Hatei Radikal Radikul will not make it full.")</f>
        <v>The people need to live benefits from the government during the PPKM. The narrative of Hatea Hatei Radikal Radikul will not make it full.</v>
      </c>
    </row>
    <row r="9586" ht="15.75" customHeight="1">
      <c r="A9586" s="2">
        <v>9783.0</v>
      </c>
      <c r="B9586" s="5" t="s">
        <v>17459</v>
      </c>
      <c r="C9586" s="6">
        <v>3.0</v>
      </c>
      <c r="D9586" s="9" t="s">
        <v>17459</v>
      </c>
      <c r="E9586" s="8" t="str">
        <f>IFERROR(__xludf.DUMMYFUNCTION("googletranslate(D9586,""id"",""en"")"),"Ngeluh, nyuaraiin opinions may be related to PPKM today. But it must be bleaching the brain doesn't just be diem, surrender the same condition now. Let's get yuuk !! Especially for us - we are young &amp; amp; healthy.")</f>
        <v>Ngeluh, nyuaraiin opinions may be related to PPKM today. But it must be bleaching the brain doesn't just be diem, surrender the same condition now. Let's get yuuk !! Especially for us - we are young &amp; amp; healthy.</v>
      </c>
    </row>
    <row r="9587" ht="15.75" customHeight="1">
      <c r="A9587" s="2">
        <v>9784.0</v>
      </c>
      <c r="B9587" s="5" t="s">
        <v>17460</v>
      </c>
      <c r="C9587" s="6">
        <v>1.0</v>
      </c>
      <c r="D9587" s="7" t="s">
        <v>17461</v>
      </c>
      <c r="E9587" s="8" t="str">
        <f>IFERROR(__xludf.DUMMYFUNCTION("googletranslate(D9587,""id"",""en"")"),"This IC tp interesting maybe for politicians as one of his vehicles to be liked and close to SM people, maybe. Because of the attraction and militants of the fans. Wkwkwk tp yes it doesn't fit the high pandemic of the height of this high and the PPKM is d"&amp;"etrimental to the people of people too.")</f>
        <v>This IC tp interesting maybe for politicians as one of his vehicles to be liked and close to SM people, maybe. Because of the attraction and militants of the fans. Wkwkwk tp yes it doesn't fit the high pandemic of the height of this high and the PPKM is detrimental to the people of people too.</v>
      </c>
    </row>
    <row r="9588" ht="15.75" customHeight="1">
      <c r="A9588" s="2">
        <v>9785.0</v>
      </c>
      <c r="B9588" s="5" t="s">
        <v>17462</v>
      </c>
      <c r="C9588" s="6">
        <v>1.0</v>
      </c>
      <c r="D9588" s="7" t="s">
        <v>17463</v>
      </c>
      <c r="E9588" s="8" t="str">
        <f>IFERROR(__xludf.DUMMYFUNCTION("googletranslate(D9588,""id"",""en"")"),"good yes ppkm who has a salary especially the salary of the minister can shake the foot mgkn + shake jellyfish .. the small people trade porridge fined sprayed by water, the country moves kaga, told to watch soap operas can die not eat sir.")</f>
        <v>good yes ppkm who has a salary especially the salary of the minister can shake the foot mgkn + shake jellyfish .. the small people trade porridge fined sprayed by water, the country moves kaga, told to watch soap operas can die not eat sir.</v>
      </c>
    </row>
    <row r="9589" ht="15.75" customHeight="1">
      <c r="A9589" s="2">
        <v>9786.0</v>
      </c>
      <c r="B9589" s="5" t="s">
        <v>17464</v>
      </c>
      <c r="C9589" s="6">
        <v>1.0</v>
      </c>
      <c r="D9589" s="7" t="s">
        <v>17465</v>
      </c>
      <c r="E9589" s="8" t="str">
        <f>IFERROR(__xludf.DUMMYFUNCTION("googletranslate(D9589,""id"",""en"")"),"Minister of the minister .... tragic! The folk of the economy is morally morally because of the emergency PPKM, Mahfud MD is even fun to watch the 'love bond' soap opera")</f>
        <v>Minister of the minister .... tragic! The folk of the economy is morally morally because of the emergency PPKM, Mahfud MD is even fun to watch the 'love bond' soap opera</v>
      </c>
    </row>
    <row r="9590" ht="15.75" customHeight="1">
      <c r="A9590" s="2">
        <v>9787.0</v>
      </c>
      <c r="B9590" s="5" t="s">
        <v>17466</v>
      </c>
      <c r="C9590" s="6">
        <v>1.0</v>
      </c>
      <c r="D9590" s="7" t="s">
        <v>17467</v>
      </c>
      <c r="E9590" s="8" t="str">
        <f>IFERROR(__xludf.DUMMYFUNCTION("googletranslate(D9590,""id"",""en"")"),"It's been the one who let the authorities carry out his duties, just command, if this is because it's afraid it will cause a crowd, right in vain PPKM who run our government if the people are hard to arrange")</f>
        <v>It's been the one who let the authorities carry out his duties, just command, if this is because it's afraid it will cause a crowd, right in vain PPKM who run our government if the people are hard to arrange</v>
      </c>
    </row>
    <row r="9591" ht="15.75" customHeight="1">
      <c r="A9591" s="2">
        <v>9788.0</v>
      </c>
      <c r="B9591" s="5" t="s">
        <v>17468</v>
      </c>
      <c r="C9591" s="6">
        <v>1.0</v>
      </c>
      <c r="D9591" s="9" t="s">
        <v>17469</v>
      </c>
      <c r="E9591" s="8" t="str">
        <f>IFERROR(__xludf.DUMMYFUNCTION("googletranslate(D9591,""id"",""en"")"),"Hello sir, brother sapeyan in madura rame a demonstration because I don't know anymore looking for a meal. Come on, Pak PLG to Brother Sampeyan on Madura Island. Your grave of salaries as public officials to MRK to eat during the PPKM. That's lbh dignifie"&amp;"d for you as a public official Drpd just like this.")</f>
        <v>Hello sir, brother sapeyan in madura rame a demonstration because I don't know anymore looking for a meal. Come on, Pak PLG to Brother Sampeyan on Madura Island. Your grave of salaries as public officials to MRK to eat during the PPKM. That's lbh dignified for you as a public official Drpd just like this.</v>
      </c>
    </row>
    <row r="9592" ht="15.75" customHeight="1">
      <c r="A9592" s="2">
        <v>9789.0</v>
      </c>
      <c r="B9592" s="5" t="s">
        <v>17470</v>
      </c>
      <c r="C9592" s="6">
        <v>1.0</v>
      </c>
      <c r="D9592" s="9" t="s">
        <v>17471</v>
      </c>
      <c r="E9592" s="8" t="str">
        <f>IFERROR(__xludf.DUMMYFUNCTION("googletranslate(D9592,""id"",""en"")"),"The people are again difficult to find a bite of rice, in Uber, in a hurry at Gebukin, you can't sell it, it's a bad story of satisfying his own brain without being able to provide a human-human PPKM implementation solution. Bad portraits of officials at "&amp;"the Jokowi regime")</f>
        <v>The people are again difficult to find a bite of rice, in Uber, in a hurry at Gebukin, you can't sell it, it's a bad story of satisfying his own brain without being able to provide a human-human PPKM implementation solution. Bad portraits of officials at the Jokowi regime</v>
      </c>
    </row>
    <row r="9593" ht="15.75" customHeight="1">
      <c r="A9593" s="2">
        <v>9790.0</v>
      </c>
      <c r="B9593" s="5" t="s">
        <v>17472</v>
      </c>
      <c r="C9593" s="6">
        <v>1.0</v>
      </c>
      <c r="D9593" s="7" t="s">
        <v>17473</v>
      </c>
      <c r="E9593" s="8" t="str">
        <f>IFERROR(__xludf.DUMMYFUNCTION("googletranslate(D9593,""id"",""en"")"),"I think at the time of the PPKM it also wFH and the rest is filled in reading books or improving self-quality. It turned out to be watching soap operas, Prof. Hehehe ... fun is also an example of leaders in this country. Many people who suffer from the so"&amp;"und of the scream are inaudible. It's not a soap opera !!!.")</f>
        <v>I think at the time of the PPKM it also wFH and the rest is filled in reading books or improving self-quality. It turned out to be watching soap operas, Prof. Hehehe ... fun is also an example of leaders in this country. Many people who suffer from the sound of the scream are inaudible. It's not a soap opera !!!.</v>
      </c>
    </row>
    <row r="9594" ht="15.75" customHeight="1">
      <c r="A9594" s="2">
        <v>9791.0</v>
      </c>
      <c r="B9594" s="5" t="s">
        <v>17474</v>
      </c>
      <c r="C9594" s="6">
        <v>3.0</v>
      </c>
      <c r="D9594" s="9" t="s">
        <v>17475</v>
      </c>
      <c r="E9594" s="8" t="str">
        <f>IFERROR(__xludf.DUMMYFUNCTION("googletranslate(D9594,""id"",""en"")"),"Covid is getting more ferocious, lurjangan is easily provoked bro, with the government, you can always pathear the vaccination of mourners is indeed a lapardet has been dry, the need for life needs is the main salvation, the success of the emergency progr"&amp;"ams success")</f>
        <v>Covid is getting more ferocious, lurjangan is easily provoked bro, with the government, you can always pathear the vaccination of mourners is indeed a lapardet has been dry, the need for life needs is the main salvation, the success of the emergency programs success</v>
      </c>
    </row>
    <row r="9595" ht="15.75" customHeight="1">
      <c r="A9595" s="2">
        <v>9792.0</v>
      </c>
      <c r="B9595" s="5" t="s">
        <v>17476</v>
      </c>
      <c r="C9595" s="6">
        <v>1.0</v>
      </c>
      <c r="D9595" s="7" t="s">
        <v>17477</v>
      </c>
      <c r="E9595" s="8" t="str">
        <f>IFERROR(__xludf.DUMMYFUNCTION("googletranslate(D9595,""id"",""en"")"),"There is no morality of the MFUD, it is not sensitive to the suffering of people Jalatapakai salary of people's money but not sympathy with people who are difficult to find money to eat PPKM and ""this is the face of the face of Indonesian officials""")</f>
        <v>There is no morality of the MFUD, it is not sensitive to the suffering of people Jalatapakai salary of people's money but not sympathy with people who are difficult to find money to eat PPKM and "this is the face of the face of Indonesian officials"</v>
      </c>
    </row>
    <row r="9596" ht="15.75" customHeight="1">
      <c r="A9596" s="2">
        <v>9793.0</v>
      </c>
      <c r="B9596" s="5" t="s">
        <v>17478</v>
      </c>
      <c r="C9596" s="6">
        <v>1.0</v>
      </c>
      <c r="D9596" s="7" t="s">
        <v>17479</v>
      </c>
      <c r="E9596" s="8" t="str">
        <f>IFERROR(__xludf.DUMMYFUNCTION("googletranslate(D9596,""id"",""en"")"),"The people of starvation due to PPKM, are concerned.")</f>
        <v>The people of starvation due to PPKM, are concerned.</v>
      </c>
    </row>
    <row r="9597" ht="15.75" customHeight="1">
      <c r="A9597" s="2">
        <v>9794.0</v>
      </c>
      <c r="B9597" s="5" t="s">
        <v>17480</v>
      </c>
      <c r="C9597" s="6">
        <v>3.0</v>
      </c>
      <c r="D9597" s="7" t="s">
        <v>17481</v>
      </c>
      <c r="E9597" s="8" t="str">
        <f>IFERROR(__xludf.DUMMYFUNCTION("googletranslate(D9597,""id"",""en"")"),"Come on, we care about the health protocol, during the Emergency PPKM Javanese Bali for a while we are worship at home ...")</f>
        <v>Come on, we care about the health protocol, during the Emergency PPKM Javanese Bali for a while we are worship at home ...</v>
      </c>
    </row>
    <row r="9598" ht="15.75" customHeight="1">
      <c r="A9598" s="2">
        <v>9795.0</v>
      </c>
      <c r="B9598" s="5" t="s">
        <v>17482</v>
      </c>
      <c r="C9598" s="6">
        <v>2.0</v>
      </c>
      <c r="D9598" s="7" t="s">
        <v>17483</v>
      </c>
      <c r="E9598" s="8" t="str">
        <f>IFERROR(__xludf.DUMMYFUNCTION("googletranslate(D9598,""id"",""en"")"),"still in the framework of the rendering exercise of the Gabut PPKM edition wkwkwk")</f>
        <v>still in the framework of the rendering exercise of the Gabut PPKM edition wkwkwk</v>
      </c>
    </row>
    <row r="9599" ht="15.75" customHeight="1">
      <c r="A9599" s="2">
        <v>9796.0</v>
      </c>
      <c r="B9599" s="5" t="s">
        <v>17484</v>
      </c>
      <c r="C9599" s="6">
        <v>1.0</v>
      </c>
      <c r="D9599" s="7" t="s">
        <v>17485</v>
      </c>
      <c r="E9599" s="8" t="str">
        <f>IFERROR(__xludf.DUMMYFUNCTION("googletranslate(D9599,""id"",""en"")"),"PPKM will not be able to complete the Covid issue but the true PPKM will make the small people hard to make a living ,,")</f>
        <v>PPKM will not be able to complete the Covid issue but the true PPKM will make the small people hard to make a living ,,</v>
      </c>
    </row>
    <row r="9600" ht="15.75" customHeight="1">
      <c r="A9600" s="2">
        <v>9797.0</v>
      </c>
      <c r="B9600" s="5" t="s">
        <v>17486</v>
      </c>
      <c r="C9600" s="6">
        <v>1.0</v>
      </c>
      <c r="D9600" s="9" t="s">
        <v>17487</v>
      </c>
      <c r="E9600" s="8" t="str">
        <f>IFERROR(__xludf.DUMMYFUNCTION("googletranslate(D9600,""id"",""en"")"),"Sir ... it's soap opera, you have to think of the merchant want to eat eating how in the time of the PPKM trader may not open the food stall in place. While my chicken noodles on a happy eating place. You know if the chicken noodle is a more delicious sna"&amp;"ck eaten in place.")</f>
        <v>Sir ... it's soap opera, you have to think of the merchant want to eat eating how in the time of the PPKM trader may not open the food stall in place. While my chicken noodles on a happy eating place. You know if the chicken noodle is a more delicious snack eaten in place.</v>
      </c>
    </row>
    <row r="9601" ht="15.75" customHeight="1">
      <c r="A9601" s="2">
        <v>9798.0</v>
      </c>
      <c r="B9601" s="5" t="s">
        <v>17488</v>
      </c>
      <c r="C9601" s="6">
        <v>1.0</v>
      </c>
      <c r="D9601" s="9" t="s">
        <v>17489</v>
      </c>
      <c r="E9601" s="8" t="str">
        <f>IFERROR(__xludf.DUMMYFUNCTION("googletranslate(D9601,""id"",""en"")"),"Good but the one who needs sunter..tow the trading person who has made it with the Satpol PP, please fund the Bansos in Garong, PDIP DO colleagues to pay the female penalties that have been petrified by PPKM.")</f>
        <v>Good but the one who needs sunter..tow the trading person who has made it with the Satpol PP, please fund the Bansos in Garong, PDIP DO colleagues to pay the female penalties that have been petrified by PPKM.</v>
      </c>
    </row>
    <row r="9602" ht="15.75" customHeight="1">
      <c r="A9602" s="2">
        <v>9799.0</v>
      </c>
      <c r="B9602" s="5" t="s">
        <v>17490</v>
      </c>
      <c r="C9602" s="6">
        <v>1.0</v>
      </c>
      <c r="D9602" s="9" t="s">
        <v>17491</v>
      </c>
      <c r="E9602" s="8" t="str">
        <f>IFERROR(__xludf.DUMMYFUNCTION("googletranslate(D9602,""id"",""en"")"),"Semalem hours less to the pharmacy buy medicine and see the area of ​​the house I don't have a PPKM. That's angkringan what sells mknn along the edge of Jln, a lot. Buy &amp; amp; Maybe it's still there. Ppkm fuck. Want Covid Fast Fine to Ga")</f>
        <v>Semalem hours less to the pharmacy buy medicine and see the area of ​​the house I don't have a PPKM. That's angkringan what sells mknn along the edge of Jln, a lot. Buy &amp; amp; Maybe it's still there. Ppkm fuck. Want Covid Fast Fine to Ga</v>
      </c>
    </row>
    <row r="9603" ht="15.75" customHeight="1">
      <c r="A9603" s="2">
        <v>9800.0</v>
      </c>
      <c r="B9603" s="5" t="s">
        <v>17492</v>
      </c>
      <c r="C9603" s="6">
        <v>2.0</v>
      </c>
      <c r="D9603" s="7" t="s">
        <v>17493</v>
      </c>
      <c r="E9603" s="8" t="str">
        <f>IFERROR(__xludf.DUMMYFUNCTION("googletranslate(D9603,""id"",""en"")"),"yes abis ppkm, right ppkm ga forever")</f>
        <v>yes abis ppkm, right ppkm ga forever</v>
      </c>
    </row>
    <row r="9604" ht="15.75" customHeight="1">
      <c r="A9604" s="2">
        <v>9801.0</v>
      </c>
      <c r="B9604" s="5" t="s">
        <v>17494</v>
      </c>
      <c r="C9604" s="6">
        <v>1.0</v>
      </c>
      <c r="D9604" s="9" t="s">
        <v>17495</v>
      </c>
      <c r="E9604" s="8" t="str">
        <f>IFERROR(__xludf.DUMMYFUNCTION("googletranslate(D9604,""id"",""en"")"),"PPKM and rising daily cases continue to give the opportunity to overthinking thinking about the birth of nnt gmn because of the face in full, want to meet org fear, just want to come out, at home just look at the news of pregnant women &amp; amp; lots of babi"&amp;"es +, porridge at this hour not passing Also Hadeh Laper")</f>
        <v>PPKM and rising daily cases continue to give the opportunity to overthinking thinking about the birth of nnt gmn because of the face in full, want to meet org fear, just want to come out, at home just look at the news of pregnant women &amp; amp; lots of babies +, porridge at this hour not passing Also Hadeh Laper</v>
      </c>
    </row>
    <row r="9605" ht="15.75" customHeight="1">
      <c r="A9605" s="2">
        <v>9802.0</v>
      </c>
      <c r="B9605" s="5" t="s">
        <v>17496</v>
      </c>
      <c r="C9605" s="6">
        <v>2.0</v>
      </c>
      <c r="D9605" s="7" t="s">
        <v>17497</v>
      </c>
      <c r="E9605" s="8" t="str">
        <f>IFERROR(__xludf.DUMMYFUNCTION("googletranslate(D9605,""id"",""en"")"),"Yesterday, I sold it again, but I didn't know that it was closed because of the PPKM")</f>
        <v>Yesterday, I sold it again, but I didn't know that it was closed because of the PPKM</v>
      </c>
    </row>
    <row r="9606" ht="15.75" customHeight="1">
      <c r="A9606" s="2">
        <v>9803.0</v>
      </c>
      <c r="B9606" s="5" t="s">
        <v>17498</v>
      </c>
      <c r="C9606" s="6">
        <v>1.0</v>
      </c>
      <c r="D9606" s="7" t="s">
        <v>17499</v>
      </c>
      <c r="E9606" s="8" t="str">
        <f>IFERROR(__xludf.DUMMYFUNCTION("googletranslate(D9606,""id"",""en"")"),"PPKM is the Pamong Praja work hit.")</f>
        <v>PPKM is the Pamong Praja work hit.</v>
      </c>
    </row>
    <row r="9607" ht="15.75" customHeight="1">
      <c r="A9607" s="2">
        <v>9804.0</v>
      </c>
      <c r="B9607" s="5" t="s">
        <v>17500</v>
      </c>
      <c r="C9607" s="6">
        <v>2.0</v>
      </c>
      <c r="D9607" s="9" t="s">
        <v>17501</v>
      </c>
      <c r="E9607" s="8" t="str">
        <f>IFERROR(__xludf.DUMMYFUNCTION("googletranslate(D9607,""id"",""en"")"),"The PPKM should be accompanied by the help of the government and the regional head should visit its citizens to hear what their complaints want them.")</f>
        <v>The PPKM should be accompanied by the help of the government and the regional head should visit its citizens to hear what their complaints want them.</v>
      </c>
    </row>
    <row r="9608" ht="15.75" customHeight="1">
      <c r="A9608" s="2">
        <v>9805.0</v>
      </c>
      <c r="B9608" s="5" t="s">
        <v>17502</v>
      </c>
      <c r="C9608" s="6">
        <v>1.0</v>
      </c>
      <c r="D9608" s="7" t="s">
        <v>17503</v>
      </c>
      <c r="E9608" s="8" t="str">
        <f>IFERROR(__xludf.DUMMYFUNCTION("googletranslate(D9608,""id"",""en"")"),"Ppkm: government regulations are now miserable again ???")</f>
        <v>Ppkm: government regulations are now miserable again ???</v>
      </c>
    </row>
    <row r="9609" ht="15.75" customHeight="1">
      <c r="A9609" s="2">
        <v>9806.0</v>
      </c>
      <c r="B9609" s="5" t="s">
        <v>17504</v>
      </c>
      <c r="C9609" s="6">
        <v>1.0</v>
      </c>
      <c r="D9609" s="7" t="s">
        <v>17505</v>
      </c>
      <c r="E9609" s="8" t="str">
        <f>IFERROR(__xludf.DUMMYFUNCTION("googletranslate(D9609,""id"",""en"")"),"Here it doesn't matter, it's not clear, it's not clear to hand the pandemic, including the implementation of the Health Quarantine Law starting the PSBB term to the PPKM to Emergency PPKM, maybe this is extreme PPKM. Hehehe")</f>
        <v>Here it doesn't matter, it's not clear, it's not clear to hand the pandemic, including the implementation of the Health Quarantine Law starting the PSBB term to the PPKM to Emergency PPKM, maybe this is extreme PPKM. Hehehe</v>
      </c>
    </row>
    <row r="9610" ht="15.75" customHeight="1">
      <c r="A9610" s="2">
        <v>9807.0</v>
      </c>
      <c r="B9610" s="5" t="s">
        <v>17506</v>
      </c>
      <c r="C9610" s="6">
        <v>2.0</v>
      </c>
      <c r="D9610" s="7" t="s">
        <v>17507</v>
      </c>
      <c r="E9610" s="8" t="str">
        <f>IFERROR(__xludf.DUMMYFUNCTION("googletranslate(D9610,""id"",""en"")"),"online toss because again ppkm")</f>
        <v>online toss because again ppkm</v>
      </c>
    </row>
    <row r="9611" ht="15.75" customHeight="1">
      <c r="A9611" s="2">
        <v>9808.0</v>
      </c>
      <c r="B9611" s="5" t="s">
        <v>17508</v>
      </c>
      <c r="C9611" s="6">
        <v>2.0</v>
      </c>
      <c r="D9611" s="7" t="s">
        <v>17508</v>
      </c>
      <c r="E9611" s="8" t="str">
        <f>IFERROR(__xludf.DUMMYFUNCTION("googletranslate(D9611,""id"",""en"")"),"Ppkm actually garden crowded what is the trade")</f>
        <v>Ppkm actually garden crowded what is the trade</v>
      </c>
    </row>
    <row r="9612" ht="15.75" customHeight="1">
      <c r="A9612" s="2">
        <v>9809.0</v>
      </c>
      <c r="B9612" s="5" t="s">
        <v>17509</v>
      </c>
      <c r="C9612" s="6">
        <v>3.0</v>
      </c>
      <c r="D9612" s="7" t="s">
        <v>17510</v>
      </c>
      <c r="E9612" s="8" t="str">
        <f>IFERROR(__xludf.DUMMYFUNCTION("googletranslate(D9612,""id"",""en"")"),"DRPD watching soap operas, it's better to share money like this .. PPKM gives an opportunity to share and help each other ...")</f>
        <v>DRPD watching soap operas, it's better to share money like this .. PPKM gives an opportunity to share and help each other ...</v>
      </c>
    </row>
    <row r="9613" ht="15.75" customHeight="1">
      <c r="A9613" s="2">
        <v>9810.0</v>
      </c>
      <c r="B9613" s="5" t="s">
        <v>17511</v>
      </c>
      <c r="C9613" s="6">
        <v>2.0</v>
      </c>
      <c r="D9613" s="7" t="s">
        <v>17511</v>
      </c>
      <c r="E9613" s="8" t="str">
        <f>IFERROR(__xludf.DUMMYFUNCTION("googletranslate(D9613,""id"",""en"")"),"PPKM, slowly if you enter.")</f>
        <v>PPKM, slowly if you enter.</v>
      </c>
    </row>
    <row r="9614" ht="15.75" customHeight="1">
      <c r="A9614" s="2">
        <v>9811.0</v>
      </c>
      <c r="B9614" s="5" t="s">
        <v>17512</v>
      </c>
      <c r="C9614" s="6">
        <v>1.0</v>
      </c>
      <c r="D9614" s="7" t="s">
        <v>17513</v>
      </c>
      <c r="E9614" s="8" t="str">
        <f>IFERROR(__xludf.DUMMYFUNCTION("googletranslate(D9614,""id"",""en"")"),"There are still village heads / sub-district heads even regional heads that provoke their citizens for not obedient to PPKM")</f>
        <v>There are still village heads / sub-district heads even regional heads that provoke their citizens for not obedient to PPKM</v>
      </c>
    </row>
    <row r="9615" ht="15.75" customHeight="1">
      <c r="A9615" s="2">
        <v>9812.0</v>
      </c>
      <c r="B9615" s="5" t="s">
        <v>17514</v>
      </c>
      <c r="C9615" s="6">
        <v>2.0</v>
      </c>
      <c r="D9615" s="7" t="s">
        <v>17515</v>
      </c>
      <c r="E9615" s="8" t="str">
        <f>IFERROR(__xludf.DUMMYFUNCTION("googletranslate(D9615,""id"",""en"")"),"I like PPKM, but without PP in front of it.")</f>
        <v>I like PPKM, but without PP in front of it.</v>
      </c>
    </row>
    <row r="9616" ht="15.75" customHeight="1">
      <c r="A9616" s="2">
        <v>9813.0</v>
      </c>
      <c r="B9616" s="5" t="s">
        <v>17516</v>
      </c>
      <c r="C9616" s="6">
        <v>1.0</v>
      </c>
      <c r="D9616" s="9" t="s">
        <v>17517</v>
      </c>
      <c r="E9616" s="8" t="str">
        <f>IFERROR(__xludf.DUMMYFUNCTION("googletranslate(D9616,""id"",""en"")"),"These ministers need not to be paid their salary for a year full ... understand the meaning of PPKM. We pay taxes even with cutting here and there, additional costs here here to bear those kinds of kindergartens?")</f>
        <v>These ministers need not to be paid their salary for a year full ... understand the meaning of PPKM. We pay taxes even with cutting here and there, additional costs here here to bear those kinds of kindergartens?</v>
      </c>
    </row>
    <row r="9617" ht="15.75" customHeight="1">
      <c r="A9617" s="13"/>
      <c r="B9617" s="5"/>
      <c r="D9617" s="12"/>
      <c r="E9617" s="8"/>
    </row>
    <row r="9618" ht="15.75" customHeight="1">
      <c r="A9618" s="13"/>
      <c r="B9618" s="5"/>
      <c r="D9618" s="12"/>
      <c r="E9618" s="8"/>
    </row>
  </sheetData>
  <printOptions/>
  <pageMargins bottom="1.0" footer="0.0" header="0.0" left="0.75" right="0.75" top="1.0"/>
  <pageSetup orientation="landscape"/>
  <drawing r:id="rId1"/>
</worksheet>
</file>