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mc:AlternateContent xmlns:mc="http://schemas.openxmlformats.org/markup-compatibility/2006">
    <mc:Choice Requires="x15">
      <x15ac:absPath xmlns:x15ac="http://schemas.microsoft.com/office/spreadsheetml/2010/11/ac" url="/Users/andreia/Documents/GitHub/Grupo1/TP7/"/>
    </mc:Choice>
  </mc:AlternateContent>
  <xr:revisionPtr revIDLastSave="0" documentId="13_ncr:1_{D321312F-9EC5-BF49-901B-5523B5EAEA70}" xr6:coauthVersionLast="43" xr6:coauthVersionMax="43" xr10:uidLastSave="{00000000-0000-0000-0000-000000000000}"/>
  <bookViews>
    <workbookView xWindow="0" yWindow="460" windowWidth="28720" windowHeight="1594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P112" i="9" s="1"/>
  <c r="Q108" i="9" s="1"/>
  <c r="E21" i="5" s="1"/>
  <c r="O110" i="9"/>
  <c r="O108" i="9"/>
  <c r="S108" i="9"/>
  <c r="S110" i="9"/>
  <c r="T108" i="9" s="1"/>
  <c r="S113" i="9"/>
  <c r="W113" i="9"/>
  <c r="W110" i="9"/>
  <c r="W108" i="9"/>
  <c r="X108" i="9" s="1"/>
  <c r="E113" i="9"/>
  <c r="G113" i="9" s="1"/>
  <c r="E110" i="9"/>
  <c r="G110" i="9"/>
  <c r="E108" i="9"/>
  <c r="G108" i="9" s="1"/>
  <c r="G360" i="2"/>
  <c r="G346" i="2"/>
  <c r="G338" i="2"/>
  <c r="K55" i="9"/>
  <c r="O55" i="9"/>
  <c r="S55" i="9"/>
  <c r="W55" i="9"/>
  <c r="E55" i="9"/>
  <c r="G55" i="9" s="1"/>
  <c r="G158" i="2"/>
  <c r="K31" i="9"/>
  <c r="O31" i="9"/>
  <c r="S31" i="9"/>
  <c r="W31" i="9"/>
  <c r="X31" i="9" s="1"/>
  <c r="E31" i="9"/>
  <c r="G31" i="9" s="1"/>
  <c r="G62" i="2"/>
  <c r="K26" i="9"/>
  <c r="K22" i="9"/>
  <c r="K21" i="9"/>
  <c r="O26" i="9"/>
  <c r="O22" i="9"/>
  <c r="O21" i="9"/>
  <c r="S26" i="9"/>
  <c r="S22" i="9"/>
  <c r="S21" i="9"/>
  <c r="W26" i="9"/>
  <c r="W22" i="9"/>
  <c r="W21" i="9"/>
  <c r="E26" i="9"/>
  <c r="G26" i="9" s="1"/>
  <c r="E22" i="9"/>
  <c r="G22" i="9" s="1"/>
  <c r="E21" i="9"/>
  <c r="G21" i="9" s="1"/>
  <c r="G44" i="2"/>
  <c r="G28" i="2"/>
  <c r="G23" i="2"/>
  <c r="K35" i="9"/>
  <c r="O35" i="9"/>
  <c r="S35" i="9"/>
  <c r="W35" i="9"/>
  <c r="X34" i="9" s="1"/>
  <c r="E35" i="9"/>
  <c r="G35" i="9" s="1"/>
  <c r="G81" i="2"/>
  <c r="K38" i="9"/>
  <c r="O38" i="9"/>
  <c r="S38" i="9"/>
  <c r="W38" i="9"/>
  <c r="E38" i="9"/>
  <c r="G38" i="9" s="1"/>
  <c r="G94" i="2"/>
  <c r="W91" i="9"/>
  <c r="S91" i="9"/>
  <c r="O91" i="9"/>
  <c r="K91" i="9"/>
  <c r="E91" i="9"/>
  <c r="G91" i="9" s="1"/>
  <c r="G287" i="2"/>
  <c r="E24" i="9"/>
  <c r="G24" i="9" s="1"/>
  <c r="E75" i="9"/>
  <c r="G75" i="9" s="1"/>
  <c r="C6" i="3"/>
  <c r="C5" i="3"/>
  <c r="B1" i="2"/>
  <c r="D12" i="9"/>
  <c r="D13" i="9"/>
  <c r="D14" i="9"/>
  <c r="K105" i="9"/>
  <c r="O105" i="9"/>
  <c r="S105" i="9"/>
  <c r="W105" i="9"/>
  <c r="E105" i="9"/>
  <c r="G105" i="9" s="1"/>
  <c r="G332" i="2"/>
  <c r="K95" i="9"/>
  <c r="O95" i="9"/>
  <c r="S95" i="9"/>
  <c r="W95" i="9"/>
  <c r="E95" i="9"/>
  <c r="G95" i="9" s="1"/>
  <c r="G299" i="2"/>
  <c r="W86" i="9"/>
  <c r="S86" i="9"/>
  <c r="O86" i="9"/>
  <c r="K86" i="9"/>
  <c r="E86" i="9"/>
  <c r="G86" i="9" s="1"/>
  <c r="G270" i="2"/>
  <c r="K75" i="9"/>
  <c r="O75" i="9"/>
  <c r="S75" i="9"/>
  <c r="W75" i="9"/>
  <c r="G229" i="2"/>
  <c r="W101" i="9"/>
  <c r="S101" i="9"/>
  <c r="T101" i="9" s="1"/>
  <c r="O101" i="9"/>
  <c r="K101" i="9"/>
  <c r="E101" i="9"/>
  <c r="G101" i="9" s="1"/>
  <c r="G320" i="2"/>
  <c r="W118" i="9"/>
  <c r="S118" i="9"/>
  <c r="O118" i="9"/>
  <c r="P118" i="9" s="1"/>
  <c r="K118" i="9"/>
  <c r="E118" i="9"/>
  <c r="G118" i="9" s="1"/>
  <c r="G376" i="2"/>
  <c r="W124" i="9"/>
  <c r="S124" i="9"/>
  <c r="O124" i="9"/>
  <c r="K124" i="9"/>
  <c r="E124" i="9"/>
  <c r="G124" i="9" s="1"/>
  <c r="G400" i="2"/>
  <c r="W133" i="9"/>
  <c r="X133" i="9" s="1"/>
  <c r="F43" i="3" s="1"/>
  <c r="S133" i="9"/>
  <c r="O133" i="9"/>
  <c r="K133" i="9"/>
  <c r="E133" i="9"/>
  <c r="G133" i="9" s="1"/>
  <c r="G439" i="2"/>
  <c r="W134" i="9"/>
  <c r="S134" i="9"/>
  <c r="T133" i="9" s="1"/>
  <c r="O134" i="9"/>
  <c r="K134" i="9"/>
  <c r="E134" i="9"/>
  <c r="G134" i="9" s="1"/>
  <c r="G443" i="2"/>
  <c r="H439" i="2" s="1"/>
  <c r="F25" i="3" s="1"/>
  <c r="W76" i="9"/>
  <c r="S76" i="9"/>
  <c r="O76" i="9"/>
  <c r="P75" i="9" s="1"/>
  <c r="K76" i="9"/>
  <c r="E76" i="9"/>
  <c r="G76" i="9" s="1"/>
  <c r="G233" i="2"/>
  <c r="H229" i="2" s="1"/>
  <c r="F19" i="3" s="1"/>
  <c r="W54" i="9"/>
  <c r="W53" i="9"/>
  <c r="S54" i="9"/>
  <c r="S53" i="9"/>
  <c r="T53" i="9" s="1"/>
  <c r="U50" i="9" s="1"/>
  <c r="G15" i="5" s="1"/>
  <c r="AB15" i="5" s="1"/>
  <c r="O54" i="9"/>
  <c r="O53" i="9"/>
  <c r="K54" i="9"/>
  <c r="K53" i="9"/>
  <c r="L53" i="9" s="1"/>
  <c r="M50" i="9" s="1"/>
  <c r="C15" i="5" s="1"/>
  <c r="D15" i="5" s="1"/>
  <c r="E54" i="9"/>
  <c r="G54" i="9" s="1"/>
  <c r="E53" i="9"/>
  <c r="G53" i="9"/>
  <c r="G154" i="2"/>
  <c r="H150" i="2" s="1"/>
  <c r="E17" i="3" s="1"/>
  <c r="G150" i="2"/>
  <c r="W51" i="9"/>
  <c r="S51" i="9"/>
  <c r="T50" i="9" s="1"/>
  <c r="O51" i="9"/>
  <c r="K51" i="9"/>
  <c r="E51" i="9"/>
  <c r="G51" i="9"/>
  <c r="G144" i="2"/>
  <c r="H138" i="2" s="1"/>
  <c r="K41" i="9"/>
  <c r="O41" i="9"/>
  <c r="S41" i="9"/>
  <c r="W41" i="9"/>
  <c r="E41" i="9"/>
  <c r="G41" i="9" s="1"/>
  <c r="G105" i="2"/>
  <c r="W130" i="9"/>
  <c r="W131" i="9"/>
  <c r="X130" i="9" s="1"/>
  <c r="E43" i="3" s="1"/>
  <c r="W127" i="9"/>
  <c r="W128" i="9"/>
  <c r="X127" i="9" s="1"/>
  <c r="W125" i="9"/>
  <c r="X124" i="9"/>
  <c r="F42" i="3" s="1"/>
  <c r="W121" i="9"/>
  <c r="W122" i="9"/>
  <c r="X121" i="9"/>
  <c r="W119" i="9"/>
  <c r="X118" i="9"/>
  <c r="D42" i="3"/>
  <c r="W115" i="9"/>
  <c r="W116" i="9"/>
  <c r="X115" i="9"/>
  <c r="F41" i="3"/>
  <c r="W112" i="9"/>
  <c r="X112" i="9" s="1"/>
  <c r="E41" i="3" s="1"/>
  <c r="W109" i="9"/>
  <c r="W104" i="9"/>
  <c r="X104" i="9" s="1"/>
  <c r="F40" i="3" s="1"/>
  <c r="W102" i="9"/>
  <c r="X101" i="9" s="1"/>
  <c r="E40" i="3" s="1"/>
  <c r="W97" i="9"/>
  <c r="X97" i="9" s="1"/>
  <c r="W98" i="9"/>
  <c r="W99" i="9"/>
  <c r="W94" i="9"/>
  <c r="X94" i="9" s="1"/>
  <c r="F39" i="3" s="1"/>
  <c r="W92" i="9"/>
  <c r="X91" i="9"/>
  <c r="E39" i="3" s="1"/>
  <c r="W88" i="9"/>
  <c r="W89" i="9"/>
  <c r="X88" i="9"/>
  <c r="W85" i="9"/>
  <c r="X85" i="9"/>
  <c r="F38" i="3"/>
  <c r="W82" i="9"/>
  <c r="W83" i="9"/>
  <c r="X82" i="9"/>
  <c r="E38" i="3"/>
  <c r="W79" i="9"/>
  <c r="X79" i="9" s="1"/>
  <c r="Y79" i="9" s="1"/>
  <c r="W80" i="9"/>
  <c r="D38" i="3"/>
  <c r="X75" i="9"/>
  <c r="F37" i="3"/>
  <c r="W72" i="9"/>
  <c r="X72" i="9" s="1"/>
  <c r="E37" i="3" s="1"/>
  <c r="W73" i="9"/>
  <c r="W69" i="9"/>
  <c r="X69" i="9" s="1"/>
  <c r="W70" i="9"/>
  <c r="W66" i="9"/>
  <c r="X66" i="9" s="1"/>
  <c r="W67" i="9"/>
  <c r="F36" i="3"/>
  <c r="W63" i="9"/>
  <c r="X63" i="9" s="1"/>
  <c r="W64" i="9"/>
  <c r="E36" i="3"/>
  <c r="W60" i="9"/>
  <c r="X60" i="9" s="1"/>
  <c r="W61" i="9"/>
  <c r="W57" i="9"/>
  <c r="X57" i="9" s="1"/>
  <c r="F35" i="3" s="1"/>
  <c r="W58" i="9"/>
  <c r="X53" i="9"/>
  <c r="E35" i="3" s="1"/>
  <c r="W50" i="9"/>
  <c r="X50" i="9"/>
  <c r="W46" i="9"/>
  <c r="X46" i="9" s="1"/>
  <c r="F34" i="3" s="1"/>
  <c r="W47" i="9"/>
  <c r="W43" i="9"/>
  <c r="X43" i="9" s="1"/>
  <c r="E34" i="3" s="1"/>
  <c r="W44" i="9"/>
  <c r="W40" i="9"/>
  <c r="X40" i="9" s="1"/>
  <c r="D34" i="3" s="1"/>
  <c r="W37" i="9"/>
  <c r="X37" i="9"/>
  <c r="F33" i="3" s="1"/>
  <c r="W34" i="9"/>
  <c r="E33" i="3"/>
  <c r="W32" i="9"/>
  <c r="W20" i="9"/>
  <c r="X20" i="9" s="1"/>
  <c r="W24" i="9"/>
  <c r="W25" i="9"/>
  <c r="X24" i="9"/>
  <c r="W28" i="9"/>
  <c r="X28" i="9" s="1"/>
  <c r="F32" i="3" s="1"/>
  <c r="W29" i="9"/>
  <c r="D32" i="3"/>
  <c r="Y30" i="3"/>
  <c r="X30" i="3"/>
  <c r="W30" i="3"/>
  <c r="V30" i="3"/>
  <c r="AE11" i="5"/>
  <c r="AD11" i="5"/>
  <c r="AC11" i="5"/>
  <c r="AB11" i="5"/>
  <c r="AA11" i="5"/>
  <c r="S130" i="9"/>
  <c r="S131" i="9"/>
  <c r="T130" i="9"/>
  <c r="S127" i="9"/>
  <c r="T127" i="9" s="1"/>
  <c r="S128" i="9"/>
  <c r="O130" i="9"/>
  <c r="O131" i="9"/>
  <c r="P130" i="9" s="1"/>
  <c r="O127" i="9"/>
  <c r="O128" i="9"/>
  <c r="P127" i="9"/>
  <c r="Q127" i="9" s="1"/>
  <c r="E23" i="5" s="1"/>
  <c r="P133" i="9"/>
  <c r="K130" i="9"/>
  <c r="L130" i="9" s="1"/>
  <c r="K131" i="9"/>
  <c r="K127" i="9"/>
  <c r="K128" i="9"/>
  <c r="L127" i="9" s="1"/>
  <c r="L133" i="9"/>
  <c r="S125" i="9"/>
  <c r="T124" i="9" s="1"/>
  <c r="S119" i="9"/>
  <c r="T118" i="9"/>
  <c r="U118" i="9" s="1"/>
  <c r="G22" i="5" s="1"/>
  <c r="S121" i="9"/>
  <c r="T121" i="9" s="1"/>
  <c r="S122" i="9"/>
  <c r="O119" i="9"/>
  <c r="O121" i="9"/>
  <c r="P121" i="9" s="1"/>
  <c r="O122" i="9"/>
  <c r="O125" i="9"/>
  <c r="P124" i="9"/>
  <c r="K119" i="9"/>
  <c r="L118" i="9"/>
  <c r="K121" i="9"/>
  <c r="L121" i="9" s="1"/>
  <c r="K122" i="9"/>
  <c r="K125" i="9"/>
  <c r="S116" i="9"/>
  <c r="S115" i="9"/>
  <c r="S109" i="9"/>
  <c r="S112" i="9"/>
  <c r="T112" i="9" s="1"/>
  <c r="O116" i="9"/>
  <c r="P115" i="9" s="1"/>
  <c r="O115" i="9"/>
  <c r="O109" i="9"/>
  <c r="P108" i="9" s="1"/>
  <c r="O112" i="9"/>
  <c r="K109" i="9"/>
  <c r="L108" i="9"/>
  <c r="K112" i="9"/>
  <c r="L112" i="9" s="1"/>
  <c r="K115" i="9"/>
  <c r="K116" i="9"/>
  <c r="L115" i="9"/>
  <c r="S104" i="9"/>
  <c r="T104" i="9"/>
  <c r="S97" i="9"/>
  <c r="S98" i="9"/>
  <c r="S99" i="9"/>
  <c r="T97" i="9"/>
  <c r="U97" i="9" s="1"/>
  <c r="G20" i="5" s="1"/>
  <c r="S102" i="9"/>
  <c r="O97" i="9"/>
  <c r="O98" i="9"/>
  <c r="O99" i="9"/>
  <c r="P97" i="9"/>
  <c r="Q97" i="9" s="1"/>
  <c r="E20" i="5" s="1"/>
  <c r="O102" i="9"/>
  <c r="P101" i="9" s="1"/>
  <c r="O104" i="9"/>
  <c r="P104" i="9"/>
  <c r="K97" i="9"/>
  <c r="L97" i="9" s="1"/>
  <c r="K98" i="9"/>
  <c r="K99" i="9"/>
  <c r="K102" i="9"/>
  <c r="L101" i="9"/>
  <c r="K104" i="9"/>
  <c r="L104" i="9" s="1"/>
  <c r="S88" i="9"/>
  <c r="T88" i="9" s="1"/>
  <c r="S89" i="9"/>
  <c r="S92" i="9"/>
  <c r="S94" i="9"/>
  <c r="T94" i="9"/>
  <c r="O88" i="9"/>
  <c r="O89" i="9"/>
  <c r="P88" i="9"/>
  <c r="O92" i="9"/>
  <c r="P91" i="9" s="1"/>
  <c r="O94" i="9"/>
  <c r="P94" i="9"/>
  <c r="K92" i="9"/>
  <c r="L91" i="9"/>
  <c r="K88" i="9"/>
  <c r="L88" i="9" s="1"/>
  <c r="K89" i="9"/>
  <c r="K94" i="9"/>
  <c r="L94" i="9" s="1"/>
  <c r="S85" i="9"/>
  <c r="T85" i="9" s="1"/>
  <c r="S79" i="9"/>
  <c r="S80" i="9"/>
  <c r="T79" i="9"/>
  <c r="S82" i="9"/>
  <c r="T82" i="9" s="1"/>
  <c r="S83" i="9"/>
  <c r="U79" i="9"/>
  <c r="G18" i="5" s="1"/>
  <c r="AB18" i="5" s="1"/>
  <c r="O79" i="9"/>
  <c r="O80" i="9"/>
  <c r="P79" i="9"/>
  <c r="O82" i="9"/>
  <c r="P82" i="9" s="1"/>
  <c r="O83" i="9"/>
  <c r="O85" i="9"/>
  <c r="P85" i="9" s="1"/>
  <c r="K79" i="9"/>
  <c r="L79" i="9" s="1"/>
  <c r="M79" i="9" s="1"/>
  <c r="C18" i="5" s="1"/>
  <c r="K80" i="9"/>
  <c r="K82" i="9"/>
  <c r="K83" i="9"/>
  <c r="L82" i="9" s="1"/>
  <c r="K85" i="9"/>
  <c r="L85" i="9"/>
  <c r="S72" i="9"/>
  <c r="S73" i="9"/>
  <c r="T72" i="9"/>
  <c r="S69" i="9"/>
  <c r="T69" i="9" s="1"/>
  <c r="S70" i="9"/>
  <c r="T75" i="9"/>
  <c r="O72" i="9"/>
  <c r="O73" i="9"/>
  <c r="P72" i="9" s="1"/>
  <c r="O69" i="9"/>
  <c r="O70" i="9"/>
  <c r="P69" i="9"/>
  <c r="K69" i="9"/>
  <c r="L69" i="9" s="1"/>
  <c r="K70" i="9"/>
  <c r="K72" i="9"/>
  <c r="K73" i="9"/>
  <c r="L72" i="9" s="1"/>
  <c r="L75" i="9"/>
  <c r="S67" i="9"/>
  <c r="T66" i="9" s="1"/>
  <c r="S66" i="9"/>
  <c r="S60" i="9"/>
  <c r="T60" i="9" s="1"/>
  <c r="S61" i="9"/>
  <c r="S63" i="9"/>
  <c r="S64" i="9"/>
  <c r="T63" i="9" s="1"/>
  <c r="O67" i="9"/>
  <c r="O66" i="9"/>
  <c r="P66" i="9" s="1"/>
  <c r="O60" i="9"/>
  <c r="O61" i="9"/>
  <c r="P60" i="9" s="1"/>
  <c r="Q60" i="9" s="1"/>
  <c r="E16" i="5" s="1"/>
  <c r="AC16" i="5" s="1"/>
  <c r="O63" i="9"/>
  <c r="O64" i="9"/>
  <c r="P63" i="9"/>
  <c r="K67" i="9"/>
  <c r="K66" i="9"/>
  <c r="L66" i="9" s="1"/>
  <c r="K60" i="9"/>
  <c r="K61" i="9"/>
  <c r="L60" i="9"/>
  <c r="K63" i="9"/>
  <c r="K64" i="9"/>
  <c r="L63" i="9"/>
  <c r="M60" i="9"/>
  <c r="C16" i="5" s="1"/>
  <c r="S50" i="9"/>
  <c r="S57" i="9"/>
  <c r="S58" i="9"/>
  <c r="T57" i="9"/>
  <c r="O50" i="9"/>
  <c r="P50" i="9"/>
  <c r="P53" i="9"/>
  <c r="O57" i="9"/>
  <c r="P57" i="9" s="1"/>
  <c r="O58" i="9"/>
  <c r="Q50" i="9"/>
  <c r="E15" i="5" s="1"/>
  <c r="F15" i="5" s="1"/>
  <c r="K50" i="9"/>
  <c r="L50" i="9"/>
  <c r="K57" i="9"/>
  <c r="K58" i="9"/>
  <c r="L57" i="9"/>
  <c r="S47" i="9"/>
  <c r="S46" i="9"/>
  <c r="T46" i="9"/>
  <c r="S43" i="9"/>
  <c r="S44" i="9"/>
  <c r="T43" i="9"/>
  <c r="S40" i="9"/>
  <c r="T40" i="9" s="1"/>
  <c r="U40" i="9" s="1"/>
  <c r="G14" i="5" s="1"/>
  <c r="O47" i="9"/>
  <c r="O46" i="9"/>
  <c r="O40" i="9"/>
  <c r="P40" i="9"/>
  <c r="O43" i="9"/>
  <c r="P43" i="9" s="1"/>
  <c r="O44" i="9"/>
  <c r="K47" i="9"/>
  <c r="K46" i="9"/>
  <c r="L46" i="9"/>
  <c r="K40" i="9"/>
  <c r="L40" i="9" s="1"/>
  <c r="K43" i="9"/>
  <c r="K44" i="9"/>
  <c r="S34" i="9"/>
  <c r="T34" i="9" s="1"/>
  <c r="S32" i="9"/>
  <c r="T31" i="9"/>
  <c r="S37" i="9"/>
  <c r="T37" i="9" s="1"/>
  <c r="O34" i="9"/>
  <c r="P34" i="9" s="1"/>
  <c r="O32" i="9"/>
  <c r="P31" i="9"/>
  <c r="O37" i="9"/>
  <c r="P37" i="9" s="1"/>
  <c r="K34" i="9"/>
  <c r="L34" i="9" s="1"/>
  <c r="K32" i="9"/>
  <c r="L31" i="9"/>
  <c r="K37" i="9"/>
  <c r="L37" i="9" s="1"/>
  <c r="S20" i="9"/>
  <c r="T20" i="9" s="1"/>
  <c r="S24" i="9"/>
  <c r="S25" i="9"/>
  <c r="T24" i="9"/>
  <c r="S29" i="9"/>
  <c r="T28" i="9" s="1"/>
  <c r="U20" i="9" s="1"/>
  <c r="G12" i="5" s="1"/>
  <c r="S28" i="9"/>
  <c r="O20" i="9"/>
  <c r="P20" i="9"/>
  <c r="O24" i="9"/>
  <c r="P24" i="9" s="1"/>
  <c r="O25" i="9"/>
  <c r="O29" i="9"/>
  <c r="P28" i="9" s="1"/>
  <c r="O28" i="9"/>
  <c r="K20" i="9"/>
  <c r="L20" i="9" s="1"/>
  <c r="M20" i="9" s="1"/>
  <c r="C12" i="5" s="1"/>
  <c r="K24" i="9"/>
  <c r="K25" i="9"/>
  <c r="L24" i="9"/>
  <c r="K28" i="9"/>
  <c r="K29" i="9"/>
  <c r="L28" i="9"/>
  <c r="E20" i="9"/>
  <c r="G20" i="9" s="1"/>
  <c r="E25" i="9"/>
  <c r="G25" i="9"/>
  <c r="E28" i="9"/>
  <c r="G28" i="9" s="1"/>
  <c r="E29" i="9"/>
  <c r="G29" i="9" s="1"/>
  <c r="E131" i="9"/>
  <c r="E130" i="9"/>
  <c r="G130" i="9" s="1"/>
  <c r="E128" i="9"/>
  <c r="G128" i="9" s="1"/>
  <c r="E127" i="9"/>
  <c r="G127" i="9" s="1"/>
  <c r="E125" i="9"/>
  <c r="G125" i="9" s="1"/>
  <c r="E122" i="9"/>
  <c r="G122" i="9" s="1"/>
  <c r="E121" i="9"/>
  <c r="E119" i="9"/>
  <c r="G119" i="9" s="1"/>
  <c r="E116" i="9"/>
  <c r="G116" i="9" s="1"/>
  <c r="E115" i="9"/>
  <c r="G115" i="9" s="1"/>
  <c r="E112" i="9"/>
  <c r="E109" i="9"/>
  <c r="E104" i="9"/>
  <c r="E102" i="9"/>
  <c r="G102" i="9" s="1"/>
  <c r="E99" i="9"/>
  <c r="G99" i="9" s="1"/>
  <c r="E98" i="9"/>
  <c r="G98" i="9" s="1"/>
  <c r="E97" i="9"/>
  <c r="E94" i="9"/>
  <c r="G94" i="9" s="1"/>
  <c r="E92" i="9"/>
  <c r="G92" i="9" s="1"/>
  <c r="E89" i="9"/>
  <c r="G89" i="9" s="1"/>
  <c r="E88" i="9"/>
  <c r="E85" i="9"/>
  <c r="G85" i="9" s="1"/>
  <c r="E83" i="9"/>
  <c r="E82" i="9"/>
  <c r="G82" i="9" s="1"/>
  <c r="E80" i="9"/>
  <c r="E79" i="9"/>
  <c r="G79" i="9" s="1"/>
  <c r="E73" i="9"/>
  <c r="E72" i="9"/>
  <c r="G72" i="9" s="1"/>
  <c r="E70" i="9"/>
  <c r="E69" i="9"/>
  <c r="G69" i="9" s="1"/>
  <c r="E67" i="9"/>
  <c r="G67" i="9" s="1"/>
  <c r="E66" i="9"/>
  <c r="E64" i="9"/>
  <c r="G64" i="9" s="1"/>
  <c r="E63" i="9"/>
  <c r="G63" i="9" s="1"/>
  <c r="E61" i="9"/>
  <c r="G61" i="9" s="1"/>
  <c r="E60" i="9"/>
  <c r="E58" i="9"/>
  <c r="G58" i="9" s="1"/>
  <c r="E57" i="9"/>
  <c r="G57" i="9" s="1"/>
  <c r="E50" i="9"/>
  <c r="G50" i="9" s="1"/>
  <c r="E47" i="9"/>
  <c r="E46" i="9"/>
  <c r="E44" i="9"/>
  <c r="G44" i="9" s="1"/>
  <c r="E43" i="9"/>
  <c r="G43" i="9" s="1"/>
  <c r="E40" i="9"/>
  <c r="E37" i="9"/>
  <c r="E34" i="9"/>
  <c r="G34" i="9" s="1"/>
  <c r="H34" i="9" s="1"/>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C22" i="9"/>
  <c r="C21" i="9"/>
  <c r="C20" i="9"/>
  <c r="G131" i="9"/>
  <c r="G121" i="9"/>
  <c r="G112" i="9"/>
  <c r="H112" i="9" s="1"/>
  <c r="G109" i="9"/>
  <c r="G104" i="9"/>
  <c r="G97" i="9"/>
  <c r="G88" i="9"/>
  <c r="G83" i="9"/>
  <c r="G80" i="9"/>
  <c r="G73" i="9"/>
  <c r="G70" i="9"/>
  <c r="G60" i="9"/>
  <c r="G47" i="9"/>
  <c r="G46" i="9"/>
  <c r="G40" i="9"/>
  <c r="G37" i="9"/>
  <c r="H37" i="9" s="1"/>
  <c r="G32" i="9"/>
  <c r="Y12" i="3"/>
  <c r="X12" i="3"/>
  <c r="W12" i="3"/>
  <c r="V12" i="3"/>
  <c r="G382" i="2"/>
  <c r="H376" i="2" s="1"/>
  <c r="G387" i="2"/>
  <c r="G392" i="2"/>
  <c r="G404" i="2"/>
  <c r="G411" i="2"/>
  <c r="G417" i="2"/>
  <c r="G424" i="2"/>
  <c r="G431" i="2"/>
  <c r="G342" i="2"/>
  <c r="G350" i="2"/>
  <c r="H350" i="2" s="1"/>
  <c r="E23" i="3" s="1"/>
  <c r="G364" i="2"/>
  <c r="G370" i="2"/>
  <c r="G304" i="2"/>
  <c r="G309" i="2"/>
  <c r="G314" i="2"/>
  <c r="G324" i="2"/>
  <c r="G329" i="2"/>
  <c r="H329" i="2" s="1"/>
  <c r="F22" i="3" s="1"/>
  <c r="G277" i="2"/>
  <c r="G281" i="2"/>
  <c r="G291" i="2"/>
  <c r="G296" i="2"/>
  <c r="H296" i="2" s="1"/>
  <c r="F21" i="3" s="1"/>
  <c r="G239" i="2"/>
  <c r="G247" i="2"/>
  <c r="G254" i="2"/>
  <c r="G259" i="2"/>
  <c r="G265" i="2"/>
  <c r="H265" i="2" s="1"/>
  <c r="F20" i="3" s="1"/>
  <c r="G206" i="2"/>
  <c r="G211" i="2"/>
  <c r="G216" i="2"/>
  <c r="H216" i="2" s="1"/>
  <c r="E19" i="3" s="1"/>
  <c r="G223" i="2"/>
  <c r="G173" i="2"/>
  <c r="G179" i="2"/>
  <c r="G185" i="2"/>
  <c r="G192" i="2"/>
  <c r="G196" i="2"/>
  <c r="G199" i="2"/>
  <c r="G138" i="2"/>
  <c r="G162" i="2"/>
  <c r="G166" i="2"/>
  <c r="G100" i="2"/>
  <c r="H100" i="2" s="1"/>
  <c r="D16" i="3" s="1"/>
  <c r="G111" i="2"/>
  <c r="G118" i="2"/>
  <c r="G124" i="2"/>
  <c r="G130" i="2"/>
  <c r="G65" i="2"/>
  <c r="H62" i="2" s="1"/>
  <c r="D15" i="3" s="1"/>
  <c r="G73" i="2"/>
  <c r="H73" i="2" s="1"/>
  <c r="G89" i="2"/>
  <c r="G18" i="2"/>
  <c r="G35" i="2"/>
  <c r="G41" i="2"/>
  <c r="G48" i="2"/>
  <c r="G56" i="2"/>
  <c r="B5" i="5"/>
  <c r="L5" i="5" s="1"/>
  <c r="B4" i="5"/>
  <c r="L4" i="5" s="1"/>
  <c r="U11" i="5"/>
  <c r="S11" i="5"/>
  <c r="Q11" i="5"/>
  <c r="O11" i="5"/>
  <c r="L101" i="5"/>
  <c r="L93" i="5"/>
  <c r="L85" i="5"/>
  <c r="L77" i="5"/>
  <c r="L69" i="5"/>
  <c r="L61" i="5"/>
  <c r="L53" i="5"/>
  <c r="L45" i="5"/>
  <c r="L38" i="5"/>
  <c r="L31" i="5"/>
  <c r="L24" i="5"/>
  <c r="AC23" i="5"/>
  <c r="Z23" i="5"/>
  <c r="F23" i="5"/>
  <c r="Z22" i="5"/>
  <c r="Z21" i="5"/>
  <c r="AC20" i="5"/>
  <c r="AB20" i="5"/>
  <c r="Z20" i="5"/>
  <c r="H20" i="5"/>
  <c r="F20" i="5"/>
  <c r="Z19" i="5"/>
  <c r="Z18" i="5"/>
  <c r="Z17" i="5"/>
  <c r="L17" i="5"/>
  <c r="AD16" i="5"/>
  <c r="Z16" i="5"/>
  <c r="F16" i="5"/>
  <c r="D16" i="5"/>
  <c r="AC15" i="5"/>
  <c r="Z15" i="5"/>
  <c r="H15" i="5"/>
  <c r="AB14" i="5"/>
  <c r="Z14" i="5"/>
  <c r="H14" i="5"/>
  <c r="Z13" i="5"/>
  <c r="AB12" i="5"/>
  <c r="Z12" i="5"/>
  <c r="H12" i="5"/>
  <c r="L6" i="5"/>
  <c r="L3" i="5"/>
  <c r="C9" i="3"/>
  <c r="C7" i="3"/>
  <c r="C8" i="3"/>
  <c r="A5" i="3"/>
  <c r="A6" i="3"/>
  <c r="A7" i="3"/>
  <c r="A8" i="3"/>
  <c r="A9" i="3"/>
  <c r="H133" i="9" l="1"/>
  <c r="H400" i="2"/>
  <c r="F24" i="3" s="1"/>
  <c r="H338" i="2"/>
  <c r="H320" i="2"/>
  <c r="E22" i="3" s="1"/>
  <c r="H287" i="2"/>
  <c r="E21" i="3" s="1"/>
  <c r="H277" i="2"/>
  <c r="D21" i="3" s="1"/>
  <c r="H88" i="9"/>
  <c r="H85" i="9"/>
  <c r="H254" i="2"/>
  <c r="E20" i="3" s="1"/>
  <c r="H75" i="9"/>
  <c r="H63" i="9"/>
  <c r="H173" i="2"/>
  <c r="H162" i="2"/>
  <c r="F17" i="3" s="1"/>
  <c r="H124" i="2"/>
  <c r="F16" i="3" s="1"/>
  <c r="H111" i="2"/>
  <c r="E16" i="3" s="1"/>
  <c r="H89" i="2"/>
  <c r="F15" i="3" s="1"/>
  <c r="H28" i="9"/>
  <c r="J338" i="2"/>
  <c r="Y22" i="3" s="1"/>
  <c r="D23" i="3"/>
  <c r="J62" i="2"/>
  <c r="C15" i="3" s="1"/>
  <c r="G15" i="3" s="1"/>
  <c r="E15" i="3"/>
  <c r="H48" i="2"/>
  <c r="F14" i="3" s="1"/>
  <c r="H196" i="2"/>
  <c r="F18" i="3" s="1"/>
  <c r="H239" i="2"/>
  <c r="J239" i="2" s="1"/>
  <c r="H411" i="2"/>
  <c r="H72" i="9"/>
  <c r="H82" i="9"/>
  <c r="H53" i="9"/>
  <c r="J138" i="2"/>
  <c r="B15" i="5" s="1"/>
  <c r="AE15" i="5" s="1"/>
  <c r="H20" i="9"/>
  <c r="H364" i="2"/>
  <c r="F23" i="3" s="1"/>
  <c r="H424" i="2"/>
  <c r="E25" i="3" s="1"/>
  <c r="H387" i="2"/>
  <c r="E24" i="3" s="1"/>
  <c r="H43" i="9"/>
  <c r="H97" i="9"/>
  <c r="H40" i="9"/>
  <c r="H69" i="9"/>
  <c r="H79" i="9"/>
  <c r="H130" i="9"/>
  <c r="H101" i="9"/>
  <c r="H24" i="9"/>
  <c r="I20" i="9" s="1"/>
  <c r="H94" i="9"/>
  <c r="I88" i="9" s="1"/>
  <c r="H118" i="9"/>
  <c r="H31" i="9"/>
  <c r="I31" i="9" s="1"/>
  <c r="H46" i="9"/>
  <c r="H91" i="9"/>
  <c r="H121" i="9"/>
  <c r="H124" i="9"/>
  <c r="I118" i="9" s="1"/>
  <c r="H50" i="9"/>
  <c r="H60" i="9"/>
  <c r="I60" i="9" s="1"/>
  <c r="H104" i="9"/>
  <c r="H127" i="9"/>
  <c r="H66" i="9"/>
  <c r="H108" i="9"/>
  <c r="H18" i="2"/>
  <c r="D14" i="3" s="1"/>
  <c r="A1" i="3"/>
  <c r="AC21" i="5"/>
  <c r="F21" i="5"/>
  <c r="D12" i="5"/>
  <c r="AD12" i="5"/>
  <c r="D41" i="3"/>
  <c r="Y108" i="9"/>
  <c r="AD15" i="5"/>
  <c r="D18" i="3"/>
  <c r="H206" i="2"/>
  <c r="D24" i="3"/>
  <c r="J376" i="2"/>
  <c r="Q69" i="9"/>
  <c r="E17" i="5" s="1"/>
  <c r="AD18" i="5"/>
  <c r="D18" i="5"/>
  <c r="Y60" i="9"/>
  <c r="D36" i="3"/>
  <c r="E32" i="3"/>
  <c r="Y20" i="9"/>
  <c r="Y40" i="9"/>
  <c r="H35" i="2"/>
  <c r="E14" i="3" s="1"/>
  <c r="D20" i="3"/>
  <c r="E42" i="3"/>
  <c r="Y118" i="9"/>
  <c r="H18" i="5"/>
  <c r="D17" i="3"/>
  <c r="H185" i="2"/>
  <c r="E18" i="3" s="1"/>
  <c r="H304" i="2"/>
  <c r="H57" i="9"/>
  <c r="AB22" i="5"/>
  <c r="H22" i="5"/>
  <c r="D35" i="3"/>
  <c r="Y50" i="9"/>
  <c r="H115" i="9"/>
  <c r="P46" i="9"/>
  <c r="Q40" i="9" s="1"/>
  <c r="E14" i="5" s="1"/>
  <c r="Q79" i="9"/>
  <c r="E18" i="5" s="1"/>
  <c r="M88" i="9"/>
  <c r="C19" i="5" s="1"/>
  <c r="M108" i="9"/>
  <c r="C21" i="5" s="1"/>
  <c r="T115" i="9"/>
  <c r="U108" i="9" s="1"/>
  <c r="G21" i="5" s="1"/>
  <c r="M127" i="9"/>
  <c r="C23" i="5" s="1"/>
  <c r="U127" i="9"/>
  <c r="G23" i="5" s="1"/>
  <c r="Y69" i="9"/>
  <c r="D43" i="3"/>
  <c r="Y127" i="9"/>
  <c r="M97" i="9"/>
  <c r="C20" i="5" s="1"/>
  <c r="C38" i="3"/>
  <c r="I18" i="5"/>
  <c r="D39" i="3"/>
  <c r="Y88" i="9"/>
  <c r="Y97" i="9"/>
  <c r="D40" i="3"/>
  <c r="L124" i="9"/>
  <c r="M118" i="9" s="1"/>
  <c r="C22" i="5" s="1"/>
  <c r="Q118" i="9"/>
  <c r="E22" i="5" s="1"/>
  <c r="Y31" i="9"/>
  <c r="D33" i="3"/>
  <c r="Q20" i="9"/>
  <c r="E12" i="5" s="1"/>
  <c r="M31" i="9"/>
  <c r="C13" i="5" s="1"/>
  <c r="Q31" i="9"/>
  <c r="E13" i="5" s="1"/>
  <c r="U31" i="9"/>
  <c r="G13" i="5" s="1"/>
  <c r="L43" i="9"/>
  <c r="M40" i="9" s="1"/>
  <c r="C14" i="5" s="1"/>
  <c r="U60" i="9"/>
  <c r="G16" i="5" s="1"/>
  <c r="M69" i="9"/>
  <c r="C17" i="5" s="1"/>
  <c r="U69" i="9"/>
  <c r="G17" i="5" s="1"/>
  <c r="Q88" i="9"/>
  <c r="E19" i="5" s="1"/>
  <c r="D37" i="3"/>
  <c r="B1" i="9"/>
  <c r="T91" i="9"/>
  <c r="U88" i="9" s="1"/>
  <c r="G19" i="5" s="1"/>
  <c r="J411" i="2" l="1"/>
  <c r="Y24" i="3" s="1"/>
  <c r="I127" i="9"/>
  <c r="D25" i="3"/>
  <c r="C23" i="3"/>
  <c r="G23" i="3" s="1"/>
  <c r="B21" i="5"/>
  <c r="AE21" i="5" s="1"/>
  <c r="I108" i="9"/>
  <c r="I97" i="9"/>
  <c r="J277" i="2"/>
  <c r="X20" i="3" s="1"/>
  <c r="I79" i="9"/>
  <c r="I69" i="9"/>
  <c r="I50" i="9"/>
  <c r="J100" i="2"/>
  <c r="I40" i="9"/>
  <c r="V14" i="3"/>
  <c r="B13" i="5"/>
  <c r="AE13" i="5" s="1"/>
  <c r="W16" i="3"/>
  <c r="C17" i="3"/>
  <c r="G17" i="3" s="1"/>
  <c r="AD14" i="5"/>
  <c r="D14" i="5"/>
  <c r="AD22" i="5"/>
  <c r="D22" i="5"/>
  <c r="AB21" i="5"/>
  <c r="H21" i="5"/>
  <c r="AC12" i="5"/>
  <c r="E25" i="5"/>
  <c r="F12" i="5"/>
  <c r="AB23" i="5"/>
  <c r="H23" i="5"/>
  <c r="C32" i="3"/>
  <c r="I12" i="5"/>
  <c r="AB19" i="5"/>
  <c r="H19" i="5"/>
  <c r="H17" i="5"/>
  <c r="AB17" i="5"/>
  <c r="AB13" i="5"/>
  <c r="H13" i="5"/>
  <c r="G25" i="5"/>
  <c r="X37" i="3"/>
  <c r="J18" i="5"/>
  <c r="AA18" i="5"/>
  <c r="I23" i="5"/>
  <c r="C43" i="3"/>
  <c r="G43" i="3" s="1"/>
  <c r="D23" i="5"/>
  <c r="AD23" i="5"/>
  <c r="AC18" i="5"/>
  <c r="F18" i="5"/>
  <c r="D22" i="3"/>
  <c r="J304" i="2"/>
  <c r="B14" i="5"/>
  <c r="AE14" i="5" s="1"/>
  <c r="C16" i="3"/>
  <c r="G16" i="3" s="1"/>
  <c r="V15" i="3"/>
  <c r="D19" i="3"/>
  <c r="J206" i="2"/>
  <c r="I21" i="5"/>
  <c r="C41" i="3"/>
  <c r="B19" i="5"/>
  <c r="AE19" i="5" s="1"/>
  <c r="AD19" i="5"/>
  <c r="D19" i="5"/>
  <c r="C36" i="3"/>
  <c r="G36" i="3" s="1"/>
  <c r="I16" i="5"/>
  <c r="F13" i="5"/>
  <c r="AC13" i="5"/>
  <c r="F14" i="5"/>
  <c r="AC14" i="5"/>
  <c r="B18" i="5"/>
  <c r="AE18" i="5" s="1"/>
  <c r="C20" i="3"/>
  <c r="X19" i="3"/>
  <c r="AC19" i="5"/>
  <c r="F19" i="5"/>
  <c r="AD20" i="5"/>
  <c r="D20" i="5"/>
  <c r="I15" i="5"/>
  <c r="C35" i="3"/>
  <c r="AD17" i="5"/>
  <c r="D17" i="5"/>
  <c r="C33" i="3"/>
  <c r="G33" i="3" s="1"/>
  <c r="I13" i="5"/>
  <c r="I20" i="5"/>
  <c r="C40" i="3"/>
  <c r="G40" i="3" s="1"/>
  <c r="G38" i="3"/>
  <c r="AB16" i="5"/>
  <c r="H16" i="5"/>
  <c r="AD13" i="5"/>
  <c r="D13" i="5"/>
  <c r="AC22" i="5"/>
  <c r="F22" i="5"/>
  <c r="I19" i="5"/>
  <c r="C39" i="3"/>
  <c r="G39" i="3" s="1"/>
  <c r="C37" i="3"/>
  <c r="G37" i="3" s="1"/>
  <c r="I17" i="5"/>
  <c r="AD21" i="5"/>
  <c r="D21" i="5"/>
  <c r="J18" i="2"/>
  <c r="I22" i="5"/>
  <c r="C42" i="3"/>
  <c r="G42" i="3" s="1"/>
  <c r="C34" i="3"/>
  <c r="G34" i="3" s="1"/>
  <c r="I14" i="5"/>
  <c r="AC17" i="5"/>
  <c r="F17" i="5"/>
  <c r="B22" i="5"/>
  <c r="AE22" i="5" s="1"/>
  <c r="C24" i="3"/>
  <c r="G24" i="3" s="1"/>
  <c r="Y23" i="3"/>
  <c r="J173" i="2"/>
  <c r="C25" i="3" l="1"/>
  <c r="G25" i="3" s="1"/>
  <c r="B23" i="5"/>
  <c r="AE23" i="5" s="1"/>
  <c r="C21" i="3"/>
  <c r="G21" i="3" s="1"/>
  <c r="C18" i="3"/>
  <c r="W17" i="3"/>
  <c r="B16" i="5"/>
  <c r="AE16" i="5" s="1"/>
  <c r="X38" i="3"/>
  <c r="J19" i="5"/>
  <c r="K19" i="5"/>
  <c r="AA19" i="5"/>
  <c r="W34" i="3"/>
  <c r="AA15" i="5"/>
  <c r="K15" i="5"/>
  <c r="J15" i="5"/>
  <c r="X21" i="3"/>
  <c r="B20" i="5"/>
  <c r="AE20" i="5" s="1"/>
  <c r="C22" i="3"/>
  <c r="G22" i="3" s="1"/>
  <c r="Y41" i="3"/>
  <c r="J22" i="5"/>
  <c r="K22" i="5"/>
  <c r="AA22" i="5"/>
  <c r="AA17" i="5"/>
  <c r="W36" i="3"/>
  <c r="J17" i="5"/>
  <c r="J35" i="3"/>
  <c r="G41" i="3"/>
  <c r="W35" i="3"/>
  <c r="J16" i="5"/>
  <c r="AA16" i="5"/>
  <c r="X39" i="3"/>
  <c r="AA20" i="5"/>
  <c r="J20" i="5"/>
  <c r="G20" i="3"/>
  <c r="Y40" i="3"/>
  <c r="J21" i="5"/>
  <c r="AA21" i="5"/>
  <c r="K21" i="5"/>
  <c r="V31" i="3"/>
  <c r="J12" i="5"/>
  <c r="I25" i="5"/>
  <c r="AA12" i="5"/>
  <c r="V33" i="3"/>
  <c r="AA14" i="5"/>
  <c r="K14" i="5"/>
  <c r="J14" i="5"/>
  <c r="B12" i="5"/>
  <c r="K12" i="5" s="1"/>
  <c r="V13" i="3"/>
  <c r="C14" i="3"/>
  <c r="J34" i="3"/>
  <c r="V32" i="3"/>
  <c r="K13" i="5"/>
  <c r="AA13" i="5"/>
  <c r="J13" i="5"/>
  <c r="J33" i="3"/>
  <c r="G35" i="3"/>
  <c r="J17" i="3"/>
  <c r="W18" i="3"/>
  <c r="C19" i="3"/>
  <c r="G19" i="3" s="1"/>
  <c r="B17" i="5"/>
  <c r="AE17" i="5" s="1"/>
  <c r="Y42" i="3"/>
  <c r="AA23" i="5"/>
  <c r="J23" i="5"/>
  <c r="K18" i="5"/>
  <c r="J32" i="3"/>
  <c r="G32" i="3"/>
  <c r="K23" i="5" l="1"/>
  <c r="K16" i="5"/>
  <c r="K20" i="5"/>
  <c r="J14" i="3"/>
  <c r="G14" i="3"/>
  <c r="J16" i="3"/>
  <c r="K17" i="5"/>
  <c r="AE12" i="5"/>
  <c r="C25" i="5"/>
  <c r="G18" i="3"/>
  <c r="J15" i="3"/>
  <c r="K25" i="5" l="1"/>
  <c r="E26" i="5" s="1"/>
  <c r="K26" i="5" l="1"/>
  <c r="C26" i="5"/>
  <c r="I26" i="5"/>
  <c r="G26" i="5"/>
</calcChain>
</file>

<file path=xl/sharedStrings.xml><?xml version="1.0" encoding="utf-8"?>
<sst xmlns="http://schemas.openxmlformats.org/spreadsheetml/2006/main" count="1186" uniqueCount="504">
  <si>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</si>
  <si>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</si>
  <si>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</si>
  <si>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</si>
  <si>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</si>
  <si>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</si>
  <si>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</si>
  <si>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</si>
  <si>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</si>
  <si>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</si>
  <si>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</si>
  <si>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</si>
  <si>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</si>
  <si>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</si>
  <si>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</si>
  <si>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</si>
  <si>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</si>
  <si>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</si>
  <si>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</si>
  <si>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</si>
  <si>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</si>
  <si>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</si>
  <si>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</si>
  <si>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</si>
  <si>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</si>
  <si>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</si>
  <si>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</si>
  <si>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</si>
  <si>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</si>
  <si>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</si>
  <si>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</si>
  <si>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</si>
  <si>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</si>
  <si>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</si>
  <si>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</si>
  <si>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</si>
  <si>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</si>
  <si>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</si>
  <si>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</si>
  <si>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</si>
  <si>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</si>
  <si>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</si>
  <si>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</si>
  <si>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</si>
  <si>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</si>
  <si>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</si>
  <si>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</si>
  <si>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</si>
  <si>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</si>
  <si>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</si>
  <si>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</si>
  <si>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</si>
  <si>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</si>
  <si>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</si>
  <si>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</si>
  <si>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</si>
  <si>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</si>
  <si>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</si>
  <si>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</si>
  <si>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</si>
  <si>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</si>
  <si>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</si>
  <si>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</si>
  <si>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</si>
  <si>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</si>
  <si>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</si>
  <si>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</si>
  <si>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</si>
  <si>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</si>
  <si>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</si>
  <si>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</si>
  <si>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</si>
  <si>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</si>
  <si>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</si>
  <si>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</si>
  <si>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</si>
  <si>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</si>
  <si>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</si>
  <si>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</si>
  <si>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</si>
  <si>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</si>
  <si>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</si>
  <si>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</si>
  <si>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</si>
  <si>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</si>
  <si>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</si>
  <si>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</si>
  <si>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</si>
  <si>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</si>
  <si>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</si>
  <si>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</si>
  <si>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</si>
  <si>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</si>
  <si>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</si>
  <si>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</si>
  <si>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</si>
  <si>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</si>
  <si>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</si>
  <si>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</si>
  <si>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</si>
  <si>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</si>
  <si>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</si>
  <si>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</si>
  <si>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</si>
  <si>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</si>
  <si>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</si>
  <si>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</si>
  <si>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</si>
  <si>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</si>
  <si>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</si>
  <si>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</si>
  <si>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</si>
  <si>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</si>
  <si>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</si>
  <si>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</si>
  <si>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</si>
  <si>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</si>
  <si>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</si>
  <si>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</si>
  <si>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</si>
  <si>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</si>
  <si>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</si>
  <si>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</si>
  <si>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</si>
  <si>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</si>
  <si>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</si>
  <si>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</si>
  <si>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</si>
  <si>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</si>
  <si>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</si>
  <si>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</si>
  <si>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</si>
  <si>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</si>
  <si>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</si>
  <si>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</si>
  <si>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</si>
  <si>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</si>
  <si>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</si>
  <si>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</si>
  <si>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</si>
  <si>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</si>
  <si>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</si>
  <si>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</si>
  <si>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</si>
  <si>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</si>
  <si>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</si>
  <si>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</si>
  <si>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</si>
  <si>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</si>
  <si>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</si>
  <si>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</si>
  <si>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</si>
  <si>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</si>
  <si>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</si>
  <si>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</si>
  <si>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</si>
  <si>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</si>
  <si>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</si>
  <si>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</si>
  <si>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</si>
  <si>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</si>
  <si>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</si>
  <si>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</si>
  <si>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</si>
  <si>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</si>
  <si>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</si>
  <si>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</si>
  <si>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</si>
  <si>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</si>
  <si>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</si>
  <si>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</si>
  <si>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</si>
  <si>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</si>
  <si>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</si>
  <si>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</si>
  <si>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</si>
  <si>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</si>
  <si>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</si>
  <si>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</si>
  <si>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</si>
  <si>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</si>
  <si>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</si>
  <si>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</si>
  <si>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</si>
  <si>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</si>
  <si>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</si>
  <si>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</si>
  <si>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</si>
  <si>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</si>
  <si>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</si>
  <si>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</si>
  <si>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</si>
  <si>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</si>
  <si>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</si>
  <si>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</si>
  <si>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</si>
  <si>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</si>
  <si>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</si>
  <si>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</si>
  <si>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</si>
  <si>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</si>
  <si>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</si>
  <si>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</si>
  <si>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</si>
  <si>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</si>
  <si>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</si>
  <si>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</si>
  <si>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</si>
  <si>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</si>
  <si>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</si>
  <si>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</si>
  <si>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</si>
  <si>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</si>
  <si>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</si>
  <si>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</si>
  <si>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</si>
  <si>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</si>
  <si>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</si>
  <si>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</si>
  <si>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</si>
  <si>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</si>
  <si>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</si>
  <si>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</si>
  <si>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</si>
  <si>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</si>
  <si>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</si>
  <si>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</si>
  <si>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</si>
  <si>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</si>
  <si>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</si>
  <si>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</si>
  <si>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</si>
  <si>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</si>
  <si>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</si>
  <si>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</si>
  <si>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</si>
  <si>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</si>
  <si>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</si>
  <si>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</si>
  <si>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</si>
  <si>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</si>
  <si>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</si>
  <si>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</si>
  <si>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</si>
  <si>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</si>
  <si>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</si>
  <si>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</si>
  <si>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</si>
  <si>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</si>
  <si>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</si>
  <si>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</si>
  <si>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</si>
  <si>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</si>
  <si>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</si>
  <si>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</si>
  <si>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</si>
  <si>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</si>
  <si>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</si>
  <si>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</si>
  <si>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</si>
  <si>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</si>
  <si>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</si>
  <si>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</si>
  <si>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</si>
  <si>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</si>
  <si>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</si>
  <si>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</si>
  <si>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</si>
  <si>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</si>
  <si>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</si>
  <si>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</si>
  <si>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</si>
  <si>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</si>
  <si>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</si>
  <si>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</si>
  <si>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</si>
  <si>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</si>
  <si>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</si>
  <si>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</si>
  <si>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</si>
  <si>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</si>
  <si>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</si>
  <si>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</si>
  <si>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</si>
  <si>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</si>
  <si>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</si>
  <si>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</si>
  <si>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</si>
  <si>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</si>
  <si>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</si>
  <si>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</si>
  <si>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</si>
  <si>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</si>
  <si>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</si>
  <si>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</si>
  <si>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</si>
  <si>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</si>
  <si>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</si>
  <si>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</si>
  <si>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</si>
  <si>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</si>
  <si>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</si>
  <si>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</si>
  <si>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</si>
  <si>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</si>
  <si>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</si>
  <si>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</si>
  <si>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</si>
  <si>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</si>
  <si>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</si>
  <si>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</si>
  <si>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</si>
  <si>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</si>
  <si>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</si>
  <si>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</si>
  <si>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</si>
  <si>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</si>
  <si>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</si>
  <si>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</si>
  <si>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</si>
  <si>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</si>
  <si>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</si>
  <si>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</si>
  <si>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</si>
  <si>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</si>
  <si>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</si>
  <si>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</si>
  <si>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</si>
  <si>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</si>
  <si>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</si>
  <si>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</si>
  <si>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</si>
  <si>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</si>
  <si>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</si>
  <si>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</si>
  <si>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</si>
  <si>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</si>
  <si>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</si>
  <si>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</si>
  <si>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</si>
  <si>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</si>
  <si>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</si>
  <si>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</si>
  <si>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</si>
  <si>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</si>
  <si>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</si>
  <si>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</si>
  <si>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</si>
  <si>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</si>
  <si>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</si>
  <si>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</si>
  <si>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</si>
  <si>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</si>
  <si>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</si>
  <si>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</si>
  <si>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</si>
  <si>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</si>
  <si>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</si>
  <si>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</si>
  <si>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</si>
  <si>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</si>
  <si>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</si>
  <si>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</si>
  <si>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</si>
  <si>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</si>
  <si>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</si>
  <si>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</si>
  <si>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</si>
  <si>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</si>
  <si>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</si>
  <si>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</si>
  <si>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</si>
  <si>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</si>
  <si>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</si>
  <si>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</si>
  <si>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</si>
  <si>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</si>
  <si>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</si>
  <si>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</si>
  <si>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</si>
  <si>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</si>
  <si>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</si>
  <si>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</si>
  <si>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</si>
  <si>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</si>
  <si>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</si>
  <si>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</si>
  <si>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</si>
  <si>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</si>
  <si>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</si>
  <si>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</si>
  <si>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</si>
  <si>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</si>
  <si>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</si>
  <si>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</si>
  <si>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</si>
  <si>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</si>
  <si>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</si>
  <si>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</si>
  <si>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</si>
  <si>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</si>
  <si>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</si>
  <si>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</si>
  <si>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</si>
  <si>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</si>
  <si>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</si>
  <si>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</si>
  <si>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</si>
  <si>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</si>
  <si>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</si>
  <si>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</si>
  <si>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</si>
  <si>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</si>
  <si>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</si>
  <si>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</si>
  <si>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</si>
  <si>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</si>
  <si>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</si>
  <si>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</si>
  <si>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</si>
  <si>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</si>
  <si>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</si>
  <si>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</si>
  <si>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</si>
  <si>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</si>
  <si>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</si>
  <si>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</si>
  <si>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</si>
  <si>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</si>
  <si>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</si>
  <si>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</si>
  <si>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</si>
  <si>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</si>
  <si>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</si>
  <si>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</si>
  <si>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</si>
  <si>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</si>
  <si>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</si>
  <si>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</si>
  <si>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</si>
  <si>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</si>
  <si>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</si>
  <si>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</si>
  <si>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</si>
  <si>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</si>
  <si>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</si>
  <si>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</si>
  <si>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</si>
  <si>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</si>
  <si>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</si>
  <si>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</si>
  <si>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</si>
  <si>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</si>
  <si>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</si>
  <si>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</si>
  <si>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</si>
  <si>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</si>
  <si>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</si>
  <si>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</si>
  <si>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</si>
  <si>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</si>
  <si>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</si>
  <si>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</si>
  <si>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</si>
  <si>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</si>
  <si>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</si>
  <si>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</si>
  <si>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</si>
  <si>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</si>
  <si>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</si>
  <si>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</si>
  <si>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</si>
  <si>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</si>
  <si>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</si>
  <si>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</si>
  <si>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</si>
  <si>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</si>
  <si>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</si>
  <si>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</si>
  <si>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</si>
  <si>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</si>
  <si>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</si>
  <si>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</si>
  <si>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</si>
  <si>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</si>
  <si>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</si>
  <si>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</si>
  <si>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</si>
  <si>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</si>
  <si>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</si>
  <si>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</si>
  <si>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</si>
  <si>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</si>
  <si>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</si>
  <si>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</si>
  <si>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</si>
  <si>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</si>
  <si>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</si>
  <si>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</si>
  <si>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</si>
  <si>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Universidade do Minho</t>
  </si>
  <si>
    <t>Esteganografia</t>
  </si>
  <si>
    <t>Rui Teixeira</t>
  </si>
  <si>
    <t>Joana Almeida, Andreia Costa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</si>
</sst>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0.66666666666666663</c:v>
                </c:pt>
                <c:pt idx="1">
                  <c:v>1.4500000000000002</c:v>
                </c:pt>
                <c:pt idx="2">
                  <c:v>1.85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716-BF4A-B1E5-5390A00B65C5}"/>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0.58333333333333326</c:v>
                </c:pt>
                <c:pt idx="4">
                  <c:v>0.8</c:v>
                </c:pt>
                <c:pt idx="5">
                  <c:v>1.2</c:v>
                </c:pt>
                <c:pt idx="6">
                  <c:v>0</c:v>
                </c:pt>
                <c:pt idx="7">
                  <c:v>0</c:v>
                </c:pt>
                <c:pt idx="8">
                  <c:v>0</c:v>
                </c:pt>
                <c:pt idx="9">
                  <c:v>0</c:v>
                </c:pt>
                <c:pt idx="10">
                  <c:v>0</c:v>
                </c:pt>
                <c:pt idx="11">
                  <c:v>0</c:v>
                </c:pt>
              </c:numCache>
            </c:numRef>
          </c:val>
          <c:extLst>
            <c:ext xmlns:c16="http://schemas.microsoft.com/office/drawing/2014/chart" uri="{C3380CC4-5D6E-409C-BE32-E72D297353CC}">
              <c16:uniqueId val="{00000001-0716-BF4A-B1E5-5390A00B65C5}"/>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1.0499999999999998</c:v>
                </c:pt>
                <c:pt idx="7">
                  <c:v>1.0499999999999998</c:v>
                </c:pt>
                <c:pt idx="8">
                  <c:v>0.26666666666666666</c:v>
                </c:pt>
                <c:pt idx="9">
                  <c:v>0</c:v>
                </c:pt>
                <c:pt idx="10">
                  <c:v>0</c:v>
                </c:pt>
                <c:pt idx="11">
                  <c:v>0</c:v>
                </c:pt>
              </c:numCache>
            </c:numRef>
          </c:val>
          <c:extLst>
            <c:ext xmlns:c16="http://schemas.microsoft.com/office/drawing/2014/chart" uri="{C3380CC4-5D6E-409C-BE32-E72D297353CC}">
              <c16:uniqueId val="{00000002-0716-BF4A-B1E5-5390A00B65C5}"/>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1.0666666666666667</c:v>
                </c:pt>
                <c:pt idx="10">
                  <c:v>0.55000000000000004</c:v>
                </c:pt>
                <c:pt idx="11">
                  <c:v>2.1</c:v>
                </c:pt>
              </c:numCache>
            </c:numRef>
          </c:val>
          <c:extLst>
            <c:ext xmlns:c16="http://schemas.microsoft.com/office/drawing/2014/chart" uri="{C3380CC4-5D6E-409C-BE32-E72D297353CC}">
              <c16:uniqueId val="{00000003-0716-BF4A-B1E5-5390A00B65C5}"/>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16-BF4A-B1E5-5390A00B65C5}"/>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16-BF4A-B1E5-5390A00B65C5}"/>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716-BF4A-B1E5-5390A00B65C5}"/>
                </c:ext>
              </c:extLst>
            </c:dLbl>
            <c:dLbl>
              <c:idx val="3"/>
              <c:delete val="1"/>
              <c:extLst>
                <c:ext xmlns:c15="http://schemas.microsoft.com/office/drawing/2012/chart" uri="{CE6537A1-D6FC-4f65-9D91-7224C49458BB}"/>
                <c:ext xmlns:c16="http://schemas.microsoft.com/office/drawing/2014/chart" uri="{C3380CC4-5D6E-409C-BE32-E72D297353CC}">
                  <c16:uniqueId val="{00000007-0716-BF4A-B1E5-5390A00B65C5}"/>
                </c:ext>
              </c:extLst>
            </c:dLbl>
            <c:dLbl>
              <c:idx val="4"/>
              <c:delete val="1"/>
              <c:extLst>
                <c:ext xmlns:c15="http://schemas.microsoft.com/office/drawing/2012/chart" uri="{CE6537A1-D6FC-4f65-9D91-7224C49458BB}"/>
                <c:ext xmlns:c16="http://schemas.microsoft.com/office/drawing/2014/chart" uri="{C3380CC4-5D6E-409C-BE32-E72D297353CC}">
                  <c16:uniqueId val="{00000008-0716-BF4A-B1E5-5390A00B65C5}"/>
                </c:ext>
              </c:extLst>
            </c:dLbl>
            <c:dLbl>
              <c:idx val="5"/>
              <c:delete val="1"/>
              <c:extLst>
                <c:ext xmlns:c15="http://schemas.microsoft.com/office/drawing/2012/chart" uri="{CE6537A1-D6FC-4f65-9D91-7224C49458BB}"/>
                <c:ext xmlns:c16="http://schemas.microsoft.com/office/drawing/2014/chart" uri="{C3380CC4-5D6E-409C-BE32-E72D297353CC}">
                  <c16:uniqueId val="{00000009-0716-BF4A-B1E5-5390A00B65C5}"/>
                </c:ext>
              </c:extLst>
            </c:dLbl>
            <c:dLbl>
              <c:idx val="6"/>
              <c:delete val="1"/>
              <c:extLst>
                <c:ext xmlns:c15="http://schemas.microsoft.com/office/drawing/2012/chart" uri="{CE6537A1-D6FC-4f65-9D91-7224C49458BB}"/>
                <c:ext xmlns:c16="http://schemas.microsoft.com/office/drawing/2014/chart" uri="{C3380CC4-5D6E-409C-BE32-E72D297353CC}">
                  <c16:uniqueId val="{0000000A-0716-BF4A-B1E5-5390A00B65C5}"/>
                </c:ext>
              </c:extLst>
            </c:dLbl>
            <c:dLbl>
              <c:idx val="7"/>
              <c:delete val="1"/>
              <c:extLst>
                <c:ext xmlns:c15="http://schemas.microsoft.com/office/drawing/2012/chart" uri="{CE6537A1-D6FC-4f65-9D91-7224C49458BB}"/>
                <c:ext xmlns:c16="http://schemas.microsoft.com/office/drawing/2014/chart" uri="{C3380CC4-5D6E-409C-BE32-E72D297353CC}">
                  <c16:uniqueId val="{0000000B-0716-BF4A-B1E5-5390A00B65C5}"/>
                </c:ext>
              </c:extLst>
            </c:dLbl>
            <c:dLbl>
              <c:idx val="8"/>
              <c:delete val="1"/>
              <c:extLst>
                <c:ext xmlns:c15="http://schemas.microsoft.com/office/drawing/2012/chart" uri="{CE6537A1-D6FC-4f65-9D91-7224C49458BB}"/>
                <c:ext xmlns:c16="http://schemas.microsoft.com/office/drawing/2014/chart" uri="{C3380CC4-5D6E-409C-BE32-E72D297353CC}">
                  <c16:uniqueId val="{0000000C-0716-BF4A-B1E5-5390A00B65C5}"/>
                </c:ext>
              </c:extLst>
            </c:dLbl>
            <c:dLbl>
              <c:idx val="9"/>
              <c:delete val="1"/>
              <c:extLst>
                <c:ext xmlns:c15="http://schemas.microsoft.com/office/drawing/2012/chart" uri="{CE6537A1-D6FC-4f65-9D91-7224C49458BB}"/>
                <c:ext xmlns:c16="http://schemas.microsoft.com/office/drawing/2014/chart" uri="{C3380CC4-5D6E-409C-BE32-E72D297353CC}">
                  <c16:uniqueId val="{0000000D-0716-BF4A-B1E5-5390A00B65C5}"/>
                </c:ext>
              </c:extLst>
            </c:dLbl>
            <c:dLbl>
              <c:idx val="10"/>
              <c:delete val="1"/>
              <c:extLst>
                <c:ext xmlns:c15="http://schemas.microsoft.com/office/drawing/2012/chart" uri="{CE6537A1-D6FC-4f65-9D91-7224C49458BB}"/>
                <c:ext xmlns:c16="http://schemas.microsoft.com/office/drawing/2014/chart" uri="{C3380CC4-5D6E-409C-BE32-E72D297353CC}">
                  <c16:uniqueId val="{0000000E-0716-BF4A-B1E5-5390A00B65C5}"/>
                </c:ext>
              </c:extLst>
            </c:dLbl>
            <c:dLbl>
              <c:idx val="11"/>
              <c:delete val="1"/>
              <c:extLst>
                <c:ext xmlns:c15="http://schemas.microsoft.com/office/drawing/2012/chart" uri="{CE6537A1-D6FC-4f65-9D91-7224C49458BB}"/>
                <c:ext xmlns:c16="http://schemas.microsoft.com/office/drawing/2014/chart" uri="{C3380CC4-5D6E-409C-BE32-E72D297353CC}">
                  <c16:uniqueId val="{0000000F-0716-BF4A-B1E5-5390A00B65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0.66666666666666663</c:v>
                </c:pt>
                <c:pt idx="1">
                  <c:v>1.4500000000000002</c:v>
                </c:pt>
                <c:pt idx="2">
                  <c:v>1.85</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0716-BF4A-B1E5-5390A00B65C5}"/>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0716-BF4A-B1E5-5390A00B65C5}"/>
                </c:ext>
              </c:extLst>
            </c:dLbl>
            <c:dLbl>
              <c:idx val="1"/>
              <c:delete val="1"/>
              <c:extLst>
                <c:ext xmlns:c15="http://schemas.microsoft.com/office/drawing/2012/chart" uri="{CE6537A1-D6FC-4f65-9D91-7224C49458BB}"/>
                <c:ext xmlns:c16="http://schemas.microsoft.com/office/drawing/2014/chart" uri="{C3380CC4-5D6E-409C-BE32-E72D297353CC}">
                  <c16:uniqueId val="{00000012-0716-BF4A-B1E5-5390A00B65C5}"/>
                </c:ext>
              </c:extLst>
            </c:dLbl>
            <c:dLbl>
              <c:idx val="2"/>
              <c:delete val="1"/>
              <c:extLst>
                <c:ext xmlns:c15="http://schemas.microsoft.com/office/drawing/2012/chart" uri="{CE6537A1-D6FC-4f65-9D91-7224C49458BB}"/>
                <c:ext xmlns:c16="http://schemas.microsoft.com/office/drawing/2014/chart" uri="{C3380CC4-5D6E-409C-BE32-E72D297353CC}">
                  <c16:uniqueId val="{00000013-0716-BF4A-B1E5-5390A00B65C5}"/>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716-BF4A-B1E5-5390A00B65C5}"/>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716-BF4A-B1E5-5390A00B65C5}"/>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716-BF4A-B1E5-5390A00B65C5}"/>
                </c:ext>
              </c:extLst>
            </c:dLbl>
            <c:dLbl>
              <c:idx val="6"/>
              <c:delete val="1"/>
              <c:extLst>
                <c:ext xmlns:c15="http://schemas.microsoft.com/office/drawing/2012/chart" uri="{CE6537A1-D6FC-4f65-9D91-7224C49458BB}"/>
                <c:ext xmlns:c16="http://schemas.microsoft.com/office/drawing/2014/chart" uri="{C3380CC4-5D6E-409C-BE32-E72D297353CC}">
                  <c16:uniqueId val="{00000017-0716-BF4A-B1E5-5390A00B65C5}"/>
                </c:ext>
              </c:extLst>
            </c:dLbl>
            <c:dLbl>
              <c:idx val="7"/>
              <c:delete val="1"/>
              <c:extLst>
                <c:ext xmlns:c15="http://schemas.microsoft.com/office/drawing/2012/chart" uri="{CE6537A1-D6FC-4f65-9D91-7224C49458BB}"/>
                <c:ext xmlns:c16="http://schemas.microsoft.com/office/drawing/2014/chart" uri="{C3380CC4-5D6E-409C-BE32-E72D297353CC}">
                  <c16:uniqueId val="{00000018-0716-BF4A-B1E5-5390A00B65C5}"/>
                </c:ext>
              </c:extLst>
            </c:dLbl>
            <c:dLbl>
              <c:idx val="8"/>
              <c:delete val="1"/>
              <c:extLst>
                <c:ext xmlns:c15="http://schemas.microsoft.com/office/drawing/2012/chart" uri="{CE6537A1-D6FC-4f65-9D91-7224C49458BB}"/>
                <c:ext xmlns:c16="http://schemas.microsoft.com/office/drawing/2014/chart" uri="{C3380CC4-5D6E-409C-BE32-E72D297353CC}">
                  <c16:uniqueId val="{00000019-0716-BF4A-B1E5-5390A00B65C5}"/>
                </c:ext>
              </c:extLst>
            </c:dLbl>
            <c:dLbl>
              <c:idx val="9"/>
              <c:delete val="1"/>
              <c:extLst>
                <c:ext xmlns:c15="http://schemas.microsoft.com/office/drawing/2012/chart" uri="{CE6537A1-D6FC-4f65-9D91-7224C49458BB}"/>
                <c:ext xmlns:c16="http://schemas.microsoft.com/office/drawing/2014/chart" uri="{C3380CC4-5D6E-409C-BE32-E72D297353CC}">
                  <c16:uniqueId val="{0000001A-0716-BF4A-B1E5-5390A00B65C5}"/>
                </c:ext>
              </c:extLst>
            </c:dLbl>
            <c:dLbl>
              <c:idx val="10"/>
              <c:delete val="1"/>
              <c:extLst>
                <c:ext xmlns:c15="http://schemas.microsoft.com/office/drawing/2012/chart" uri="{CE6537A1-D6FC-4f65-9D91-7224C49458BB}"/>
                <c:ext xmlns:c16="http://schemas.microsoft.com/office/drawing/2014/chart" uri="{C3380CC4-5D6E-409C-BE32-E72D297353CC}">
                  <c16:uniqueId val="{0000001B-0716-BF4A-B1E5-5390A00B65C5}"/>
                </c:ext>
              </c:extLst>
            </c:dLbl>
            <c:dLbl>
              <c:idx val="11"/>
              <c:delete val="1"/>
              <c:extLst>
                <c:ext xmlns:c15="http://schemas.microsoft.com/office/drawing/2012/chart" uri="{CE6537A1-D6FC-4f65-9D91-7224C49458BB}"/>
                <c:ext xmlns:c16="http://schemas.microsoft.com/office/drawing/2014/chart" uri="{C3380CC4-5D6E-409C-BE32-E72D297353CC}">
                  <c16:uniqueId val="{0000001C-0716-BF4A-B1E5-5390A00B65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0.58333333333333326</c:v>
                </c:pt>
                <c:pt idx="4">
                  <c:v>0.8</c:v>
                </c:pt>
                <c:pt idx="5">
                  <c:v>1.2</c:v>
                </c:pt>
                <c:pt idx="6">
                  <c:v>0</c:v>
                </c:pt>
                <c:pt idx="7">
                  <c:v>0</c:v>
                </c:pt>
                <c:pt idx="8">
                  <c:v>0</c:v>
                </c:pt>
                <c:pt idx="9">
                  <c:v>0</c:v>
                </c:pt>
                <c:pt idx="10">
                  <c:v>0</c:v>
                </c:pt>
                <c:pt idx="11">
                  <c:v>0</c:v>
                </c:pt>
              </c:numCache>
            </c:numRef>
          </c:val>
          <c:extLst>
            <c:ext xmlns:c16="http://schemas.microsoft.com/office/drawing/2014/chart" uri="{C3380CC4-5D6E-409C-BE32-E72D297353CC}">
              <c16:uniqueId val="{0000001D-0716-BF4A-B1E5-5390A00B65C5}"/>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0716-BF4A-B1E5-5390A00B65C5}"/>
                </c:ext>
              </c:extLst>
            </c:dLbl>
            <c:dLbl>
              <c:idx val="1"/>
              <c:delete val="1"/>
              <c:extLst>
                <c:ext xmlns:c15="http://schemas.microsoft.com/office/drawing/2012/chart" uri="{CE6537A1-D6FC-4f65-9D91-7224C49458BB}"/>
                <c:ext xmlns:c16="http://schemas.microsoft.com/office/drawing/2014/chart" uri="{C3380CC4-5D6E-409C-BE32-E72D297353CC}">
                  <c16:uniqueId val="{0000001F-0716-BF4A-B1E5-5390A00B65C5}"/>
                </c:ext>
              </c:extLst>
            </c:dLbl>
            <c:dLbl>
              <c:idx val="2"/>
              <c:delete val="1"/>
              <c:extLst>
                <c:ext xmlns:c15="http://schemas.microsoft.com/office/drawing/2012/chart" uri="{CE6537A1-D6FC-4f65-9D91-7224C49458BB}"/>
                <c:ext xmlns:c16="http://schemas.microsoft.com/office/drawing/2014/chart" uri="{C3380CC4-5D6E-409C-BE32-E72D297353CC}">
                  <c16:uniqueId val="{00000020-0716-BF4A-B1E5-5390A00B65C5}"/>
                </c:ext>
              </c:extLst>
            </c:dLbl>
            <c:dLbl>
              <c:idx val="3"/>
              <c:delete val="1"/>
              <c:extLst>
                <c:ext xmlns:c15="http://schemas.microsoft.com/office/drawing/2012/chart" uri="{CE6537A1-D6FC-4f65-9D91-7224C49458BB}"/>
                <c:ext xmlns:c16="http://schemas.microsoft.com/office/drawing/2014/chart" uri="{C3380CC4-5D6E-409C-BE32-E72D297353CC}">
                  <c16:uniqueId val="{00000021-0716-BF4A-B1E5-5390A00B65C5}"/>
                </c:ext>
              </c:extLst>
            </c:dLbl>
            <c:dLbl>
              <c:idx val="4"/>
              <c:delete val="1"/>
              <c:extLst>
                <c:ext xmlns:c15="http://schemas.microsoft.com/office/drawing/2012/chart" uri="{CE6537A1-D6FC-4f65-9D91-7224C49458BB}"/>
                <c:ext xmlns:c16="http://schemas.microsoft.com/office/drawing/2014/chart" uri="{C3380CC4-5D6E-409C-BE32-E72D297353CC}">
                  <c16:uniqueId val="{00000022-0716-BF4A-B1E5-5390A00B65C5}"/>
                </c:ext>
              </c:extLst>
            </c:dLbl>
            <c:dLbl>
              <c:idx val="5"/>
              <c:delete val="1"/>
              <c:extLst>
                <c:ext xmlns:c15="http://schemas.microsoft.com/office/drawing/2012/chart" uri="{CE6537A1-D6FC-4f65-9D91-7224C49458BB}"/>
                <c:ext xmlns:c16="http://schemas.microsoft.com/office/drawing/2014/chart" uri="{C3380CC4-5D6E-409C-BE32-E72D297353CC}">
                  <c16:uniqueId val="{00000023-0716-BF4A-B1E5-5390A00B65C5}"/>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716-BF4A-B1E5-5390A00B65C5}"/>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716-BF4A-B1E5-5390A00B65C5}"/>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716-BF4A-B1E5-5390A00B65C5}"/>
                </c:ext>
              </c:extLst>
            </c:dLbl>
            <c:dLbl>
              <c:idx val="9"/>
              <c:delete val="1"/>
              <c:extLst>
                <c:ext xmlns:c15="http://schemas.microsoft.com/office/drawing/2012/chart" uri="{CE6537A1-D6FC-4f65-9D91-7224C49458BB}"/>
                <c:ext xmlns:c16="http://schemas.microsoft.com/office/drawing/2014/chart" uri="{C3380CC4-5D6E-409C-BE32-E72D297353CC}">
                  <c16:uniqueId val="{00000027-0716-BF4A-B1E5-5390A00B65C5}"/>
                </c:ext>
              </c:extLst>
            </c:dLbl>
            <c:dLbl>
              <c:idx val="10"/>
              <c:delete val="1"/>
              <c:extLst>
                <c:ext xmlns:c15="http://schemas.microsoft.com/office/drawing/2012/chart" uri="{CE6537A1-D6FC-4f65-9D91-7224C49458BB}"/>
                <c:ext xmlns:c16="http://schemas.microsoft.com/office/drawing/2014/chart" uri="{C3380CC4-5D6E-409C-BE32-E72D297353CC}">
                  <c16:uniqueId val="{00000028-0716-BF4A-B1E5-5390A00B65C5}"/>
                </c:ext>
              </c:extLst>
            </c:dLbl>
            <c:dLbl>
              <c:idx val="11"/>
              <c:delete val="1"/>
              <c:extLst>
                <c:ext xmlns:c15="http://schemas.microsoft.com/office/drawing/2012/chart" uri="{CE6537A1-D6FC-4f65-9D91-7224C49458BB}"/>
                <c:ext xmlns:c16="http://schemas.microsoft.com/office/drawing/2014/chart" uri="{C3380CC4-5D6E-409C-BE32-E72D297353CC}">
                  <c16:uniqueId val="{00000029-0716-BF4A-B1E5-5390A00B65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1.0499999999999998</c:v>
                </c:pt>
                <c:pt idx="7">
                  <c:v>1.0499999999999998</c:v>
                </c:pt>
                <c:pt idx="8">
                  <c:v>0.26666666666666666</c:v>
                </c:pt>
                <c:pt idx="9">
                  <c:v>0</c:v>
                </c:pt>
                <c:pt idx="10">
                  <c:v>0</c:v>
                </c:pt>
                <c:pt idx="11">
                  <c:v>0</c:v>
                </c:pt>
              </c:numCache>
            </c:numRef>
          </c:val>
          <c:extLst>
            <c:ext xmlns:c16="http://schemas.microsoft.com/office/drawing/2014/chart" uri="{C3380CC4-5D6E-409C-BE32-E72D297353CC}">
              <c16:uniqueId val="{0000002A-0716-BF4A-B1E5-5390A00B65C5}"/>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0716-BF4A-B1E5-5390A00B65C5}"/>
                </c:ext>
              </c:extLst>
            </c:dLbl>
            <c:dLbl>
              <c:idx val="1"/>
              <c:delete val="1"/>
              <c:extLst>
                <c:ext xmlns:c15="http://schemas.microsoft.com/office/drawing/2012/chart" uri="{CE6537A1-D6FC-4f65-9D91-7224C49458BB}"/>
                <c:ext xmlns:c16="http://schemas.microsoft.com/office/drawing/2014/chart" uri="{C3380CC4-5D6E-409C-BE32-E72D297353CC}">
                  <c16:uniqueId val="{0000002C-0716-BF4A-B1E5-5390A00B65C5}"/>
                </c:ext>
              </c:extLst>
            </c:dLbl>
            <c:dLbl>
              <c:idx val="2"/>
              <c:delete val="1"/>
              <c:extLst>
                <c:ext xmlns:c15="http://schemas.microsoft.com/office/drawing/2012/chart" uri="{CE6537A1-D6FC-4f65-9D91-7224C49458BB}"/>
                <c:ext xmlns:c16="http://schemas.microsoft.com/office/drawing/2014/chart" uri="{C3380CC4-5D6E-409C-BE32-E72D297353CC}">
                  <c16:uniqueId val="{0000002D-0716-BF4A-B1E5-5390A00B65C5}"/>
                </c:ext>
              </c:extLst>
            </c:dLbl>
            <c:dLbl>
              <c:idx val="3"/>
              <c:delete val="1"/>
              <c:extLst>
                <c:ext xmlns:c15="http://schemas.microsoft.com/office/drawing/2012/chart" uri="{CE6537A1-D6FC-4f65-9D91-7224C49458BB}"/>
                <c:ext xmlns:c16="http://schemas.microsoft.com/office/drawing/2014/chart" uri="{C3380CC4-5D6E-409C-BE32-E72D297353CC}">
                  <c16:uniqueId val="{0000002E-0716-BF4A-B1E5-5390A00B65C5}"/>
                </c:ext>
              </c:extLst>
            </c:dLbl>
            <c:dLbl>
              <c:idx val="4"/>
              <c:delete val="1"/>
              <c:extLst>
                <c:ext xmlns:c15="http://schemas.microsoft.com/office/drawing/2012/chart" uri="{CE6537A1-D6FC-4f65-9D91-7224C49458BB}"/>
                <c:ext xmlns:c16="http://schemas.microsoft.com/office/drawing/2014/chart" uri="{C3380CC4-5D6E-409C-BE32-E72D297353CC}">
                  <c16:uniqueId val="{0000002F-0716-BF4A-B1E5-5390A00B65C5}"/>
                </c:ext>
              </c:extLst>
            </c:dLbl>
            <c:dLbl>
              <c:idx val="5"/>
              <c:delete val="1"/>
              <c:extLst>
                <c:ext xmlns:c15="http://schemas.microsoft.com/office/drawing/2012/chart" uri="{CE6537A1-D6FC-4f65-9D91-7224C49458BB}"/>
                <c:ext xmlns:c16="http://schemas.microsoft.com/office/drawing/2014/chart" uri="{C3380CC4-5D6E-409C-BE32-E72D297353CC}">
                  <c16:uniqueId val="{00000030-0716-BF4A-B1E5-5390A00B65C5}"/>
                </c:ext>
              </c:extLst>
            </c:dLbl>
            <c:dLbl>
              <c:idx val="6"/>
              <c:delete val="1"/>
              <c:extLst>
                <c:ext xmlns:c15="http://schemas.microsoft.com/office/drawing/2012/chart" uri="{CE6537A1-D6FC-4f65-9D91-7224C49458BB}"/>
                <c:ext xmlns:c16="http://schemas.microsoft.com/office/drawing/2014/chart" uri="{C3380CC4-5D6E-409C-BE32-E72D297353CC}">
                  <c16:uniqueId val="{00000031-0716-BF4A-B1E5-5390A00B65C5}"/>
                </c:ext>
              </c:extLst>
            </c:dLbl>
            <c:dLbl>
              <c:idx val="7"/>
              <c:delete val="1"/>
              <c:extLst>
                <c:ext xmlns:c15="http://schemas.microsoft.com/office/drawing/2012/chart" uri="{CE6537A1-D6FC-4f65-9D91-7224C49458BB}"/>
                <c:ext xmlns:c16="http://schemas.microsoft.com/office/drawing/2014/chart" uri="{C3380CC4-5D6E-409C-BE32-E72D297353CC}">
                  <c16:uniqueId val="{00000032-0716-BF4A-B1E5-5390A00B65C5}"/>
                </c:ext>
              </c:extLst>
            </c:dLbl>
            <c:dLbl>
              <c:idx val="8"/>
              <c:delete val="1"/>
              <c:extLst>
                <c:ext xmlns:c15="http://schemas.microsoft.com/office/drawing/2012/chart" uri="{CE6537A1-D6FC-4f65-9D91-7224C49458BB}"/>
                <c:ext xmlns:c16="http://schemas.microsoft.com/office/drawing/2014/chart" uri="{C3380CC4-5D6E-409C-BE32-E72D297353CC}">
                  <c16:uniqueId val="{00000033-0716-BF4A-B1E5-5390A00B65C5}"/>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716-BF4A-B1E5-5390A00B65C5}"/>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716-BF4A-B1E5-5390A00B65C5}"/>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716-BF4A-B1E5-5390A00B65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1.0666666666666667</c:v>
                </c:pt>
                <c:pt idx="10">
                  <c:v>0.55000000000000004</c:v>
                </c:pt>
                <c:pt idx="11">
                  <c:v>2.1</c:v>
                </c:pt>
              </c:numCache>
            </c:numRef>
          </c:val>
          <c:extLst>
            <c:ext xmlns:c16="http://schemas.microsoft.com/office/drawing/2014/chart" uri="{C3380CC4-5D6E-409C-BE32-E72D297353CC}">
              <c16:uniqueId val="{00000037-0716-BF4A-B1E5-5390A00B65C5}"/>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1.0499999999999998</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1.0499999999999998</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0.26666666666666666</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1.0666666666666667</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0.55000000000000004</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2.1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0.66666666666666663</c:v>
                </c:pt>
                <c:pt idx="1">
                  <c:v>1.4500000000000002</c:v>
                </c:pt>
                <c:pt idx="2">
                  <c:v>1.85</c:v>
                </c:pt>
                <c:pt idx="3">
                  <c:v>0.58333333333333326</c:v>
                </c:pt>
                <c:pt idx="4">
                  <c:v>0.8</c:v>
                </c:pt>
                <c:pt idx="5">
                  <c:v>1.2</c:v>
                </c:pt>
                <c:pt idx="6">
                  <c:v>1.0499999999999998</c:v>
                </c:pt>
                <c:pt idx="7">
                  <c:v>1.0499999999999998</c:v>
                </c:pt>
                <c:pt idx="8">
                  <c:v>0.26666666666666666</c:v>
                </c:pt>
                <c:pt idx="9">
                  <c:v>1.0666666666666667</c:v>
                </c:pt>
                <c:pt idx="10">
                  <c:v>0.55000000000000004</c:v>
                </c:pt>
                <c:pt idx="11">
                  <c:v>2.1</c:v>
                </c:pt>
              </c:numCache>
            </c:numRef>
          </c:val>
          <c:extLst>
            <c:ext xmlns:c16="http://schemas.microsoft.com/office/drawing/2014/chart" uri="{C3380CC4-5D6E-409C-BE32-E72D297353CC}">
              <c16:uniqueId val="{00000000-A3DA-5647-86DD-CAC3F0B77E1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81F-8F42-A008-3227B4C0E6CC}"/>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1F-8F42-A008-3227B4C0E6CC}"/>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1F-8F42-A008-3227B4C0E6CC}"/>
                </c:ext>
              </c:extLst>
            </c:dLbl>
            <c:dLbl>
              <c:idx val="3"/>
              <c:delete val="1"/>
              <c:extLst>
                <c:ext xmlns:c15="http://schemas.microsoft.com/office/drawing/2012/chart" uri="{CE6537A1-D6FC-4f65-9D91-7224C49458BB}"/>
                <c:ext xmlns:c16="http://schemas.microsoft.com/office/drawing/2014/chart" uri="{C3380CC4-5D6E-409C-BE32-E72D297353CC}">
                  <c16:uniqueId val="{00000003-681F-8F42-A008-3227B4C0E6CC}"/>
                </c:ext>
              </c:extLst>
            </c:dLbl>
            <c:dLbl>
              <c:idx val="4"/>
              <c:delete val="1"/>
              <c:extLst>
                <c:ext xmlns:c15="http://schemas.microsoft.com/office/drawing/2012/chart" uri="{CE6537A1-D6FC-4f65-9D91-7224C49458BB}"/>
                <c:ext xmlns:c16="http://schemas.microsoft.com/office/drawing/2014/chart" uri="{C3380CC4-5D6E-409C-BE32-E72D297353CC}">
                  <c16:uniqueId val="{00000004-681F-8F42-A008-3227B4C0E6CC}"/>
                </c:ext>
              </c:extLst>
            </c:dLbl>
            <c:dLbl>
              <c:idx val="5"/>
              <c:delete val="1"/>
              <c:extLst>
                <c:ext xmlns:c15="http://schemas.microsoft.com/office/drawing/2012/chart" uri="{CE6537A1-D6FC-4f65-9D91-7224C49458BB}"/>
                <c:ext xmlns:c16="http://schemas.microsoft.com/office/drawing/2014/chart" uri="{C3380CC4-5D6E-409C-BE32-E72D297353CC}">
                  <c16:uniqueId val="{00000005-681F-8F42-A008-3227B4C0E6CC}"/>
                </c:ext>
              </c:extLst>
            </c:dLbl>
            <c:dLbl>
              <c:idx val="6"/>
              <c:delete val="1"/>
              <c:extLst>
                <c:ext xmlns:c15="http://schemas.microsoft.com/office/drawing/2012/chart" uri="{CE6537A1-D6FC-4f65-9D91-7224C49458BB}"/>
                <c:ext xmlns:c16="http://schemas.microsoft.com/office/drawing/2014/chart" uri="{C3380CC4-5D6E-409C-BE32-E72D297353CC}">
                  <c16:uniqueId val="{00000006-681F-8F42-A008-3227B4C0E6CC}"/>
                </c:ext>
              </c:extLst>
            </c:dLbl>
            <c:dLbl>
              <c:idx val="7"/>
              <c:delete val="1"/>
              <c:extLst>
                <c:ext xmlns:c15="http://schemas.microsoft.com/office/drawing/2012/chart" uri="{CE6537A1-D6FC-4f65-9D91-7224C49458BB}"/>
                <c:ext xmlns:c16="http://schemas.microsoft.com/office/drawing/2014/chart" uri="{C3380CC4-5D6E-409C-BE32-E72D297353CC}">
                  <c16:uniqueId val="{00000007-681F-8F42-A008-3227B4C0E6CC}"/>
                </c:ext>
              </c:extLst>
            </c:dLbl>
            <c:dLbl>
              <c:idx val="8"/>
              <c:delete val="1"/>
              <c:extLst>
                <c:ext xmlns:c15="http://schemas.microsoft.com/office/drawing/2012/chart" uri="{CE6537A1-D6FC-4f65-9D91-7224C49458BB}"/>
                <c:ext xmlns:c16="http://schemas.microsoft.com/office/drawing/2014/chart" uri="{C3380CC4-5D6E-409C-BE32-E72D297353CC}">
                  <c16:uniqueId val="{00000008-681F-8F42-A008-3227B4C0E6CC}"/>
                </c:ext>
              </c:extLst>
            </c:dLbl>
            <c:dLbl>
              <c:idx val="9"/>
              <c:delete val="1"/>
              <c:extLst>
                <c:ext xmlns:c15="http://schemas.microsoft.com/office/drawing/2012/chart" uri="{CE6537A1-D6FC-4f65-9D91-7224C49458BB}"/>
                <c:ext xmlns:c16="http://schemas.microsoft.com/office/drawing/2014/chart" uri="{C3380CC4-5D6E-409C-BE32-E72D297353CC}">
                  <c16:uniqueId val="{00000009-681F-8F42-A008-3227B4C0E6CC}"/>
                </c:ext>
              </c:extLst>
            </c:dLbl>
            <c:dLbl>
              <c:idx val="10"/>
              <c:delete val="1"/>
              <c:extLst>
                <c:ext xmlns:c15="http://schemas.microsoft.com/office/drawing/2012/chart" uri="{CE6537A1-D6FC-4f65-9D91-7224C49458BB}"/>
                <c:ext xmlns:c16="http://schemas.microsoft.com/office/drawing/2014/chart" uri="{C3380CC4-5D6E-409C-BE32-E72D297353CC}">
                  <c16:uniqueId val="{0000000A-681F-8F42-A008-3227B4C0E6CC}"/>
                </c:ext>
              </c:extLst>
            </c:dLbl>
            <c:dLbl>
              <c:idx val="11"/>
              <c:delete val="1"/>
              <c:extLst>
                <c:ext xmlns:c15="http://schemas.microsoft.com/office/drawing/2012/chart" uri="{CE6537A1-D6FC-4f65-9D91-7224C49458BB}"/>
                <c:ext xmlns:c16="http://schemas.microsoft.com/office/drawing/2014/chart" uri="{C3380CC4-5D6E-409C-BE32-E72D297353CC}">
                  <c16:uniqueId val="{0000000B-681F-8F42-A008-3227B4C0E6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681F-8F42-A008-3227B4C0E6CC}"/>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681F-8F42-A008-3227B4C0E6CC}"/>
                </c:ext>
              </c:extLst>
            </c:dLbl>
            <c:dLbl>
              <c:idx val="1"/>
              <c:delete val="1"/>
              <c:extLst>
                <c:ext xmlns:c15="http://schemas.microsoft.com/office/drawing/2012/chart" uri="{CE6537A1-D6FC-4f65-9D91-7224C49458BB}"/>
                <c:ext xmlns:c16="http://schemas.microsoft.com/office/drawing/2014/chart" uri="{C3380CC4-5D6E-409C-BE32-E72D297353CC}">
                  <c16:uniqueId val="{0000000E-681F-8F42-A008-3227B4C0E6CC}"/>
                </c:ext>
              </c:extLst>
            </c:dLbl>
            <c:dLbl>
              <c:idx val="2"/>
              <c:delete val="1"/>
              <c:extLst>
                <c:ext xmlns:c15="http://schemas.microsoft.com/office/drawing/2012/chart" uri="{CE6537A1-D6FC-4f65-9D91-7224C49458BB}"/>
                <c:ext xmlns:c16="http://schemas.microsoft.com/office/drawing/2014/chart" uri="{C3380CC4-5D6E-409C-BE32-E72D297353CC}">
                  <c16:uniqueId val="{0000000F-681F-8F42-A008-3227B4C0E6CC}"/>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81F-8F42-A008-3227B4C0E6CC}"/>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81F-8F42-A008-3227B4C0E6CC}"/>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81F-8F42-A008-3227B4C0E6CC}"/>
                </c:ext>
              </c:extLst>
            </c:dLbl>
            <c:dLbl>
              <c:idx val="6"/>
              <c:delete val="1"/>
              <c:extLst>
                <c:ext xmlns:c15="http://schemas.microsoft.com/office/drawing/2012/chart" uri="{CE6537A1-D6FC-4f65-9D91-7224C49458BB}"/>
                <c:ext xmlns:c16="http://schemas.microsoft.com/office/drawing/2014/chart" uri="{C3380CC4-5D6E-409C-BE32-E72D297353CC}">
                  <c16:uniqueId val="{00000013-681F-8F42-A008-3227B4C0E6CC}"/>
                </c:ext>
              </c:extLst>
            </c:dLbl>
            <c:dLbl>
              <c:idx val="7"/>
              <c:delete val="1"/>
              <c:extLst>
                <c:ext xmlns:c15="http://schemas.microsoft.com/office/drawing/2012/chart" uri="{CE6537A1-D6FC-4f65-9D91-7224C49458BB}"/>
                <c:ext xmlns:c16="http://schemas.microsoft.com/office/drawing/2014/chart" uri="{C3380CC4-5D6E-409C-BE32-E72D297353CC}">
                  <c16:uniqueId val="{00000014-681F-8F42-A008-3227B4C0E6CC}"/>
                </c:ext>
              </c:extLst>
            </c:dLbl>
            <c:dLbl>
              <c:idx val="8"/>
              <c:delete val="1"/>
              <c:extLst>
                <c:ext xmlns:c15="http://schemas.microsoft.com/office/drawing/2012/chart" uri="{CE6537A1-D6FC-4f65-9D91-7224C49458BB}"/>
                <c:ext xmlns:c16="http://schemas.microsoft.com/office/drawing/2014/chart" uri="{C3380CC4-5D6E-409C-BE32-E72D297353CC}">
                  <c16:uniqueId val="{00000015-681F-8F42-A008-3227B4C0E6CC}"/>
                </c:ext>
              </c:extLst>
            </c:dLbl>
            <c:dLbl>
              <c:idx val="9"/>
              <c:delete val="1"/>
              <c:extLst>
                <c:ext xmlns:c15="http://schemas.microsoft.com/office/drawing/2012/chart" uri="{CE6537A1-D6FC-4f65-9D91-7224C49458BB}"/>
                <c:ext xmlns:c16="http://schemas.microsoft.com/office/drawing/2014/chart" uri="{C3380CC4-5D6E-409C-BE32-E72D297353CC}">
                  <c16:uniqueId val="{00000016-681F-8F42-A008-3227B4C0E6CC}"/>
                </c:ext>
              </c:extLst>
            </c:dLbl>
            <c:dLbl>
              <c:idx val="10"/>
              <c:delete val="1"/>
              <c:extLst>
                <c:ext xmlns:c15="http://schemas.microsoft.com/office/drawing/2012/chart" uri="{CE6537A1-D6FC-4f65-9D91-7224C49458BB}"/>
                <c:ext xmlns:c16="http://schemas.microsoft.com/office/drawing/2014/chart" uri="{C3380CC4-5D6E-409C-BE32-E72D297353CC}">
                  <c16:uniqueId val="{00000017-681F-8F42-A008-3227B4C0E6CC}"/>
                </c:ext>
              </c:extLst>
            </c:dLbl>
            <c:dLbl>
              <c:idx val="11"/>
              <c:delete val="1"/>
              <c:extLst>
                <c:ext xmlns:c15="http://schemas.microsoft.com/office/drawing/2012/chart" uri="{CE6537A1-D6FC-4f65-9D91-7224C49458BB}"/>
                <c:ext xmlns:c16="http://schemas.microsoft.com/office/drawing/2014/chart" uri="{C3380CC4-5D6E-409C-BE32-E72D297353CC}">
                  <c16:uniqueId val="{00000018-681F-8F42-A008-3227B4C0E6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681F-8F42-A008-3227B4C0E6CC}"/>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681F-8F42-A008-3227B4C0E6CC}"/>
                </c:ext>
              </c:extLst>
            </c:dLbl>
            <c:dLbl>
              <c:idx val="1"/>
              <c:delete val="1"/>
              <c:extLst>
                <c:ext xmlns:c15="http://schemas.microsoft.com/office/drawing/2012/chart" uri="{CE6537A1-D6FC-4f65-9D91-7224C49458BB}"/>
                <c:ext xmlns:c16="http://schemas.microsoft.com/office/drawing/2014/chart" uri="{C3380CC4-5D6E-409C-BE32-E72D297353CC}">
                  <c16:uniqueId val="{0000001B-681F-8F42-A008-3227B4C0E6CC}"/>
                </c:ext>
              </c:extLst>
            </c:dLbl>
            <c:dLbl>
              <c:idx val="2"/>
              <c:delete val="1"/>
              <c:extLst>
                <c:ext xmlns:c15="http://schemas.microsoft.com/office/drawing/2012/chart" uri="{CE6537A1-D6FC-4f65-9D91-7224C49458BB}"/>
                <c:ext xmlns:c16="http://schemas.microsoft.com/office/drawing/2014/chart" uri="{C3380CC4-5D6E-409C-BE32-E72D297353CC}">
                  <c16:uniqueId val="{0000001C-681F-8F42-A008-3227B4C0E6CC}"/>
                </c:ext>
              </c:extLst>
            </c:dLbl>
            <c:dLbl>
              <c:idx val="3"/>
              <c:delete val="1"/>
              <c:extLst>
                <c:ext xmlns:c15="http://schemas.microsoft.com/office/drawing/2012/chart" uri="{CE6537A1-D6FC-4f65-9D91-7224C49458BB}"/>
                <c:ext xmlns:c16="http://schemas.microsoft.com/office/drawing/2014/chart" uri="{C3380CC4-5D6E-409C-BE32-E72D297353CC}">
                  <c16:uniqueId val="{0000001D-681F-8F42-A008-3227B4C0E6CC}"/>
                </c:ext>
              </c:extLst>
            </c:dLbl>
            <c:dLbl>
              <c:idx val="4"/>
              <c:delete val="1"/>
              <c:extLst>
                <c:ext xmlns:c15="http://schemas.microsoft.com/office/drawing/2012/chart" uri="{CE6537A1-D6FC-4f65-9D91-7224C49458BB}"/>
                <c:ext xmlns:c16="http://schemas.microsoft.com/office/drawing/2014/chart" uri="{C3380CC4-5D6E-409C-BE32-E72D297353CC}">
                  <c16:uniqueId val="{0000001E-681F-8F42-A008-3227B4C0E6CC}"/>
                </c:ext>
              </c:extLst>
            </c:dLbl>
            <c:dLbl>
              <c:idx val="5"/>
              <c:delete val="1"/>
              <c:extLst>
                <c:ext xmlns:c15="http://schemas.microsoft.com/office/drawing/2012/chart" uri="{CE6537A1-D6FC-4f65-9D91-7224C49458BB}"/>
                <c:ext xmlns:c16="http://schemas.microsoft.com/office/drawing/2014/chart" uri="{C3380CC4-5D6E-409C-BE32-E72D297353CC}">
                  <c16:uniqueId val="{0000001F-681F-8F42-A008-3227B4C0E6CC}"/>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81F-8F42-A008-3227B4C0E6CC}"/>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81F-8F42-A008-3227B4C0E6CC}"/>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81F-8F42-A008-3227B4C0E6CC}"/>
                </c:ext>
              </c:extLst>
            </c:dLbl>
            <c:dLbl>
              <c:idx val="9"/>
              <c:delete val="1"/>
              <c:extLst>
                <c:ext xmlns:c15="http://schemas.microsoft.com/office/drawing/2012/chart" uri="{CE6537A1-D6FC-4f65-9D91-7224C49458BB}"/>
                <c:ext xmlns:c16="http://schemas.microsoft.com/office/drawing/2014/chart" uri="{C3380CC4-5D6E-409C-BE32-E72D297353CC}">
                  <c16:uniqueId val="{00000023-681F-8F42-A008-3227B4C0E6CC}"/>
                </c:ext>
              </c:extLst>
            </c:dLbl>
            <c:dLbl>
              <c:idx val="10"/>
              <c:delete val="1"/>
              <c:extLst>
                <c:ext xmlns:c15="http://schemas.microsoft.com/office/drawing/2012/chart" uri="{CE6537A1-D6FC-4f65-9D91-7224C49458BB}"/>
                <c:ext xmlns:c16="http://schemas.microsoft.com/office/drawing/2014/chart" uri="{C3380CC4-5D6E-409C-BE32-E72D297353CC}">
                  <c16:uniqueId val="{00000024-681F-8F42-A008-3227B4C0E6CC}"/>
                </c:ext>
              </c:extLst>
            </c:dLbl>
            <c:dLbl>
              <c:idx val="11"/>
              <c:delete val="1"/>
              <c:extLst>
                <c:ext xmlns:c15="http://schemas.microsoft.com/office/drawing/2012/chart" uri="{CE6537A1-D6FC-4f65-9D91-7224C49458BB}"/>
                <c:ext xmlns:c16="http://schemas.microsoft.com/office/drawing/2014/chart" uri="{C3380CC4-5D6E-409C-BE32-E72D297353CC}">
                  <c16:uniqueId val="{00000025-681F-8F42-A008-3227B4C0E6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681F-8F42-A008-3227B4C0E6CC}"/>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681F-8F42-A008-3227B4C0E6CC}"/>
                </c:ext>
              </c:extLst>
            </c:dLbl>
            <c:dLbl>
              <c:idx val="1"/>
              <c:delete val="1"/>
              <c:extLst>
                <c:ext xmlns:c15="http://schemas.microsoft.com/office/drawing/2012/chart" uri="{CE6537A1-D6FC-4f65-9D91-7224C49458BB}"/>
                <c:ext xmlns:c16="http://schemas.microsoft.com/office/drawing/2014/chart" uri="{C3380CC4-5D6E-409C-BE32-E72D297353CC}">
                  <c16:uniqueId val="{00000028-681F-8F42-A008-3227B4C0E6CC}"/>
                </c:ext>
              </c:extLst>
            </c:dLbl>
            <c:dLbl>
              <c:idx val="2"/>
              <c:delete val="1"/>
              <c:extLst>
                <c:ext xmlns:c15="http://schemas.microsoft.com/office/drawing/2012/chart" uri="{CE6537A1-D6FC-4f65-9D91-7224C49458BB}"/>
                <c:ext xmlns:c16="http://schemas.microsoft.com/office/drawing/2014/chart" uri="{C3380CC4-5D6E-409C-BE32-E72D297353CC}">
                  <c16:uniqueId val="{00000029-681F-8F42-A008-3227B4C0E6CC}"/>
                </c:ext>
              </c:extLst>
            </c:dLbl>
            <c:dLbl>
              <c:idx val="3"/>
              <c:delete val="1"/>
              <c:extLst>
                <c:ext xmlns:c15="http://schemas.microsoft.com/office/drawing/2012/chart" uri="{CE6537A1-D6FC-4f65-9D91-7224C49458BB}"/>
                <c:ext xmlns:c16="http://schemas.microsoft.com/office/drawing/2014/chart" uri="{C3380CC4-5D6E-409C-BE32-E72D297353CC}">
                  <c16:uniqueId val="{0000002A-681F-8F42-A008-3227B4C0E6CC}"/>
                </c:ext>
              </c:extLst>
            </c:dLbl>
            <c:dLbl>
              <c:idx val="4"/>
              <c:delete val="1"/>
              <c:extLst>
                <c:ext xmlns:c15="http://schemas.microsoft.com/office/drawing/2012/chart" uri="{CE6537A1-D6FC-4f65-9D91-7224C49458BB}"/>
                <c:ext xmlns:c16="http://schemas.microsoft.com/office/drawing/2014/chart" uri="{C3380CC4-5D6E-409C-BE32-E72D297353CC}">
                  <c16:uniqueId val="{0000002B-681F-8F42-A008-3227B4C0E6CC}"/>
                </c:ext>
              </c:extLst>
            </c:dLbl>
            <c:dLbl>
              <c:idx val="5"/>
              <c:delete val="1"/>
              <c:extLst>
                <c:ext xmlns:c15="http://schemas.microsoft.com/office/drawing/2012/chart" uri="{CE6537A1-D6FC-4f65-9D91-7224C49458BB}"/>
                <c:ext xmlns:c16="http://schemas.microsoft.com/office/drawing/2014/chart" uri="{C3380CC4-5D6E-409C-BE32-E72D297353CC}">
                  <c16:uniqueId val="{0000002C-681F-8F42-A008-3227B4C0E6CC}"/>
                </c:ext>
              </c:extLst>
            </c:dLbl>
            <c:dLbl>
              <c:idx val="6"/>
              <c:delete val="1"/>
              <c:extLst>
                <c:ext xmlns:c15="http://schemas.microsoft.com/office/drawing/2012/chart" uri="{CE6537A1-D6FC-4f65-9D91-7224C49458BB}"/>
                <c:ext xmlns:c16="http://schemas.microsoft.com/office/drawing/2014/chart" uri="{C3380CC4-5D6E-409C-BE32-E72D297353CC}">
                  <c16:uniqueId val="{0000002D-681F-8F42-A008-3227B4C0E6CC}"/>
                </c:ext>
              </c:extLst>
            </c:dLbl>
            <c:dLbl>
              <c:idx val="7"/>
              <c:delete val="1"/>
              <c:extLst>
                <c:ext xmlns:c15="http://schemas.microsoft.com/office/drawing/2012/chart" uri="{CE6537A1-D6FC-4f65-9D91-7224C49458BB}"/>
                <c:ext xmlns:c16="http://schemas.microsoft.com/office/drawing/2014/chart" uri="{C3380CC4-5D6E-409C-BE32-E72D297353CC}">
                  <c16:uniqueId val="{0000002E-681F-8F42-A008-3227B4C0E6CC}"/>
                </c:ext>
              </c:extLst>
            </c:dLbl>
            <c:dLbl>
              <c:idx val="8"/>
              <c:delete val="1"/>
              <c:extLst>
                <c:ext xmlns:c15="http://schemas.microsoft.com/office/drawing/2012/chart" uri="{CE6537A1-D6FC-4f65-9D91-7224C49458BB}"/>
                <c:ext xmlns:c16="http://schemas.microsoft.com/office/drawing/2014/chart" uri="{C3380CC4-5D6E-409C-BE32-E72D297353CC}">
                  <c16:uniqueId val="{0000002F-681F-8F42-A008-3227B4C0E6CC}"/>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81F-8F42-A008-3227B4C0E6CC}"/>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81F-8F42-A008-3227B4C0E6CC}"/>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81F-8F42-A008-3227B4C0E6C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681F-8F42-A008-3227B4C0E6CC}"/>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0.66666666666666663</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1.4500000000000002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1.85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0.58333333333333326</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0.8</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workbookViewId="0">
      <selection activeCell="B15" sqref="B15"/>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42" x14ac:dyDescent="0.15">
      <c r="A18" s="66"/>
      <c r="B18" s="68" t="s">
        <v>49</v>
      </c>
    </row>
    <row r="19" spans="1:3" x14ac:dyDescent="0.15">
      <c r="A19" s="66"/>
      <c r="B19" s="66"/>
    </row>
    <row r="20" spans="1:3" ht="28"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abSelected="1" topLeftCell="B1" zoomScale="140" zoomScaleNormal="140" workbookViewId="0">
      <selection activeCell="E443" sqref="E443"/>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283" t="str">
        <f>CONCATENATE("SAMM Assessment Interview: ",D11," For ",D10)</f>
        <v>SAMM Assessment Interview: Esteganografia For Universidade do Minho</v>
      </c>
      <c r="C1" s="283"/>
      <c r="D1" s="283"/>
      <c r="E1" s="283"/>
      <c r="F1" s="283"/>
      <c r="G1" s="283"/>
      <c r="H1" s="283"/>
      <c r="I1" s="283"/>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1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1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1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1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2">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281" t="s">
        <v>54</v>
      </c>
      <c r="C10" s="282"/>
      <c r="D10" s="14" t="s">
        <v>500</v>
      </c>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295" t="s">
        <v>55</v>
      </c>
      <c r="C11" s="296"/>
      <c r="D11" s="15" t="s">
        <v>501</v>
      </c>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295" t="s">
        <v>56</v>
      </c>
      <c r="C12" s="296"/>
      <c r="D12" s="16">
        <v>43565</v>
      </c>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295" t="s">
        <v>57</v>
      </c>
      <c r="C13" s="297"/>
      <c r="D13" s="15" t="s">
        <v>502</v>
      </c>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298" t="s">
        <v>365</v>
      </c>
      <c r="C14" s="299"/>
      <c r="D14" s="17" t="s">
        <v>503</v>
      </c>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15">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92" t="s">
        <v>61</v>
      </c>
      <c r="C18" s="256" t="s">
        <v>408</v>
      </c>
      <c r="D18" s="255"/>
      <c r="E18" s="5" t="s">
        <v>423</v>
      </c>
      <c r="F18" s="18">
        <v>1</v>
      </c>
      <c r="G18" s="18">
        <f>IFERROR(VLOOKUP(E18,AnswerATBL,2,FALSE),0)</f>
        <v>0.2</v>
      </c>
      <c r="H18" s="108">
        <f>IFERROR(AVERAGE(G18,G23,G28),0)</f>
        <v>0.56666666666666665</v>
      </c>
      <c r="I18" s="257"/>
      <c r="J18" s="250">
        <f>SUM(H18,H35,H48)</f>
        <v>0.66666666666666663</v>
      </c>
      <c r="K18" s="1"/>
      <c r="L18" s="141"/>
      <c r="M18" s="141"/>
      <c r="N18" s="141"/>
      <c r="O18" s="141"/>
      <c r="P18" s="141"/>
      <c r="Q18" s="1"/>
      <c r="R18" s="1"/>
      <c r="S18" s="1"/>
      <c r="T18" s="1"/>
      <c r="U18" s="1"/>
      <c r="V18" s="1"/>
      <c r="W18" s="1"/>
      <c r="X18" s="1"/>
      <c r="Y18" s="1"/>
      <c r="Z18" s="1"/>
    </row>
    <row r="19" spans="1:26" ht="12.75" customHeight="1" x14ac:dyDescent="0.15">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15">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15">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15">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15">
      <c r="A23" s="27">
        <v>2</v>
      </c>
      <c r="B23" s="293"/>
      <c r="C23" s="253" t="s">
        <v>329</v>
      </c>
      <c r="D23" s="249"/>
      <c r="E23" s="22" t="s">
        <v>493</v>
      </c>
      <c r="F23" s="18">
        <v>2</v>
      </c>
      <c r="G23" s="18">
        <f>IFERROR(VLOOKUP(E23,AnswerCTBL,2,FALSE),0)</f>
        <v>1</v>
      </c>
      <c r="H23" s="109"/>
      <c r="I23" s="257"/>
      <c r="J23" s="11"/>
      <c r="K23" s="1"/>
      <c r="L23" s="141"/>
      <c r="M23" s="141"/>
      <c r="N23" s="141"/>
      <c r="O23" s="141"/>
      <c r="P23" s="141"/>
      <c r="Q23" s="1"/>
      <c r="R23" s="1"/>
      <c r="S23" s="1"/>
      <c r="T23" s="1"/>
      <c r="U23" s="1"/>
      <c r="V23" s="1"/>
      <c r="W23" s="1"/>
      <c r="X23" s="1"/>
      <c r="Y23" s="1"/>
      <c r="Z23" s="1"/>
    </row>
    <row r="24" spans="1:26" ht="12.75" customHeight="1" x14ac:dyDescent="0.1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1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1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1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15">
      <c r="A28" s="27">
        <v>3</v>
      </c>
      <c r="B28" s="293"/>
      <c r="C28" s="253" t="s">
        <v>328</v>
      </c>
      <c r="D28" s="249"/>
      <c r="E28" s="22" t="s">
        <v>492</v>
      </c>
      <c r="F28" s="18">
        <v>3</v>
      </c>
      <c r="G28" s="18">
        <f>IFERROR(VLOOKUP(E28,AnswerCTBL,2,FALSE),0)</f>
        <v>0.5</v>
      </c>
      <c r="H28" s="109"/>
      <c r="I28" s="257"/>
      <c r="J28" s="11"/>
      <c r="K28" s="1"/>
      <c r="L28" s="141"/>
      <c r="M28" s="141"/>
      <c r="N28" s="141"/>
      <c r="O28" s="141"/>
      <c r="P28" s="141"/>
      <c r="Q28" s="1"/>
      <c r="R28" s="1"/>
      <c r="S28" s="1"/>
      <c r="T28" s="1"/>
      <c r="U28" s="1"/>
      <c r="V28" s="1"/>
      <c r="W28" s="1"/>
      <c r="X28" s="1"/>
      <c r="Y28" s="1"/>
      <c r="Z28" s="1"/>
    </row>
    <row r="29" spans="1:26" ht="12.75" customHeight="1" x14ac:dyDescent="0.1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1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1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1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1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1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15">
      <c r="A35" s="27">
        <v>4</v>
      </c>
      <c r="B35" s="292" t="s">
        <v>72</v>
      </c>
      <c r="C35" s="256" t="s">
        <v>409</v>
      </c>
      <c r="D35" s="255"/>
      <c r="E35" s="5" t="s">
        <v>366</v>
      </c>
      <c r="F35" s="18">
        <v>4</v>
      </c>
      <c r="G35" s="18">
        <f>IFERROR(VLOOKUP(E35,AnswerCTBL,2,FALSE),0)</f>
        <v>0</v>
      </c>
      <c r="H35" s="108">
        <f>IFERROR(AVERAGE(G35,G41,G44),0)</f>
        <v>0</v>
      </c>
      <c r="I35" s="257"/>
      <c r="J35" s="11"/>
      <c r="K35" s="1"/>
      <c r="L35" s="141"/>
      <c r="M35" s="141"/>
      <c r="N35" s="141"/>
      <c r="O35" s="141"/>
      <c r="P35" s="141"/>
      <c r="Q35" s="1"/>
      <c r="R35" s="1"/>
      <c r="S35" s="1"/>
      <c r="T35" s="1"/>
      <c r="U35" s="1"/>
      <c r="V35" s="1"/>
      <c r="W35" s="1"/>
      <c r="X35" s="1"/>
      <c r="Y35" s="1"/>
      <c r="Z35" s="1"/>
    </row>
    <row r="36" spans="1:26" ht="12.75" customHeight="1" x14ac:dyDescent="0.1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1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1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1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1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15">
      <c r="A41" s="27">
        <v>5</v>
      </c>
      <c r="B41" s="293"/>
      <c r="C41" s="253" t="s">
        <v>77</v>
      </c>
      <c r="D41" s="249"/>
      <c r="E41" s="22" t="s">
        <v>366</v>
      </c>
      <c r="F41" s="18">
        <v>5</v>
      </c>
      <c r="G41" s="18">
        <f>IFERROR(VLOOKUP(E41,AnswerCTBL,2,FALSE),0)</f>
        <v>0</v>
      </c>
      <c r="H41" s="109"/>
      <c r="I41" s="257"/>
      <c r="J41" s="11"/>
      <c r="K41" s="1"/>
      <c r="L41" s="141"/>
      <c r="M41" s="141"/>
      <c r="N41" s="141"/>
      <c r="O41" s="141"/>
      <c r="P41" s="141"/>
      <c r="Q41" s="1"/>
      <c r="R41" s="1"/>
      <c r="S41" s="1"/>
      <c r="T41" s="1"/>
      <c r="U41" s="1"/>
      <c r="V41" s="1"/>
      <c r="W41" s="1"/>
      <c r="X41" s="1"/>
      <c r="Y41" s="1"/>
      <c r="Z41" s="1"/>
    </row>
    <row r="42" spans="1:26" ht="12.75" customHeight="1" x14ac:dyDescent="0.1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1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15">
      <c r="A44" s="27">
        <v>6</v>
      </c>
      <c r="B44" s="293"/>
      <c r="C44" s="270" t="s">
        <v>410</v>
      </c>
      <c r="D44" s="271"/>
      <c r="E44" s="22" t="s">
        <v>366</v>
      </c>
      <c r="F44" s="18">
        <v>6</v>
      </c>
      <c r="G44" s="18">
        <f>IFERROR(VLOOKUP(E44,AnswerCTBL,2,FALSE),0)</f>
        <v>0</v>
      </c>
      <c r="H44" s="109"/>
      <c r="I44" s="257"/>
      <c r="J44" s="11"/>
      <c r="K44" s="1"/>
      <c r="L44" s="141"/>
      <c r="M44" s="141"/>
      <c r="N44" s="141"/>
      <c r="O44" s="141"/>
      <c r="P44" s="141"/>
      <c r="Q44" s="1"/>
      <c r="R44" s="1"/>
      <c r="S44" s="1"/>
      <c r="T44" s="1"/>
      <c r="U44" s="1"/>
      <c r="V44" s="1"/>
      <c r="W44" s="1"/>
      <c r="X44" s="1"/>
      <c r="Y44" s="1"/>
      <c r="Z44" s="1"/>
    </row>
    <row r="45" spans="1:26" ht="12.75" customHeight="1" x14ac:dyDescent="0.1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1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1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15">
      <c r="A48" s="27">
        <v>7</v>
      </c>
      <c r="B48" s="292" t="s">
        <v>80</v>
      </c>
      <c r="C48" s="256" t="s">
        <v>330</v>
      </c>
      <c r="D48" s="255"/>
      <c r="E48" s="5" t="s">
        <v>366</v>
      </c>
      <c r="F48" s="18">
        <v>7</v>
      </c>
      <c r="G48" s="18">
        <f>IFERROR(VLOOKUP(E48,AnswerCTBL,2,FALSE),0)</f>
        <v>0</v>
      </c>
      <c r="H48" s="108">
        <f>IFERROR(AVERAGE(G48,G56),0)</f>
        <v>0.1</v>
      </c>
      <c r="I48" s="257"/>
      <c r="J48" s="11"/>
      <c r="K48" s="1"/>
      <c r="L48" s="141"/>
      <c r="M48" s="141"/>
      <c r="N48" s="141"/>
      <c r="O48" s="141"/>
      <c r="P48" s="141"/>
      <c r="Q48" s="1"/>
      <c r="R48" s="1"/>
      <c r="S48" s="1"/>
      <c r="T48" s="1"/>
      <c r="U48" s="1"/>
      <c r="V48" s="1"/>
      <c r="W48" s="1"/>
      <c r="X48" s="1"/>
      <c r="Y48" s="1"/>
      <c r="Z48" s="1"/>
    </row>
    <row r="49" spans="1:26" ht="12.75" customHeight="1" x14ac:dyDescent="0.1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1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1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1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1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1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1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15">
      <c r="A56" s="27">
        <v>8</v>
      </c>
      <c r="B56" s="293"/>
      <c r="C56" s="253" t="s">
        <v>331</v>
      </c>
      <c r="D56" s="249"/>
      <c r="E56" s="22" t="s">
        <v>426</v>
      </c>
      <c r="F56" s="18">
        <v>8</v>
      </c>
      <c r="G56" s="18">
        <f>IFERROR(VLOOKUP(E56,AnswerDTBL,2,FALSE),0)</f>
        <v>0.2</v>
      </c>
      <c r="H56" s="109"/>
      <c r="I56" s="257"/>
      <c r="J56" s="11"/>
      <c r="K56" s="1"/>
      <c r="L56" s="141"/>
      <c r="M56" s="141"/>
      <c r="N56" s="141"/>
      <c r="O56" s="141"/>
      <c r="P56" s="141"/>
      <c r="Q56" s="1"/>
      <c r="R56" s="1"/>
      <c r="S56" s="1"/>
      <c r="T56" s="1"/>
      <c r="U56" s="1"/>
      <c r="V56" s="1"/>
      <c r="W56" s="1"/>
      <c r="X56" s="1"/>
      <c r="Y56" s="1"/>
      <c r="Z56" s="1"/>
    </row>
    <row r="57" spans="1:26" ht="12.75" customHeight="1" x14ac:dyDescent="0.1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1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1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1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15">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92" t="s">
        <v>91</v>
      </c>
      <c r="C62" s="256" t="s">
        <v>332</v>
      </c>
      <c r="D62" s="255"/>
      <c r="E62" s="5" t="s">
        <v>493</v>
      </c>
      <c r="F62" s="18">
        <v>9</v>
      </c>
      <c r="G62" s="18">
        <f>IFERROR(VLOOKUP(E62,AnswerCTBL,2,FALSE),0)</f>
        <v>1</v>
      </c>
      <c r="H62" s="108">
        <f>IFERROR(AVERAGE(G62,G65),0)</f>
        <v>1</v>
      </c>
      <c r="I62" s="257"/>
      <c r="J62" s="250">
        <f>SUM(H62,H73,H89)</f>
        <v>1.4500000000000002</v>
      </c>
      <c r="K62" s="1"/>
      <c r="L62" s="141"/>
      <c r="M62" s="141"/>
      <c r="N62" s="141"/>
      <c r="O62" s="141"/>
      <c r="P62" s="141"/>
      <c r="Q62" s="1"/>
      <c r="R62" s="1"/>
      <c r="S62" s="1"/>
      <c r="T62" s="1"/>
      <c r="U62" s="1"/>
      <c r="V62" s="1"/>
      <c r="W62" s="1"/>
      <c r="X62" s="1"/>
      <c r="Y62" s="1"/>
      <c r="Z62" s="1"/>
    </row>
    <row r="63" spans="1:26" ht="12.75" customHeight="1" x14ac:dyDescent="0.15">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15">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15">
      <c r="A65" s="27">
        <v>10</v>
      </c>
      <c r="B65" s="293"/>
      <c r="C65" s="253" t="s">
        <v>93</v>
      </c>
      <c r="D65" s="249"/>
      <c r="E65" s="22" t="s">
        <v>369</v>
      </c>
      <c r="F65" s="18">
        <v>10</v>
      </c>
      <c r="G65" s="18">
        <f>IFERROR(VLOOKUP(E65,AnswerETBL,2,FALSE),0)</f>
        <v>1</v>
      </c>
      <c r="H65" s="127"/>
      <c r="I65" s="269"/>
      <c r="J65" s="251"/>
      <c r="K65" s="1"/>
      <c r="L65" s="141"/>
      <c r="M65" s="141"/>
      <c r="N65" s="141"/>
      <c r="O65" s="141"/>
      <c r="P65" s="141"/>
      <c r="Q65" s="1"/>
      <c r="R65" s="1"/>
      <c r="S65" s="1"/>
      <c r="T65" s="1"/>
      <c r="U65" s="1"/>
      <c r="V65" s="1"/>
      <c r="W65" s="1"/>
      <c r="X65" s="1"/>
      <c r="Y65" s="1"/>
      <c r="Z65" s="1"/>
    </row>
    <row r="66" spans="1:26" ht="12.75" customHeight="1" x14ac:dyDescent="0.15">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1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8" x14ac:dyDescent="0.1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1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1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1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1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15">
      <c r="A73" s="27">
        <v>11</v>
      </c>
      <c r="B73" s="314" t="s">
        <v>99</v>
      </c>
      <c r="C73" s="253" t="s">
        <v>100</v>
      </c>
      <c r="D73" s="249"/>
      <c r="E73" s="22" t="s">
        <v>495</v>
      </c>
      <c r="F73" s="18">
        <v>11</v>
      </c>
      <c r="G73" s="18">
        <f>IFERROR(VLOOKUP(E73,AnswerFTBL,2,FALSE),0)</f>
        <v>0.2</v>
      </c>
      <c r="H73" s="109">
        <f>IFERROR(AVERAGE(G73,G81),0)</f>
        <v>0.35</v>
      </c>
      <c r="I73" s="309"/>
      <c r="J73" s="11"/>
      <c r="K73" s="1"/>
      <c r="L73" s="141"/>
      <c r="M73" s="141"/>
      <c r="N73" s="141"/>
      <c r="O73" s="141"/>
      <c r="P73" s="141"/>
      <c r="Q73" s="1"/>
      <c r="R73" s="1"/>
      <c r="S73" s="1"/>
      <c r="T73" s="1"/>
      <c r="U73" s="1"/>
      <c r="V73" s="1"/>
      <c r="W73" s="1"/>
      <c r="X73" s="1"/>
      <c r="Y73" s="1"/>
      <c r="Z73" s="1"/>
    </row>
    <row r="74" spans="1:26" ht="12.75" customHeight="1" x14ac:dyDescent="0.1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1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1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1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1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1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1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15">
      <c r="A81" s="27">
        <v>12</v>
      </c>
      <c r="B81" s="293"/>
      <c r="C81" s="253" t="s">
        <v>107</v>
      </c>
      <c r="D81" s="249"/>
      <c r="E81" s="22" t="s">
        <v>492</v>
      </c>
      <c r="F81" s="18">
        <v>12</v>
      </c>
      <c r="G81" s="18">
        <f>IFERROR(VLOOKUP(E81,AnswerCTBL,2,FALSE),0)</f>
        <v>0.5</v>
      </c>
      <c r="H81" s="109"/>
      <c r="I81" s="257"/>
      <c r="J81" s="11"/>
      <c r="K81" s="1"/>
      <c r="L81" s="141"/>
      <c r="M81" s="141"/>
      <c r="N81" s="141"/>
      <c r="O81" s="141"/>
      <c r="P81" s="141"/>
      <c r="Q81" s="1"/>
      <c r="R81" s="1"/>
      <c r="S81" s="1"/>
      <c r="T81" s="1"/>
      <c r="U81" s="1"/>
      <c r="V81" s="1"/>
      <c r="W81" s="1"/>
      <c r="X81" s="1"/>
      <c r="Y81" s="1"/>
      <c r="Z81" s="1"/>
    </row>
    <row r="82" spans="1:26" ht="12.75" customHeight="1" x14ac:dyDescent="0.1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1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1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1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1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1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1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15">
      <c r="A89" s="27">
        <v>13</v>
      </c>
      <c r="B89" s="292" t="s">
        <v>113</v>
      </c>
      <c r="C89" s="256" t="s">
        <v>114</v>
      </c>
      <c r="D89" s="255"/>
      <c r="E89" s="5" t="s">
        <v>491</v>
      </c>
      <c r="F89" s="18">
        <v>13</v>
      </c>
      <c r="G89" s="18">
        <f>IFERROR(VLOOKUP(E89,AnswerCTBL,2,FALSE),0)</f>
        <v>0.2</v>
      </c>
      <c r="H89" s="109">
        <f>IFERROR(AVERAGE(G89,G94),0)</f>
        <v>0.1</v>
      </c>
      <c r="I89" s="257"/>
      <c r="J89" s="11"/>
      <c r="K89" s="1"/>
      <c r="L89" s="141"/>
      <c r="M89" s="141"/>
      <c r="N89" s="141"/>
      <c r="O89" s="141"/>
      <c r="P89" s="141"/>
      <c r="Q89" s="1"/>
      <c r="R89" s="1"/>
      <c r="S89" s="1"/>
      <c r="T89" s="1"/>
      <c r="U89" s="1"/>
      <c r="V89" s="1"/>
      <c r="W89" s="1"/>
      <c r="X89" s="1"/>
      <c r="Y89" s="1"/>
      <c r="Z89" s="1"/>
    </row>
    <row r="90" spans="1:26" ht="12.75" customHeight="1" x14ac:dyDescent="0.1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1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1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1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15">
      <c r="A94" s="27">
        <v>14</v>
      </c>
      <c r="B94" s="293"/>
      <c r="C94" s="253" t="s">
        <v>118</v>
      </c>
      <c r="D94" s="249"/>
      <c r="E94" s="22" t="s">
        <v>366</v>
      </c>
      <c r="F94" s="18">
        <v>14</v>
      </c>
      <c r="G94" s="18">
        <f>IFERROR(VLOOKUP(E94,AnswerGTBL,2,FALSE),0)</f>
        <v>0</v>
      </c>
      <c r="H94" s="109"/>
      <c r="I94" s="257"/>
      <c r="J94" s="11"/>
      <c r="K94" s="1"/>
      <c r="L94" s="141"/>
      <c r="M94" s="141"/>
      <c r="N94" s="141"/>
      <c r="O94" s="141"/>
      <c r="P94" s="141"/>
      <c r="Q94" s="1"/>
      <c r="R94" s="1"/>
      <c r="S94" s="1"/>
      <c r="T94" s="1"/>
      <c r="U94" s="1"/>
      <c r="V94" s="1"/>
      <c r="W94" s="1"/>
      <c r="X94" s="1"/>
      <c r="Y94" s="1"/>
      <c r="Z94" s="1"/>
    </row>
    <row r="95" spans="1:26" ht="12.75" customHeight="1" x14ac:dyDescent="0.1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1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1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1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15">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92" t="s">
        <v>123</v>
      </c>
      <c r="C100" s="256" t="s">
        <v>333</v>
      </c>
      <c r="D100" s="255"/>
      <c r="E100" s="5" t="s">
        <v>427</v>
      </c>
      <c r="F100" s="18">
        <v>15</v>
      </c>
      <c r="G100" s="18">
        <f>IFERROR(VLOOKUP(E100,AnswerDTBL,2,FALSE),0)</f>
        <v>0.5</v>
      </c>
      <c r="H100" s="109">
        <f>IFERROR(AVERAGE(G100,G105),0)</f>
        <v>0.75</v>
      </c>
      <c r="I100" s="257"/>
      <c r="J100" s="250">
        <f>SUM(H100,H111,H124)</f>
        <v>1.85</v>
      </c>
      <c r="K100" s="1"/>
      <c r="L100" s="141"/>
      <c r="M100" s="141"/>
      <c r="N100" s="141"/>
      <c r="O100" s="141"/>
      <c r="P100" s="141"/>
      <c r="Q100" s="1"/>
      <c r="R100" s="1"/>
      <c r="S100" s="1"/>
      <c r="T100" s="1"/>
      <c r="U100" s="1"/>
      <c r="V100" s="1"/>
      <c r="W100" s="1"/>
      <c r="X100" s="1"/>
      <c r="Y100" s="1"/>
      <c r="Z100" s="1"/>
    </row>
    <row r="101" spans="1:26" ht="12.75" customHeight="1" x14ac:dyDescent="0.15">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15">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15">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15">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15">
      <c r="A105" s="27">
        <v>16</v>
      </c>
      <c r="B105" s="293"/>
      <c r="C105" s="253" t="s">
        <v>411</v>
      </c>
      <c r="D105" s="249"/>
      <c r="E105" s="22" t="s">
        <v>493</v>
      </c>
      <c r="F105" s="18">
        <v>16</v>
      </c>
      <c r="G105" s="18">
        <f>IFERROR(VLOOKUP(E105,AnswerCTBL,2,FALSE),0)</f>
        <v>1</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1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1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1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1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1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92" t="s">
        <v>130</v>
      </c>
      <c r="C111" s="256" t="s">
        <v>412</v>
      </c>
      <c r="D111" s="255"/>
      <c r="E111" s="5" t="s">
        <v>493</v>
      </c>
      <c r="F111" s="18">
        <v>17</v>
      </c>
      <c r="G111" s="18">
        <f>IFERROR(VLOOKUP(E111,AnswerCTBL,2,FALSE),0)</f>
        <v>1</v>
      </c>
      <c r="H111" s="109">
        <f>IFERROR(AVERAGE(G111,G118),0)</f>
        <v>1</v>
      </c>
      <c r="I111" s="257"/>
      <c r="J111" s="11"/>
      <c r="K111" s="1"/>
      <c r="L111" s="141"/>
      <c r="M111" s="141"/>
      <c r="N111" s="141"/>
      <c r="O111" s="141"/>
      <c r="P111" s="141"/>
      <c r="Q111" s="1"/>
      <c r="R111" s="1"/>
      <c r="S111" s="1"/>
      <c r="T111" s="1"/>
      <c r="U111" s="1"/>
      <c r="V111" s="1"/>
      <c r="W111" s="1"/>
      <c r="X111" s="1"/>
      <c r="Y111" s="1"/>
      <c r="Z111" s="1"/>
    </row>
    <row r="112" spans="1:26" ht="12.75" customHeight="1" x14ac:dyDescent="0.1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8" x14ac:dyDescent="0.1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8" x14ac:dyDescent="0.1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ht="28" x14ac:dyDescent="0.1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1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1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93"/>
      <c r="C118" s="253" t="s">
        <v>334</v>
      </c>
      <c r="D118" s="249"/>
      <c r="E118" s="22" t="s">
        <v>493</v>
      </c>
      <c r="F118" s="18">
        <v>18</v>
      </c>
      <c r="G118" s="18">
        <f>IFERROR(VLOOKUP(E118,AnswerCTBL,2,FALSE),0)</f>
        <v>1</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1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1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1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1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1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92" t="s">
        <v>139</v>
      </c>
      <c r="C124" s="256" t="s">
        <v>140</v>
      </c>
      <c r="D124" s="255"/>
      <c r="E124" s="5" t="s">
        <v>495</v>
      </c>
      <c r="F124" s="18">
        <v>19</v>
      </c>
      <c r="G124" s="18">
        <f>IFERROR(VLOOKUP(E124,AnswerFTBL,2,FALSE),0)</f>
        <v>0.2</v>
      </c>
      <c r="H124" s="109">
        <f>IFERROR(AVERAGE(G124,G130),0)</f>
        <v>0.1</v>
      </c>
      <c r="I124" s="257"/>
      <c r="J124" s="11"/>
      <c r="K124" s="1"/>
      <c r="L124" s="141"/>
      <c r="M124" s="141"/>
      <c r="N124" s="141"/>
      <c r="O124" s="141"/>
      <c r="P124" s="141"/>
      <c r="Q124" s="1"/>
      <c r="R124" s="1"/>
      <c r="S124" s="1"/>
      <c r="T124" s="1"/>
      <c r="U124" s="1"/>
      <c r="V124" s="1"/>
      <c r="W124" s="1"/>
      <c r="X124" s="1"/>
      <c r="Y124" s="1"/>
      <c r="Z124" s="1"/>
    </row>
    <row r="125" spans="1:26" ht="12.75" customHeight="1" x14ac:dyDescent="0.1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1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1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1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1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93"/>
      <c r="C130" s="253" t="s">
        <v>335</v>
      </c>
      <c r="D130" s="249"/>
      <c r="E130" s="22" t="s">
        <v>366</v>
      </c>
      <c r="F130" s="18">
        <v>20</v>
      </c>
      <c r="G130" s="18">
        <f>IFERROR(VLOOKUP(E130,AnswerDTBL,2,FALSE),0)</f>
        <v>0</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1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1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1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1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1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15">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15">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60" t="s">
        <v>151</v>
      </c>
      <c r="C138" s="256" t="s">
        <v>336</v>
      </c>
      <c r="D138" s="255"/>
      <c r="E138" s="5" t="s">
        <v>491</v>
      </c>
      <c r="F138" s="18">
        <v>1</v>
      </c>
      <c r="G138" s="18">
        <f>IFERROR(VLOOKUP(E138,AnswerCTBL,2,FALSE),0)</f>
        <v>0.2</v>
      </c>
      <c r="H138" s="109">
        <f>IFERROR(AVERAGE(G138,G144),0)</f>
        <v>0.35</v>
      </c>
      <c r="I138" s="269"/>
      <c r="J138" s="327">
        <f>SUM(H138,H150,H162)</f>
        <v>0.58333333333333326</v>
      </c>
      <c r="K138" s="1"/>
      <c r="L138" s="141"/>
      <c r="M138" s="141"/>
      <c r="N138" s="141"/>
      <c r="O138" s="141"/>
      <c r="P138" s="141"/>
      <c r="Q138" s="1"/>
      <c r="R138" s="1"/>
      <c r="S138" s="1"/>
      <c r="T138" s="1"/>
      <c r="U138" s="1"/>
      <c r="V138" s="1"/>
      <c r="W138" s="1"/>
      <c r="X138" s="1"/>
      <c r="Y138" s="1"/>
      <c r="Z138" s="1"/>
    </row>
    <row r="139" spans="1:26" ht="12.75" customHeight="1" x14ac:dyDescent="0.15">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15">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15">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15">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1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15">
      <c r="B144" s="261"/>
      <c r="C144" s="253" t="s">
        <v>155</v>
      </c>
      <c r="D144" s="249"/>
      <c r="E144" s="22" t="s">
        <v>492</v>
      </c>
      <c r="F144" s="18">
        <v>2</v>
      </c>
      <c r="G144" s="18">
        <f>IFERROR(VLOOKUP(E144,AnswerCTBL,2,FALSE),0)</f>
        <v>0.5</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60" t="s">
        <v>159</v>
      </c>
      <c r="C150" s="256" t="s">
        <v>160</v>
      </c>
      <c r="D150" s="255"/>
      <c r="E150" s="5" t="s">
        <v>491</v>
      </c>
      <c r="F150" s="18">
        <v>3</v>
      </c>
      <c r="G150" s="18">
        <f>IFERROR(VLOOKUP(E150,AnswerCTBL,2,FALSE),0)</f>
        <v>0.2</v>
      </c>
      <c r="H150" s="109">
        <f>IFERROR(AVERAGE(G150,G154,G158),0)</f>
        <v>0.13333333333333333</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61"/>
      <c r="C154" s="253" t="s">
        <v>163</v>
      </c>
      <c r="D154" s="249"/>
      <c r="E154" s="22" t="s">
        <v>366</v>
      </c>
      <c r="F154" s="18">
        <v>4</v>
      </c>
      <c r="G154" s="18">
        <f>IFERROR(VLOOKUP(E154,AnswerCTBL,2,FALSE),0)</f>
        <v>0</v>
      </c>
      <c r="H154" s="109"/>
      <c r="I154" s="269"/>
      <c r="J154" s="11"/>
      <c r="K154" s="1"/>
      <c r="L154" s="141"/>
      <c r="M154" s="141"/>
      <c r="N154" s="141"/>
      <c r="O154" s="141"/>
      <c r="P154" s="141"/>
      <c r="Q154" s="1"/>
      <c r="R154" s="1"/>
      <c r="S154" s="1"/>
      <c r="T154" s="1"/>
      <c r="U154" s="1"/>
      <c r="V154" s="1"/>
      <c r="W154" s="1"/>
      <c r="X154" s="1"/>
      <c r="Y154" s="1"/>
      <c r="Z154" s="1"/>
    </row>
    <row r="155" spans="2:26" customFormat="1" ht="28" x14ac:dyDescent="0.1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61"/>
      <c r="C158" s="253" t="s">
        <v>166</v>
      </c>
      <c r="D158" s="249"/>
      <c r="E158" s="22" t="s">
        <v>491</v>
      </c>
      <c r="F158" s="18">
        <v>5</v>
      </c>
      <c r="G158" s="18">
        <f>IFERROR(VLOOKUP(E158,AnswerCTBL,2,FALSE),0)</f>
        <v>0.2</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60" t="s">
        <v>168</v>
      </c>
      <c r="C162" s="256" t="s">
        <v>169</v>
      </c>
      <c r="D162" s="255"/>
      <c r="E162" s="5" t="s">
        <v>491</v>
      </c>
      <c r="F162" s="18">
        <v>6</v>
      </c>
      <c r="G162" s="18">
        <f>IFERROR(VLOOKUP(E162,AnswerCTBL,2,FALSE),0)</f>
        <v>0.2</v>
      </c>
      <c r="H162" s="109">
        <f>IFERROR(AVERAGE(G162,G166),0)</f>
        <v>0.1</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61"/>
      <c r="C166" s="253" t="s">
        <v>413</v>
      </c>
      <c r="D166" s="249"/>
      <c r="E166" s="22" t="s">
        <v>366</v>
      </c>
      <c r="F166" s="18">
        <v>7</v>
      </c>
      <c r="G166" s="18">
        <f>IFERROR(VLOOKUP(E166,AnswerCTBL,2,FALSE),0)</f>
        <v>0</v>
      </c>
      <c r="H166" s="109"/>
      <c r="I166" s="257"/>
      <c r="J166" s="11"/>
      <c r="K166" s="1"/>
      <c r="L166" s="141"/>
      <c r="M166" s="141"/>
      <c r="N166" s="141"/>
      <c r="O166" s="141"/>
      <c r="P166" s="141"/>
      <c r="Q166" s="1"/>
      <c r="R166" s="1"/>
      <c r="S166" s="1"/>
      <c r="T166" s="1"/>
      <c r="U166" s="1"/>
      <c r="V166" s="1"/>
      <c r="W166" s="1"/>
      <c r="X166" s="1"/>
      <c r="Y166" s="1"/>
      <c r="Z166" s="1"/>
    </row>
    <row r="167" spans="2:26" customFormat="1" ht="28" x14ac:dyDescent="0.1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8" x14ac:dyDescent="0.1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60" t="s">
        <v>177</v>
      </c>
      <c r="C173" s="256" t="s">
        <v>337</v>
      </c>
      <c r="D173" s="255"/>
      <c r="E173" s="5" t="s">
        <v>493</v>
      </c>
      <c r="F173" s="18">
        <v>8</v>
      </c>
      <c r="G173" s="18">
        <f>IFERROR(VLOOKUP(E173,AnswerCTBL,2,FALSE),0)</f>
        <v>1</v>
      </c>
      <c r="H173" s="109">
        <f>IFERROR(AVERAGE(G173,G179),0)</f>
        <v>0.6</v>
      </c>
      <c r="I173" s="257"/>
      <c r="J173" s="327">
        <f>SUM(H173,H185,H196)</f>
        <v>0.8</v>
      </c>
      <c r="K173" s="1"/>
      <c r="L173" s="141"/>
      <c r="M173" s="141"/>
      <c r="N173" s="141"/>
      <c r="O173" s="141"/>
      <c r="P173" s="141"/>
      <c r="Q173" s="1"/>
      <c r="R173" s="1"/>
      <c r="S173" s="1"/>
      <c r="T173" s="1"/>
      <c r="U173" s="1"/>
      <c r="V173" s="1"/>
      <c r="W173" s="1"/>
      <c r="X173" s="1"/>
      <c r="Y173" s="1"/>
      <c r="Z173" s="1"/>
    </row>
    <row r="174" spans="2:26" customFormat="1" ht="12.75" customHeight="1" x14ac:dyDescent="0.15">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15">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15">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15">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1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61"/>
      <c r="C179" s="253" t="s">
        <v>182</v>
      </c>
      <c r="D179" s="249"/>
      <c r="E179" s="22" t="s">
        <v>495</v>
      </c>
      <c r="F179" s="18">
        <v>9</v>
      </c>
      <c r="G179" s="18">
        <f>IFERROR(VLOOKUP(E179,AnswerFTBL,2,FALSE),0)</f>
        <v>0.2</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8" x14ac:dyDescent="0.1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60" t="s">
        <v>186</v>
      </c>
      <c r="C185" s="256" t="s">
        <v>338</v>
      </c>
      <c r="D185" s="255"/>
      <c r="E185" s="5" t="s">
        <v>491</v>
      </c>
      <c r="F185" s="18">
        <v>10</v>
      </c>
      <c r="G185" s="18">
        <f>IFERROR(VLOOKUP(E185,AnswerCTBL,2,FALSE),0)</f>
        <v>0.2</v>
      </c>
      <c r="H185" s="109">
        <f>IFERROR(AVERAGE(G185,G192),0)</f>
        <v>0.2</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61"/>
      <c r="C192" s="253" t="s">
        <v>339</v>
      </c>
      <c r="D192" s="249"/>
      <c r="E192" s="22" t="s">
        <v>491</v>
      </c>
      <c r="F192" s="18">
        <v>11</v>
      </c>
      <c r="G192" s="18">
        <f>IFERROR(VLOOKUP(E192,AnswerCTBL,2,FALSE),0)</f>
        <v>0.2</v>
      </c>
      <c r="H192" s="109"/>
      <c r="I192" s="257"/>
      <c r="J192" s="11"/>
      <c r="K192" s="1"/>
      <c r="L192" s="141"/>
      <c r="M192" s="141"/>
      <c r="N192" s="141"/>
      <c r="O192" s="141"/>
      <c r="P192" s="141"/>
      <c r="Q192" s="1"/>
      <c r="R192" s="1"/>
      <c r="S192" s="1"/>
      <c r="T192" s="1"/>
      <c r="U192" s="1"/>
      <c r="V192" s="1"/>
      <c r="W192" s="1"/>
      <c r="X192" s="1"/>
      <c r="Y192" s="1"/>
      <c r="Z192" s="1"/>
    </row>
    <row r="193" spans="2:26" customFormat="1" ht="28" x14ac:dyDescent="0.1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60" t="s">
        <v>193</v>
      </c>
      <c r="C196" s="256" t="s">
        <v>340</v>
      </c>
      <c r="D196" s="255"/>
      <c r="E196" s="5" t="s">
        <v>366</v>
      </c>
      <c r="F196" s="18">
        <v>12</v>
      </c>
      <c r="G196" s="18">
        <f>IFERROR(VLOOKUP(E196,AnswerCTBL,2,FALSE),0)</f>
        <v>0</v>
      </c>
      <c r="H196" s="109">
        <f>IFERROR(AVERAGE(G196,G199),0)</f>
        <v>0</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61"/>
      <c r="C199" s="253" t="s">
        <v>341</v>
      </c>
      <c r="D199" s="249"/>
      <c r="E199" s="22" t="s">
        <v>366</v>
      </c>
      <c r="F199" s="18">
        <v>13</v>
      </c>
      <c r="G199" s="18">
        <f>IFERROR(VLOOKUP(E199,AnswerDTBL,2,FALSE),0)</f>
        <v>0</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60" t="s">
        <v>200</v>
      </c>
      <c r="C206" s="256" t="s">
        <v>201</v>
      </c>
      <c r="D206" s="255"/>
      <c r="E206" s="5" t="s">
        <v>431</v>
      </c>
      <c r="F206" s="18">
        <v>14</v>
      </c>
      <c r="G206" s="18">
        <f>IFERROR(VLOOKUP(E206,AnswerFTBL,2,FALSE),0)</f>
        <v>0.5</v>
      </c>
      <c r="H206" s="109">
        <f>IFERROR(AVERAGE(G206,G211),0)</f>
        <v>0.35</v>
      </c>
      <c r="I206" s="257"/>
      <c r="J206" s="327">
        <f>SUM(H206,H216,H229)</f>
        <v>1.2</v>
      </c>
      <c r="K206" s="1"/>
      <c r="L206" s="141"/>
      <c r="M206" s="141"/>
      <c r="N206" s="141"/>
      <c r="O206" s="141"/>
      <c r="P206" s="141"/>
      <c r="Q206" s="1"/>
      <c r="R206" s="1"/>
      <c r="S206" s="1"/>
      <c r="T206" s="1"/>
      <c r="U206" s="1"/>
      <c r="V206" s="1"/>
      <c r="W206" s="1"/>
      <c r="X206" s="1"/>
      <c r="Y206" s="1"/>
      <c r="Z206" s="1"/>
    </row>
    <row r="207" spans="2:26" customFormat="1" ht="12.75" customHeight="1" x14ac:dyDescent="0.15">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8" x14ac:dyDescent="0.15">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15">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15">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15">
      <c r="B211" s="261"/>
      <c r="C211" s="253" t="s">
        <v>342</v>
      </c>
      <c r="D211" s="249"/>
      <c r="E211" s="22" t="s">
        <v>491</v>
      </c>
      <c r="F211" s="18">
        <v>15</v>
      </c>
      <c r="G211" s="18">
        <f>IFERROR(VLOOKUP(E211,AnswerCTBL,2,FALSE),0)</f>
        <v>0.2</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60" t="s">
        <v>207</v>
      </c>
      <c r="C216" s="256" t="s">
        <v>208</v>
      </c>
      <c r="D216" s="255"/>
      <c r="E216" s="5" t="s">
        <v>366</v>
      </c>
      <c r="F216" s="18">
        <v>16</v>
      </c>
      <c r="G216" s="18">
        <f>IFERROR(VLOOKUP(E216,AnswerGTBL,2,FALSE),0)</f>
        <v>0</v>
      </c>
      <c r="H216" s="109">
        <f>IFERROR(AVERAGE(G216,G223),0)</f>
        <v>0.25</v>
      </c>
      <c r="I216" s="257"/>
      <c r="J216" s="11"/>
      <c r="K216" s="1"/>
      <c r="L216" s="141"/>
      <c r="M216" s="141"/>
      <c r="N216" s="141"/>
      <c r="O216" s="141"/>
      <c r="P216" s="141"/>
      <c r="Q216" s="1"/>
      <c r="R216" s="1"/>
      <c r="S216" s="1"/>
      <c r="T216" s="1"/>
      <c r="U216" s="1"/>
      <c r="V216" s="1"/>
      <c r="W216" s="1"/>
      <c r="X216" s="1"/>
      <c r="Y216" s="1"/>
      <c r="Z216" s="1"/>
    </row>
    <row r="217" spans="2:26" customFormat="1" ht="28" x14ac:dyDescent="0.15">
      <c r="B217" s="261"/>
      <c r="C217" s="232" t="s">
        <v>370</v>
      </c>
      <c r="D217" s="20" t="s">
        <v>496</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61"/>
      <c r="C223" s="253" t="s">
        <v>213</v>
      </c>
      <c r="D223" s="249"/>
      <c r="E223" s="22" t="s">
        <v>431</v>
      </c>
      <c r="F223" s="18">
        <v>17</v>
      </c>
      <c r="G223" s="18">
        <f>IFERROR(VLOOKUP(E223,AnswerFTBL,2,FALSE),0)</f>
        <v>0.5</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8" x14ac:dyDescent="0.1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8" x14ac:dyDescent="0.1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60" t="s">
        <v>217</v>
      </c>
      <c r="C229" s="256" t="s">
        <v>343</v>
      </c>
      <c r="D229" s="255"/>
      <c r="E229" s="5" t="s">
        <v>493</v>
      </c>
      <c r="F229" s="18">
        <v>18</v>
      </c>
      <c r="G229" s="18">
        <f>IFERROR(VLOOKUP(E229,AnswerCTBL,2,FALSE),0)</f>
        <v>1</v>
      </c>
      <c r="H229" s="109">
        <f>IFERROR(AVERAGE(G229,G233),0)</f>
        <v>0.6</v>
      </c>
      <c r="I229" s="257"/>
      <c r="J229" s="11"/>
      <c r="K229" s="1"/>
      <c r="L229" s="141"/>
      <c r="M229" s="141"/>
      <c r="N229" s="141"/>
      <c r="O229" s="141"/>
      <c r="P229" s="141"/>
      <c r="Q229" s="1"/>
      <c r="R229" s="1"/>
      <c r="S229" s="1"/>
      <c r="T229" s="1"/>
      <c r="U229" s="1"/>
      <c r="V229" s="1"/>
      <c r="W229" s="1"/>
      <c r="X229" s="1"/>
      <c r="Y229" s="1"/>
      <c r="Z229" s="1"/>
    </row>
    <row r="230" spans="2:26" customFormat="1" ht="28" x14ac:dyDescent="0.1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61"/>
      <c r="C233" s="253" t="s">
        <v>344</v>
      </c>
      <c r="D233" s="249"/>
      <c r="E233" s="22" t="s">
        <v>426</v>
      </c>
      <c r="F233" s="18">
        <v>19</v>
      </c>
      <c r="G233" s="18">
        <f>IFERROR(VLOOKUP(E233,AnswerDTBL,2,FALSE),0)</f>
        <v>0.2</v>
      </c>
      <c r="H233" s="109"/>
      <c r="I233" s="257"/>
      <c r="J233" s="11"/>
      <c r="K233" s="1"/>
      <c r="L233" s="141"/>
      <c r="M233" s="141"/>
      <c r="N233" s="141"/>
      <c r="O233" s="141"/>
      <c r="P233" s="141"/>
      <c r="Q233" s="1"/>
      <c r="R233" s="1"/>
      <c r="S233" s="1"/>
      <c r="T233" s="1"/>
      <c r="U233" s="1"/>
      <c r="V233" s="1"/>
      <c r="W233" s="1"/>
      <c r="X233" s="1"/>
      <c r="Y233" s="1"/>
      <c r="Z233" s="1"/>
    </row>
    <row r="234" spans="2:26" customFormat="1" ht="28" x14ac:dyDescent="0.1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8" x14ac:dyDescent="0.1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15">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66" t="s">
        <v>224</v>
      </c>
      <c r="C239" s="256" t="s">
        <v>225</v>
      </c>
      <c r="D239" s="255"/>
      <c r="E239" s="5" t="s">
        <v>366</v>
      </c>
      <c r="F239" s="18">
        <v>1</v>
      </c>
      <c r="G239" s="18">
        <f>IFERROR(VLOOKUP(E239,AnswerCTBL,2,FALSE),0)</f>
        <v>0</v>
      </c>
      <c r="H239" s="109">
        <f>IFERROR(AVERAGE(G239,G247),0)</f>
        <v>0.1</v>
      </c>
      <c r="I239" s="257"/>
      <c r="J239" s="318">
        <f>SUM(H239,H254,H265)</f>
        <v>1.0499999999999998</v>
      </c>
      <c r="K239" s="1"/>
      <c r="L239" s="141"/>
      <c r="M239" s="141"/>
      <c r="N239" s="141"/>
      <c r="O239" s="141"/>
      <c r="P239" s="141"/>
      <c r="Q239" s="1"/>
      <c r="R239" s="1"/>
      <c r="S239" s="1"/>
      <c r="T239" s="1"/>
      <c r="U239" s="1"/>
      <c r="V239" s="1"/>
      <c r="W239" s="1"/>
      <c r="X239" s="1"/>
      <c r="Y239" s="1"/>
      <c r="Z239" s="1"/>
    </row>
    <row r="240" spans="2:26" customFormat="1" ht="12.75" customHeight="1" x14ac:dyDescent="0.15">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8" x14ac:dyDescent="0.15">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15">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15">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1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67"/>
      <c r="C247" s="253" t="s">
        <v>232</v>
      </c>
      <c r="D247" s="249"/>
      <c r="E247" s="22" t="s">
        <v>491</v>
      </c>
      <c r="F247" s="18">
        <v>2</v>
      </c>
      <c r="G247" s="18">
        <f>IFERROR(VLOOKUP(E247,AnswerCTBL,2,FALSE),0)</f>
        <v>0.2</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8" x14ac:dyDescent="0.1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66" t="s">
        <v>237</v>
      </c>
      <c r="C254" s="256" t="s">
        <v>345</v>
      </c>
      <c r="D254" s="255"/>
      <c r="E254" s="5" t="s">
        <v>491</v>
      </c>
      <c r="F254" s="18">
        <v>3</v>
      </c>
      <c r="G254" s="18">
        <f>IFERROR(VLOOKUP(E254,AnswerCTBL,2,FALSE),0)</f>
        <v>0.2</v>
      </c>
      <c r="H254" s="109">
        <f>IFERROR(AVERAGE(G254,G259),0)</f>
        <v>0.6</v>
      </c>
      <c r="I254" s="257"/>
      <c r="J254" s="11"/>
      <c r="K254" s="1"/>
      <c r="L254" s="141"/>
      <c r="M254" s="141"/>
      <c r="N254" s="141"/>
      <c r="O254" s="141"/>
      <c r="P254" s="141"/>
      <c r="Q254" s="1"/>
      <c r="R254" s="1"/>
      <c r="S254" s="1"/>
      <c r="T254" s="1"/>
      <c r="U254" s="1"/>
      <c r="V254" s="1"/>
      <c r="W254" s="1"/>
      <c r="X254" s="1"/>
      <c r="Y254" s="1"/>
      <c r="Z254" s="1"/>
    </row>
    <row r="255" spans="2:26" customFormat="1" ht="28" x14ac:dyDescent="0.1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8" x14ac:dyDescent="0.1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67"/>
      <c r="C259" s="253" t="s">
        <v>414</v>
      </c>
      <c r="D259" s="249"/>
      <c r="E259" s="22" t="s">
        <v>425</v>
      </c>
      <c r="F259" s="18">
        <v>4</v>
      </c>
      <c r="G259" s="18">
        <f>IFERROR(VLOOKUP(E259,AnswerBTBL,2,FALSE),0)</f>
        <v>1</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8" x14ac:dyDescent="0.1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66" t="s">
        <v>244</v>
      </c>
      <c r="C265" s="256" t="s">
        <v>415</v>
      </c>
      <c r="D265" s="255"/>
      <c r="E265" s="5" t="s">
        <v>491</v>
      </c>
      <c r="F265" s="18">
        <v>5</v>
      </c>
      <c r="G265" s="18">
        <f>IFERROR(VLOOKUP(E265,AnswerCTBL,2,FALSE),0)</f>
        <v>0.2</v>
      </c>
      <c r="H265" s="109">
        <f>IFERROR(AVERAGE(G265,G270),0)</f>
        <v>0.35</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8" x14ac:dyDescent="0.1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ht="28" x14ac:dyDescent="0.1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67"/>
      <c r="C270" s="253" t="s">
        <v>416</v>
      </c>
      <c r="D270" s="249"/>
      <c r="E270" s="22" t="s">
        <v>431</v>
      </c>
      <c r="F270" s="18">
        <v>6</v>
      </c>
      <c r="G270" s="18">
        <f>IFERROR(VLOOKUP(E270,AnswerFTBL,2,FALSE),0)</f>
        <v>0.5</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8" x14ac:dyDescent="0.1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8" x14ac:dyDescent="0.1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66" t="s">
        <v>378</v>
      </c>
      <c r="C277" s="256" t="s">
        <v>417</v>
      </c>
      <c r="D277" s="255"/>
      <c r="E277" s="5" t="s">
        <v>442</v>
      </c>
      <c r="F277" s="18">
        <v>7</v>
      </c>
      <c r="G277" s="18">
        <f>IFERROR(VLOOKUP(E277,AnswerGTBL,2,FALSE),0)</f>
        <v>0.2</v>
      </c>
      <c r="H277" s="109">
        <f>IFERROR(AVERAGE(G277,G281),0)</f>
        <v>0.35</v>
      </c>
      <c r="I277" s="257"/>
      <c r="J277" s="318">
        <f>SUM(H277,H287,H296)</f>
        <v>1.0499999999999998</v>
      </c>
      <c r="K277" s="1"/>
      <c r="L277" s="141"/>
      <c r="M277" s="141"/>
      <c r="N277" s="141"/>
      <c r="O277" s="141"/>
      <c r="P277" s="141"/>
      <c r="Q277" s="1"/>
      <c r="R277" s="1"/>
      <c r="S277" s="1"/>
      <c r="T277" s="1"/>
      <c r="U277" s="1"/>
      <c r="V277" s="1"/>
      <c r="W277" s="1"/>
      <c r="X277" s="1"/>
      <c r="Y277" s="1"/>
      <c r="Z277" s="1"/>
    </row>
    <row r="278" spans="2:26" customFormat="1" ht="12.75" customHeight="1" x14ac:dyDescent="0.15">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15">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15">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15">
      <c r="B281" s="267"/>
      <c r="C281" s="253" t="s">
        <v>346</v>
      </c>
      <c r="D281" s="249"/>
      <c r="E281" s="22" t="s">
        <v>492</v>
      </c>
      <c r="F281" s="18">
        <v>8</v>
      </c>
      <c r="G281" s="18">
        <f>IFERROR(VLOOKUP(E281,AnswerCTBL,2,FALSE),0)</f>
        <v>0.5</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1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66" t="s">
        <v>379</v>
      </c>
      <c r="C287" s="256" t="s">
        <v>347</v>
      </c>
      <c r="D287" s="255"/>
      <c r="E287" s="5" t="s">
        <v>431</v>
      </c>
      <c r="F287" s="18">
        <v>9</v>
      </c>
      <c r="G287" s="18">
        <f>IFERROR(VLOOKUP(E287,AnswerFTBL,2,FALSE),0)</f>
        <v>0.5</v>
      </c>
      <c r="H287" s="109">
        <f>IFERROR(AVERAGE(G287,G291),0)</f>
        <v>0.35</v>
      </c>
      <c r="I287" s="257"/>
      <c r="J287" s="11"/>
      <c r="K287" s="1"/>
      <c r="L287" s="141"/>
      <c r="M287" s="141"/>
      <c r="N287" s="141"/>
      <c r="O287" s="141"/>
      <c r="P287" s="141"/>
      <c r="Q287" s="1"/>
      <c r="R287" s="1"/>
      <c r="S287" s="1"/>
      <c r="T287" s="1"/>
      <c r="U287" s="1"/>
      <c r="V287" s="1"/>
      <c r="W287" s="1"/>
      <c r="X287" s="1"/>
      <c r="Y287" s="1"/>
      <c r="Z287" s="1"/>
    </row>
    <row r="288" spans="2:26" customFormat="1" ht="28" x14ac:dyDescent="0.1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67"/>
      <c r="C291" s="253" t="s">
        <v>348</v>
      </c>
      <c r="D291" s="249"/>
      <c r="E291" s="22" t="s">
        <v>491</v>
      </c>
      <c r="F291" s="18">
        <v>10</v>
      </c>
      <c r="G291" s="18">
        <f>IFERROR(VLOOKUP(E291,AnswerCTBL,2,FALSE),0)</f>
        <v>0.2</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66" t="s">
        <v>380</v>
      </c>
      <c r="C296" s="256" t="s">
        <v>261</v>
      </c>
      <c r="D296" s="255"/>
      <c r="E296" s="5" t="s">
        <v>442</v>
      </c>
      <c r="F296" s="18">
        <v>11</v>
      </c>
      <c r="G296" s="18">
        <f>IFERROR(VLOOKUP(E296,AnswerGTBL,2,FALSE),0)</f>
        <v>0.2</v>
      </c>
      <c r="H296" s="109">
        <f>IFERROR(AVERAGE(G296,G299),0)</f>
        <v>0.35</v>
      </c>
      <c r="I296" s="257"/>
      <c r="J296" s="11"/>
      <c r="K296" s="1"/>
      <c r="L296" s="141"/>
      <c r="M296" s="141"/>
      <c r="N296" s="141"/>
      <c r="O296" s="141"/>
      <c r="P296" s="141"/>
      <c r="Q296" s="1"/>
      <c r="R296" s="1"/>
      <c r="S296" s="1"/>
      <c r="T296" s="1"/>
      <c r="U296" s="1"/>
      <c r="V296" s="1"/>
      <c r="W296" s="1"/>
      <c r="X296" s="1"/>
      <c r="Y296" s="1"/>
      <c r="Z296" s="1"/>
    </row>
    <row r="297" spans="2:26" customFormat="1" ht="28" x14ac:dyDescent="0.1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67"/>
      <c r="C299" s="253" t="s">
        <v>349</v>
      </c>
      <c r="D299" s="249"/>
      <c r="E299" s="22" t="s">
        <v>431</v>
      </c>
      <c r="F299" s="18">
        <v>12</v>
      </c>
      <c r="G299" s="18">
        <f>IFERROR(VLOOKUP(E299,AnswerFTBL,2,FALSE),0)</f>
        <v>0.5</v>
      </c>
      <c r="H299" s="109"/>
      <c r="I299" s="257"/>
      <c r="J299" s="11"/>
      <c r="K299" s="1"/>
      <c r="L299" s="141"/>
      <c r="M299" s="141"/>
      <c r="N299" s="141"/>
      <c r="O299" s="141"/>
      <c r="P299" s="141"/>
      <c r="Q299" s="1"/>
      <c r="R299" s="1"/>
      <c r="S299" s="1"/>
      <c r="T299" s="1"/>
      <c r="U299" s="1"/>
      <c r="V299" s="1"/>
      <c r="W299" s="1"/>
      <c r="X299" s="1"/>
      <c r="Y299" s="1"/>
      <c r="Z299" s="1"/>
    </row>
    <row r="300" spans="2:26" customFormat="1" ht="28" x14ac:dyDescent="0.1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8" x14ac:dyDescent="0.1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66" t="s">
        <v>266</v>
      </c>
      <c r="C304" s="256" t="s">
        <v>350</v>
      </c>
      <c r="D304" s="255"/>
      <c r="E304" s="5" t="s">
        <v>491</v>
      </c>
      <c r="F304" s="18">
        <v>13</v>
      </c>
      <c r="G304" s="18">
        <f>IFERROR(VLOOKUP(E304,AnswerCTBL,2,FALSE),0)</f>
        <v>0.2</v>
      </c>
      <c r="H304" s="109">
        <f>IFERROR(AVERAGE(G304,G309,G314),0)</f>
        <v>6.6666666666666666E-2</v>
      </c>
      <c r="I304" s="257"/>
      <c r="J304" s="318">
        <f>SUM(H304,H320,H329)</f>
        <v>0.26666666666666666</v>
      </c>
      <c r="K304" s="1"/>
      <c r="L304" s="141"/>
      <c r="M304" s="141"/>
      <c r="N304" s="141"/>
      <c r="O304" s="141"/>
      <c r="P304" s="141"/>
      <c r="Q304" s="1"/>
      <c r="R304" s="1"/>
      <c r="S304" s="1"/>
      <c r="T304" s="1"/>
      <c r="U304" s="1"/>
      <c r="V304" s="1"/>
      <c r="W304" s="1"/>
      <c r="X304" s="1"/>
      <c r="Y304" s="1"/>
      <c r="Z304" s="1"/>
    </row>
    <row r="305" spans="2:26" customFormat="1" ht="12.75" customHeight="1" x14ac:dyDescent="0.15">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15">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15">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15">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15">
      <c r="B309" s="267"/>
      <c r="C309" s="253" t="s">
        <v>418</v>
      </c>
      <c r="D309" s="249"/>
      <c r="E309" s="22" t="s">
        <v>366</v>
      </c>
      <c r="F309" s="18">
        <v>14</v>
      </c>
      <c r="G309" s="18">
        <f>IFERROR(VLOOKUP(E309,AnswerCTBL,2,FALSE),0)</f>
        <v>0</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67"/>
      <c r="C314" s="253" t="s">
        <v>351</v>
      </c>
      <c r="D314" s="249"/>
      <c r="E314" s="22" t="s">
        <v>366</v>
      </c>
      <c r="F314" s="18">
        <v>15</v>
      </c>
      <c r="G314" s="18">
        <f>IFERROR(VLOOKUP(E314,AnswerBTBL,2,FALSE),0)</f>
        <v>0</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66" t="s">
        <v>276</v>
      </c>
      <c r="C320" s="256" t="s">
        <v>352</v>
      </c>
      <c r="D320" s="255"/>
      <c r="E320" s="5" t="s">
        <v>491</v>
      </c>
      <c r="F320" s="18">
        <v>16</v>
      </c>
      <c r="G320" s="18">
        <f>IFERROR(VLOOKUP(E320,AnswerCTBL,2,FALSE),0)</f>
        <v>0.2</v>
      </c>
      <c r="H320" s="109">
        <f>IFERROR(AVERAGE(G320,G324),0)</f>
        <v>0.2</v>
      </c>
      <c r="I320" s="257"/>
      <c r="J320" s="11"/>
      <c r="K320" s="1"/>
      <c r="L320" s="141"/>
      <c r="M320" s="141"/>
      <c r="N320" s="141"/>
      <c r="O320" s="141"/>
      <c r="P320" s="141"/>
      <c r="Q320" s="1"/>
      <c r="R320" s="1"/>
      <c r="S320" s="1"/>
      <c r="T320" s="1"/>
      <c r="U320" s="1"/>
      <c r="V320" s="1"/>
      <c r="W320" s="1"/>
      <c r="X320" s="1"/>
      <c r="Y320" s="1"/>
      <c r="Z320" s="1"/>
    </row>
    <row r="321" spans="2:26" customFormat="1" ht="28" x14ac:dyDescent="0.1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67"/>
      <c r="C324" s="253" t="s">
        <v>353</v>
      </c>
      <c r="D324" s="249"/>
      <c r="E324" s="22" t="s">
        <v>491</v>
      </c>
      <c r="F324" s="18">
        <v>17</v>
      </c>
      <c r="G324" s="18">
        <f>IFERROR(VLOOKUP(E324,AnswerCTBL,2,FALSE),0)</f>
        <v>0.2</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66" t="s">
        <v>281</v>
      </c>
      <c r="C329" s="256" t="s">
        <v>282</v>
      </c>
      <c r="D329" s="255"/>
      <c r="E329" s="5" t="s">
        <v>366</v>
      </c>
      <c r="F329" s="18">
        <v>18</v>
      </c>
      <c r="G329" s="18">
        <f>IFERROR(VLOOKUP(E329,AnswerCTBL,2,FALSE),0)</f>
        <v>0</v>
      </c>
      <c r="H329" s="109">
        <f>IFERROR(AVERAGE(G329,G332),0)</f>
        <v>0</v>
      </c>
      <c r="I329" s="257"/>
      <c r="J329" s="11"/>
      <c r="K329" s="1"/>
      <c r="L329" s="141"/>
      <c r="M329" s="141"/>
      <c r="N329" s="141"/>
      <c r="O329" s="141"/>
      <c r="P329" s="141"/>
      <c r="Q329" s="1"/>
      <c r="R329" s="1"/>
      <c r="S329" s="1"/>
      <c r="T329" s="1"/>
      <c r="U329" s="1"/>
      <c r="V329" s="1"/>
      <c r="W329" s="1"/>
      <c r="X329" s="1"/>
      <c r="Y329" s="1"/>
      <c r="Z329" s="1"/>
    </row>
    <row r="330" spans="2:26" customFormat="1" ht="28" x14ac:dyDescent="0.1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67"/>
      <c r="C332" s="253" t="s">
        <v>354</v>
      </c>
      <c r="D332" s="249"/>
      <c r="E332" s="22" t="s">
        <v>366</v>
      </c>
      <c r="F332" s="18">
        <v>19</v>
      </c>
      <c r="G332" s="18">
        <f>IFERROR(VLOOKUP(E332,AnswerFTBL,2,FALSE),0)</f>
        <v>0</v>
      </c>
      <c r="H332" s="109"/>
      <c r="I332" s="257"/>
      <c r="J332" s="11"/>
      <c r="K332" s="1"/>
      <c r="L332" s="141"/>
      <c r="M332" s="141"/>
      <c r="N332" s="141"/>
      <c r="O332" s="141"/>
      <c r="P332" s="141"/>
      <c r="Q332" s="1"/>
      <c r="R332" s="1"/>
      <c r="S332" s="1"/>
      <c r="T332" s="1"/>
      <c r="U332" s="1"/>
      <c r="V332" s="1"/>
      <c r="W332" s="1"/>
      <c r="X332" s="1"/>
      <c r="Y332" s="1"/>
      <c r="Z332" s="1"/>
    </row>
    <row r="333" spans="2:26" customFormat="1" ht="28" x14ac:dyDescent="0.1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8" x14ac:dyDescent="0.1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15">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315" t="s">
        <v>375</v>
      </c>
      <c r="C338" s="256" t="s">
        <v>419</v>
      </c>
      <c r="D338" s="255"/>
      <c r="E338" s="5" t="s">
        <v>491</v>
      </c>
      <c r="F338" s="18">
        <v>1</v>
      </c>
      <c r="G338" s="18">
        <f>IFERROR(VLOOKUP(E338,AnswerCTBL,2,FALSE),0)</f>
        <v>0.2</v>
      </c>
      <c r="H338" s="109">
        <f>IFERROR(AVERAGE(G338,G342,G346),0)</f>
        <v>0.46666666666666662</v>
      </c>
      <c r="I338" s="257"/>
      <c r="J338" s="321">
        <f>SUM(H338,H350,H364)</f>
        <v>1.0666666666666667</v>
      </c>
      <c r="K338" s="1"/>
      <c r="L338" s="141"/>
      <c r="M338" s="141"/>
      <c r="N338" s="141"/>
      <c r="O338" s="141"/>
      <c r="P338" s="141"/>
      <c r="Q338" s="1"/>
      <c r="R338" s="1"/>
      <c r="S338" s="1"/>
      <c r="T338" s="1"/>
      <c r="U338" s="1"/>
      <c r="V338" s="1"/>
      <c r="W338" s="1"/>
      <c r="X338" s="1"/>
      <c r="Y338" s="1"/>
      <c r="Z338" s="1"/>
    </row>
    <row r="339" spans="2:26" customFormat="1" ht="12.75" customHeight="1" x14ac:dyDescent="0.15">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15">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15">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15">
      <c r="B342" s="316"/>
      <c r="C342" s="253" t="s">
        <v>288</v>
      </c>
      <c r="D342" s="249"/>
      <c r="E342" s="22" t="s">
        <v>423</v>
      </c>
      <c r="F342" s="18">
        <v>2</v>
      </c>
      <c r="G342" s="18">
        <f>IFERROR(VLOOKUP(E342,AnswerATBL,2,FALSE),0)</f>
        <v>0.2</v>
      </c>
      <c r="H342" s="109"/>
      <c r="I342" s="257"/>
      <c r="J342" s="323"/>
      <c r="K342" s="1"/>
      <c r="L342" s="141"/>
      <c r="M342" s="141"/>
      <c r="N342" s="141"/>
      <c r="O342" s="141"/>
      <c r="P342" s="141"/>
      <c r="Q342" s="1"/>
      <c r="R342" s="1"/>
      <c r="S342" s="1"/>
      <c r="T342" s="1"/>
      <c r="U342" s="1"/>
      <c r="V342" s="1"/>
      <c r="W342" s="1"/>
      <c r="X342" s="1"/>
      <c r="Y342" s="1"/>
      <c r="Z342" s="1"/>
    </row>
    <row r="343" spans="2:26" customFormat="1" ht="28" x14ac:dyDescent="0.1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316"/>
      <c r="C346" s="253" t="s">
        <v>355</v>
      </c>
      <c r="D346" s="249"/>
      <c r="E346" s="22" t="s">
        <v>493</v>
      </c>
      <c r="F346" s="18">
        <v>3</v>
      </c>
      <c r="G346" s="18">
        <f>IFERROR(VLOOKUP(E346,AnswerCTBL,2,FALSE),0)</f>
        <v>1</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315" t="s">
        <v>376</v>
      </c>
      <c r="C350" s="256" t="s">
        <v>292</v>
      </c>
      <c r="D350" s="255"/>
      <c r="E350" s="5" t="s">
        <v>442</v>
      </c>
      <c r="F350" s="18">
        <v>4</v>
      </c>
      <c r="G350" s="18">
        <f>IFERROR(VLOOKUP(E350,AnswerGTBL,2,FALSE),0)</f>
        <v>0.2</v>
      </c>
      <c r="H350" s="109">
        <f>IFERROR(AVERAGE(G350,G360),0)</f>
        <v>0.6</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56" x14ac:dyDescent="0.1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1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8" x14ac:dyDescent="0.1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316"/>
      <c r="C360" s="253" t="s">
        <v>356</v>
      </c>
      <c r="D360" s="249"/>
      <c r="E360" s="22" t="s">
        <v>493</v>
      </c>
      <c r="F360" s="18">
        <v>5</v>
      </c>
      <c r="G360" s="18">
        <f>IFERROR(VLOOKUP(E360,AnswerCTBL,2,FALSE),0)</f>
        <v>1</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315" t="s">
        <v>377</v>
      </c>
      <c r="C364" s="254" t="s">
        <v>357</v>
      </c>
      <c r="D364" s="255"/>
      <c r="E364" s="5" t="s">
        <v>366</v>
      </c>
      <c r="F364" s="18">
        <v>6</v>
      </c>
      <c r="G364" s="18">
        <f>IFERROR(VLOOKUP(E364,AnswerCTBL,2,FALSE),0)</f>
        <v>0</v>
      </c>
      <c r="H364" s="109">
        <f>IFERROR(AVERAGE(G364,G370),0)</f>
        <v>0</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316"/>
      <c r="C370" s="248" t="s">
        <v>358</v>
      </c>
      <c r="D370" s="249"/>
      <c r="E370" s="22" t="s">
        <v>366</v>
      </c>
      <c r="F370" s="18">
        <v>7</v>
      </c>
      <c r="G370" s="18">
        <f>IFERROR(VLOOKUP(E370,AnswerCTBL,2,FALSE),0)</f>
        <v>0</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42" x14ac:dyDescent="0.1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8" x14ac:dyDescent="0.1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315" t="s">
        <v>310</v>
      </c>
      <c r="C376" s="254" t="s">
        <v>359</v>
      </c>
      <c r="D376" s="255"/>
      <c r="E376" s="5" t="s">
        <v>491</v>
      </c>
      <c r="F376" s="18">
        <v>8</v>
      </c>
      <c r="G376" s="18">
        <f>IFERROR(VLOOKUP(E376,AnswerCTBL,2,FALSE),0)</f>
        <v>0.2</v>
      </c>
      <c r="H376" s="109">
        <f>IFERROR(AVERAGE(G376,G382),0)</f>
        <v>0.2</v>
      </c>
      <c r="I376" s="257"/>
      <c r="J376" s="321">
        <f>SUM(H376,H387,H400)</f>
        <v>0.55000000000000004</v>
      </c>
      <c r="K376" s="1"/>
      <c r="L376" s="141"/>
      <c r="M376" s="141"/>
      <c r="N376" s="141"/>
      <c r="O376" s="141"/>
      <c r="P376" s="141"/>
      <c r="Q376" s="1"/>
      <c r="R376" s="1"/>
      <c r="S376" s="1"/>
      <c r="T376" s="1"/>
      <c r="U376" s="1"/>
      <c r="V376" s="1"/>
      <c r="W376" s="1"/>
      <c r="X376" s="1"/>
      <c r="Y376" s="1"/>
      <c r="Z376" s="1"/>
    </row>
    <row r="377" spans="2:26" customFormat="1" ht="12.75" customHeight="1" x14ac:dyDescent="0.15">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15">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15">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15">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1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316"/>
      <c r="C382" s="248" t="s">
        <v>360</v>
      </c>
      <c r="D382" s="249"/>
      <c r="E382" s="22" t="s">
        <v>491</v>
      </c>
      <c r="F382" s="18">
        <v>9</v>
      </c>
      <c r="G382" s="18">
        <f>IFERROR(VLOOKUP(E382,AnswerCTBL,2,FALSE),0)</f>
        <v>0.2</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315" t="s">
        <v>317</v>
      </c>
      <c r="C387" s="256" t="s">
        <v>318</v>
      </c>
      <c r="D387" s="255"/>
      <c r="E387" s="5" t="s">
        <v>366</v>
      </c>
      <c r="F387" s="18">
        <v>10</v>
      </c>
      <c r="G387" s="18">
        <f>IFERROR(VLOOKUP(E387,AnswerGTBL,2,FALSE),0)</f>
        <v>0</v>
      </c>
      <c r="H387" s="109">
        <f>IFERROR(AVERAGE(G387,G392),0)</f>
        <v>0</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316"/>
      <c r="C392" s="248" t="s">
        <v>361</v>
      </c>
      <c r="D392" s="249"/>
      <c r="E392" s="22" t="s">
        <v>366</v>
      </c>
      <c r="F392" s="18">
        <v>11</v>
      </c>
      <c r="G392" s="18">
        <f>IFERROR(VLOOKUP(E392,AnswerCTBL,2,FALSE),0)</f>
        <v>0</v>
      </c>
      <c r="H392" s="109"/>
      <c r="I392" s="257"/>
      <c r="J392" s="11"/>
      <c r="K392" s="1"/>
      <c r="L392" s="141"/>
      <c r="M392" s="141"/>
      <c r="N392" s="141"/>
      <c r="O392" s="141"/>
      <c r="P392" s="141"/>
      <c r="Q392" s="1"/>
      <c r="R392" s="1"/>
      <c r="S392" s="1"/>
      <c r="T392" s="1"/>
      <c r="U392" s="1"/>
      <c r="V392" s="1"/>
      <c r="W392" s="1"/>
      <c r="X392" s="1"/>
      <c r="Y392" s="1"/>
      <c r="Z392" s="1"/>
    </row>
    <row r="393" spans="2:26" customFormat="1" ht="28" x14ac:dyDescent="0.1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8" x14ac:dyDescent="0.1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1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8" x14ac:dyDescent="0.1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8" x14ac:dyDescent="0.1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315" t="s">
        <v>327</v>
      </c>
      <c r="C400" s="256" t="s">
        <v>0</v>
      </c>
      <c r="D400" s="255"/>
      <c r="E400" s="5" t="s">
        <v>431</v>
      </c>
      <c r="F400" s="18">
        <v>12</v>
      </c>
      <c r="G400" s="18">
        <f>IFERROR(VLOOKUP(E400,AnswerFTBL,2,FALSE),0)</f>
        <v>0.5</v>
      </c>
      <c r="H400" s="109">
        <f>IFERROR(AVERAGE(G400,G404),0)</f>
        <v>0.35</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316"/>
      <c r="C404" s="253" t="s">
        <v>420</v>
      </c>
      <c r="D404" s="249"/>
      <c r="E404" s="22" t="s">
        <v>442</v>
      </c>
      <c r="F404" s="18">
        <v>13</v>
      </c>
      <c r="G404" s="18">
        <f>IFERROR(VLOOKUP(E404,AnswerGTBL,2,FALSE),0)</f>
        <v>0.2</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8" x14ac:dyDescent="0.1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315" t="s">
        <v>8</v>
      </c>
      <c r="C411" s="254" t="s">
        <v>362</v>
      </c>
      <c r="D411" s="255"/>
      <c r="E411" s="5" t="s">
        <v>492</v>
      </c>
      <c r="F411" s="18">
        <v>14</v>
      </c>
      <c r="G411" s="18">
        <f>IFERROR(VLOOKUP(E411,AnswerCTBL,2,FALSE),0)</f>
        <v>0.5</v>
      </c>
      <c r="H411" s="109">
        <f>IFERROR(AVERAGE(G411,G417),0)</f>
        <v>0.75</v>
      </c>
      <c r="I411" s="257"/>
      <c r="J411" s="321">
        <f>SUM(H411,H424,H439)</f>
        <v>2.1</v>
      </c>
      <c r="K411" s="1"/>
      <c r="L411" s="141"/>
      <c r="M411" s="141"/>
      <c r="N411" s="141"/>
      <c r="O411" s="141"/>
      <c r="P411" s="141"/>
      <c r="Q411" s="1"/>
      <c r="R411" s="1"/>
      <c r="S411" s="1"/>
      <c r="T411" s="1"/>
      <c r="U411" s="1"/>
      <c r="V411" s="1"/>
      <c r="W411" s="1"/>
      <c r="X411" s="1"/>
      <c r="Y411" s="1"/>
      <c r="Z411" s="1"/>
    </row>
    <row r="412" spans="2:26" customFormat="1" ht="12" customHeight="1" x14ac:dyDescent="0.15">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8" x14ac:dyDescent="0.15">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x14ac:dyDescent="0.15">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15">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1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316"/>
      <c r="C417" s="248" t="s">
        <v>363</v>
      </c>
      <c r="D417" s="249"/>
      <c r="E417" s="22" t="s">
        <v>493</v>
      </c>
      <c r="F417" s="18">
        <v>15</v>
      </c>
      <c r="G417" s="18">
        <f>IFERROR(VLOOKUP(E417,AnswerCTBL,2,FALSE),0)</f>
        <v>1</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315" t="s">
        <v>17</v>
      </c>
      <c r="C424" s="254" t="s">
        <v>364</v>
      </c>
      <c r="D424" s="255"/>
      <c r="E424" s="5" t="s">
        <v>493</v>
      </c>
      <c r="F424" s="18">
        <v>16</v>
      </c>
      <c r="G424" s="18">
        <f>IFERROR(VLOOKUP(E424,AnswerCTBL,2,FALSE),0)</f>
        <v>1</v>
      </c>
      <c r="H424" s="109">
        <f>IFERROR(AVERAGE(G424,G431),0)</f>
        <v>1</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316"/>
      <c r="C431" s="253" t="s">
        <v>23</v>
      </c>
      <c r="D431" s="249"/>
      <c r="E431" s="22" t="s">
        <v>493</v>
      </c>
      <c r="F431" s="18">
        <v>17</v>
      </c>
      <c r="G431" s="18">
        <f>IFERROR(VLOOKUP(E431,AnswerCTBL,2,FALSE),0)</f>
        <v>1</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28" x14ac:dyDescent="0.1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315" t="s">
        <v>29</v>
      </c>
      <c r="C439" s="256" t="s">
        <v>421</v>
      </c>
      <c r="D439" s="255"/>
      <c r="E439" s="5" t="s">
        <v>426</v>
      </c>
      <c r="F439" s="18">
        <v>18</v>
      </c>
      <c r="G439" s="18">
        <f>IFERROR(VLOOKUP(E439,AnswerDTBL,2,FALSE),0)</f>
        <v>0.2</v>
      </c>
      <c r="H439" s="109">
        <f>IFERROR(AVERAGE(G439,G443),0)</f>
        <v>0.35</v>
      </c>
      <c r="I439" s="257"/>
      <c r="J439" s="11"/>
      <c r="K439" s="1"/>
      <c r="L439" s="141"/>
      <c r="M439" s="141"/>
      <c r="N439" s="141"/>
      <c r="O439" s="141"/>
      <c r="P439" s="141"/>
      <c r="Q439" s="1"/>
      <c r="R439" s="1"/>
      <c r="S439" s="1"/>
      <c r="T439" s="1"/>
      <c r="U439" s="1"/>
      <c r="V439" s="1"/>
      <c r="W439" s="1"/>
      <c r="X439" s="1"/>
      <c r="Y439" s="1"/>
      <c r="Z439" s="1"/>
    </row>
    <row r="440" spans="2:26" customFormat="1" ht="28" x14ac:dyDescent="0.1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8" x14ac:dyDescent="0.1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316"/>
      <c r="C443" s="253" t="s">
        <v>32</v>
      </c>
      <c r="D443" s="249"/>
      <c r="E443" s="22" t="s">
        <v>430</v>
      </c>
      <c r="F443" s="18">
        <v>19</v>
      </c>
      <c r="G443" s="18">
        <f>IFERROR(VLOOKUP(E443,AnswerETBL,2,FALSE),0)</f>
        <v>0.5</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workbookViewId="0">
      <selection activeCell="H5" sqref="H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48" t="str">
        <f>CONCATENATE("SAMM Assessment Scorecard: ",C6," For ",C5)</f>
        <v>SAMM Assessment Scorecard: Esteganografia For Universidade do Minho</v>
      </c>
      <c r="B1" s="348"/>
      <c r="C1" s="348"/>
      <c r="D1" s="349"/>
      <c r="E1" s="349"/>
      <c r="F1" s="349"/>
      <c r="G1" s="350"/>
      <c r="H1" s="350"/>
      <c r="I1" s="350"/>
      <c r="J1" s="350"/>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54" t="s">
        <v>474</v>
      </c>
      <c r="B3" s="355"/>
      <c r="C3" s="355"/>
      <c r="D3" s="355"/>
      <c r="E3" s="355"/>
      <c r="F3" s="355"/>
      <c r="G3" s="355"/>
      <c r="H3" s="355"/>
      <c r="I3" s="355"/>
      <c r="J3" s="355"/>
      <c r="K3" s="356"/>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51" t="str">
        <f>Interview!B10</f>
        <v>Organization:</v>
      </c>
      <c r="B5" s="352"/>
      <c r="C5" s="352" t="str">
        <f>IF(ISBLANK(Interview!D10),"",Interview!D10)</f>
        <v>Universidade do Minho</v>
      </c>
      <c r="D5" s="352"/>
      <c r="E5" s="352"/>
      <c r="F5" s="352"/>
      <c r="G5" s="1"/>
      <c r="H5" s="1"/>
      <c r="I5" s="1"/>
      <c r="J5" s="1"/>
      <c r="K5" s="1"/>
      <c r="L5" s="1"/>
      <c r="M5" s="1"/>
      <c r="N5" s="1"/>
    </row>
    <row r="6" spans="1:25" ht="12.75" customHeight="1" x14ac:dyDescent="0.15">
      <c r="A6" s="351" t="str">
        <f>Interview!B11</f>
        <v>Project:</v>
      </c>
      <c r="B6" s="352"/>
      <c r="C6" s="352" t="str">
        <f>IF(ISBLANK(Interview!D11),"",Interview!D11)</f>
        <v>Esteganografia</v>
      </c>
      <c r="D6" s="352"/>
      <c r="E6" s="352"/>
      <c r="F6" s="352"/>
      <c r="G6" s="1"/>
      <c r="H6" s="1"/>
      <c r="I6" s="1"/>
      <c r="J6" s="1"/>
      <c r="K6" s="1"/>
      <c r="L6" s="1"/>
      <c r="M6" s="1"/>
      <c r="N6" s="1"/>
    </row>
    <row r="7" spans="1:25" ht="12.75" customHeight="1" x14ac:dyDescent="0.15">
      <c r="A7" s="351" t="str">
        <f>Interview!B12</f>
        <v>Interview Date:</v>
      </c>
      <c r="B7" s="352"/>
      <c r="C7" s="353">
        <f>IF(ISBLANK(Interview!D12),"",Interview!D12)</f>
        <v>43565</v>
      </c>
      <c r="D7" s="353"/>
      <c r="E7" s="353"/>
      <c r="F7" s="353"/>
      <c r="G7" s="1"/>
      <c r="H7" s="1"/>
      <c r="I7" s="1"/>
      <c r="J7" s="1"/>
      <c r="K7" s="1"/>
      <c r="L7" s="1"/>
      <c r="M7" s="1"/>
      <c r="N7" s="1"/>
    </row>
    <row r="8" spans="1:25" ht="12.75" customHeight="1" x14ac:dyDescent="0.15">
      <c r="A8" s="351" t="str">
        <f>Interview!B13</f>
        <v>Interviewer:</v>
      </c>
      <c r="B8" s="352"/>
      <c r="C8" s="352" t="str">
        <f>IF(ISBLANK(Interview!D13),"",Interview!D13)</f>
        <v>Rui Teixeira</v>
      </c>
      <c r="D8" s="352"/>
      <c r="E8" s="352"/>
      <c r="F8" s="352"/>
      <c r="G8" s="1"/>
      <c r="H8" s="1"/>
      <c r="I8" s="1"/>
      <c r="J8" s="1"/>
      <c r="K8" s="1"/>
      <c r="L8" s="1"/>
      <c r="M8" s="1"/>
      <c r="N8" s="1"/>
    </row>
    <row r="9" spans="1:25" ht="12.75" customHeight="1" x14ac:dyDescent="0.15">
      <c r="A9" s="351" t="str">
        <f>Interview!B14</f>
        <v>Persons Interviewed:</v>
      </c>
      <c r="B9" s="352"/>
      <c r="C9" s="357" t="str">
        <f>IF(ISBLANK(Interview!D14),"",Interview!D14)</f>
        <v>Joana Almeida, Andreia Costa</v>
      </c>
      <c r="D9" s="357"/>
      <c r="E9" s="357"/>
      <c r="F9" s="357"/>
      <c r="G9" s="357"/>
      <c r="H9" s="357"/>
      <c r="I9" s="357"/>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15">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0.66666666666666663</v>
      </c>
      <c r="W13" s="107">
        <v>0</v>
      </c>
      <c r="X13" s="107">
        <v>0</v>
      </c>
      <c r="Y13" s="107">
        <v>0</v>
      </c>
    </row>
    <row r="14" spans="1:25" ht="25" customHeight="1" x14ac:dyDescent="0.15">
      <c r="A14" s="72" t="s">
        <v>58</v>
      </c>
      <c r="B14" s="76" t="s">
        <v>59</v>
      </c>
      <c r="C14" s="107">
        <f>Interview!$J$18</f>
        <v>0.66666666666666663</v>
      </c>
      <c r="D14" s="107">
        <f>Interview!H18</f>
        <v>0.56666666666666665</v>
      </c>
      <c r="E14" s="107">
        <f>Interview!H35</f>
        <v>0</v>
      </c>
      <c r="F14" s="107">
        <f>Interview!H48</f>
        <v>0.1</v>
      </c>
      <c r="G14" s="6">
        <f t="shared" ref="G14:G25" si="0">(((((IF((C14="0+"),0.5,0)+IF((C14=1),1,0))+IF((C14="1+"),1.5,0))+IF((C14=2),2,0))+IF((C14="2+"),2.5,0))+IF((C14=3),3,0))+IF((C14="3+"),3.5,0)</f>
        <v>0</v>
      </c>
      <c r="H14" s="3"/>
      <c r="I14" s="72" t="s">
        <v>58</v>
      </c>
      <c r="J14" s="107">
        <f>AVERAGE(C14:C16)</f>
        <v>1.3222222222222222</v>
      </c>
      <c r="L14" s="1"/>
      <c r="M14" s="1"/>
      <c r="N14" s="1"/>
      <c r="T14" s="72" t="s">
        <v>58</v>
      </c>
      <c r="U14" s="76" t="s">
        <v>90</v>
      </c>
      <c r="V14" s="107">
        <f>Interview!$J$62</f>
        <v>1.4500000000000002</v>
      </c>
      <c r="W14" s="107">
        <v>0</v>
      </c>
      <c r="X14" s="107">
        <v>0</v>
      </c>
      <c r="Y14" s="107">
        <v>0</v>
      </c>
    </row>
    <row r="15" spans="1:25" ht="25" customHeight="1" x14ac:dyDescent="0.15">
      <c r="A15" s="72" t="s">
        <v>58</v>
      </c>
      <c r="B15" s="76" t="s">
        <v>90</v>
      </c>
      <c r="C15" s="107">
        <f>Interview!$J$62</f>
        <v>1.4500000000000002</v>
      </c>
      <c r="D15" s="107">
        <f>Interview!H62</f>
        <v>1</v>
      </c>
      <c r="E15" s="107">
        <f>Interview!H73</f>
        <v>0.35</v>
      </c>
      <c r="F15" s="107">
        <f>Interview!H89</f>
        <v>0.1</v>
      </c>
      <c r="G15" s="6">
        <f t="shared" si="0"/>
        <v>0</v>
      </c>
      <c r="H15" s="3"/>
      <c r="I15" s="77" t="s">
        <v>149</v>
      </c>
      <c r="J15" s="107">
        <f>AVERAGE(C17:C19)</f>
        <v>0.86111111111111105</v>
      </c>
      <c r="L15" s="1"/>
      <c r="M15" s="1"/>
      <c r="N15" s="1"/>
      <c r="T15" s="72" t="s">
        <v>58</v>
      </c>
      <c r="U15" s="76" t="s">
        <v>122</v>
      </c>
      <c r="V15" s="107">
        <f>Interview!$J$100</f>
        <v>1.85</v>
      </c>
      <c r="W15" s="107">
        <v>0</v>
      </c>
      <c r="X15" s="107">
        <v>0</v>
      </c>
      <c r="Y15" s="107">
        <v>0</v>
      </c>
    </row>
    <row r="16" spans="1:25" ht="25" customHeight="1" x14ac:dyDescent="0.15">
      <c r="A16" s="72" t="s">
        <v>58</v>
      </c>
      <c r="B16" s="76" t="s">
        <v>122</v>
      </c>
      <c r="C16" s="107">
        <f>Interview!$J$100</f>
        <v>1.85</v>
      </c>
      <c r="D16" s="107">
        <f>Interview!H100</f>
        <v>0.75</v>
      </c>
      <c r="E16" s="107">
        <f>Interview!H111</f>
        <v>1</v>
      </c>
      <c r="F16" s="107">
        <f>Interview!H124</f>
        <v>0.1</v>
      </c>
      <c r="G16" s="6">
        <f t="shared" si="0"/>
        <v>0</v>
      </c>
      <c r="H16" s="3"/>
      <c r="I16" s="82" t="s">
        <v>222</v>
      </c>
      <c r="J16" s="107">
        <f>AVERAGE(C20:C22)</f>
        <v>0.78888888888888875</v>
      </c>
      <c r="L16" s="1"/>
      <c r="M16" s="1"/>
      <c r="N16" s="1"/>
      <c r="T16" s="77" t="s">
        <v>149</v>
      </c>
      <c r="U16" s="81" t="s">
        <v>150</v>
      </c>
      <c r="V16" s="107">
        <v>0</v>
      </c>
      <c r="W16" s="107">
        <f>Interview!$J$138</f>
        <v>0.58333333333333326</v>
      </c>
      <c r="X16" s="107">
        <v>0</v>
      </c>
      <c r="Y16" s="107">
        <v>0</v>
      </c>
    </row>
    <row r="17" spans="1:25" ht="25" customHeight="1" x14ac:dyDescent="0.15">
      <c r="A17" s="77" t="s">
        <v>149</v>
      </c>
      <c r="B17" s="81" t="s">
        <v>150</v>
      </c>
      <c r="C17" s="107">
        <f>Interview!$J$138</f>
        <v>0.58333333333333326</v>
      </c>
      <c r="D17" s="107">
        <f>Interview!H138</f>
        <v>0.35</v>
      </c>
      <c r="E17" s="107">
        <f>Interview!H150</f>
        <v>0.13333333333333333</v>
      </c>
      <c r="F17" s="107">
        <f>Interview!H162</f>
        <v>0.1</v>
      </c>
      <c r="G17" s="6">
        <f t="shared" si="0"/>
        <v>0</v>
      </c>
      <c r="H17" s="3"/>
      <c r="I17" s="87" t="s">
        <v>373</v>
      </c>
      <c r="J17" s="107">
        <f>AVERAGE(C23:C25)</f>
        <v>1.2388888888888889</v>
      </c>
      <c r="L17" s="1"/>
      <c r="M17" s="1"/>
      <c r="N17" s="1"/>
      <c r="T17" s="77" t="s">
        <v>149</v>
      </c>
      <c r="U17" s="81" t="s">
        <v>176</v>
      </c>
      <c r="V17" s="107">
        <v>0</v>
      </c>
      <c r="W17" s="107">
        <f>Interview!$J$173</f>
        <v>0.8</v>
      </c>
      <c r="X17" s="107">
        <v>0</v>
      </c>
      <c r="Y17" s="107">
        <v>0</v>
      </c>
    </row>
    <row r="18" spans="1:25" ht="25" customHeight="1" x14ac:dyDescent="0.15">
      <c r="A18" s="77" t="s">
        <v>149</v>
      </c>
      <c r="B18" s="81" t="s">
        <v>176</v>
      </c>
      <c r="C18" s="107">
        <f>Interview!$J$173</f>
        <v>0.8</v>
      </c>
      <c r="D18" s="107">
        <f>Interview!H173</f>
        <v>0.6</v>
      </c>
      <c r="E18" s="107">
        <f>Interview!H185</f>
        <v>0.2</v>
      </c>
      <c r="F18" s="107">
        <f>Interview!H196</f>
        <v>0</v>
      </c>
      <c r="G18" s="6">
        <f t="shared" si="0"/>
        <v>0</v>
      </c>
      <c r="H18" s="3"/>
      <c r="I18" s="1"/>
      <c r="J18" s="1"/>
      <c r="K18" s="1"/>
      <c r="L18" s="1"/>
      <c r="M18" s="1"/>
      <c r="N18" s="1"/>
      <c r="T18" s="77" t="s">
        <v>149</v>
      </c>
      <c r="U18" s="81" t="s">
        <v>199</v>
      </c>
      <c r="V18" s="107">
        <v>0</v>
      </c>
      <c r="W18" s="107">
        <f>Interview!$J$206</f>
        <v>1.2</v>
      </c>
      <c r="X18" s="107">
        <v>0</v>
      </c>
      <c r="Y18" s="107">
        <v>0</v>
      </c>
    </row>
    <row r="19" spans="1:25" ht="25" customHeight="1" x14ac:dyDescent="0.15">
      <c r="A19" s="77" t="s">
        <v>149</v>
      </c>
      <c r="B19" s="81" t="s">
        <v>199</v>
      </c>
      <c r="C19" s="107">
        <f>Interview!$J$206</f>
        <v>1.2</v>
      </c>
      <c r="D19" s="107">
        <f>Interview!H206</f>
        <v>0.35</v>
      </c>
      <c r="E19" s="107">
        <f>Interview!H216</f>
        <v>0.25</v>
      </c>
      <c r="F19" s="107">
        <f>Interview!H229</f>
        <v>0.6</v>
      </c>
      <c r="G19" s="6">
        <f t="shared" si="0"/>
        <v>0</v>
      </c>
      <c r="H19" s="3"/>
      <c r="I19" s="1"/>
      <c r="J19" s="1"/>
      <c r="K19" s="1"/>
      <c r="L19" s="1"/>
      <c r="M19" s="1"/>
      <c r="N19" s="1"/>
      <c r="T19" s="82" t="s">
        <v>222</v>
      </c>
      <c r="U19" s="86" t="s">
        <v>43</v>
      </c>
      <c r="V19" s="107">
        <v>0</v>
      </c>
      <c r="W19" s="107">
        <v>0</v>
      </c>
      <c r="X19" s="107">
        <f>Interview!$J$239</f>
        <v>1.0499999999999998</v>
      </c>
      <c r="Y19" s="107">
        <v>0</v>
      </c>
    </row>
    <row r="20" spans="1:25" ht="25" customHeight="1" x14ac:dyDescent="0.15">
      <c r="A20" s="82" t="s">
        <v>222</v>
      </c>
      <c r="B20" s="86" t="s">
        <v>43</v>
      </c>
      <c r="C20" s="107">
        <f>Interview!$J$239</f>
        <v>1.0499999999999998</v>
      </c>
      <c r="D20" s="107">
        <f>Interview!H239</f>
        <v>0.1</v>
      </c>
      <c r="E20" s="107">
        <f>Interview!H254</f>
        <v>0.6</v>
      </c>
      <c r="F20" s="107">
        <f>Interview!H265</f>
        <v>0.35</v>
      </c>
      <c r="G20" s="6">
        <f t="shared" si="0"/>
        <v>0</v>
      </c>
      <c r="H20" s="3"/>
      <c r="I20" s="1"/>
      <c r="J20" s="1"/>
      <c r="K20" s="1"/>
      <c r="L20" s="1"/>
      <c r="M20" s="1"/>
      <c r="N20" s="1"/>
      <c r="T20" s="82" t="s">
        <v>222</v>
      </c>
      <c r="U20" s="86" t="s">
        <v>381</v>
      </c>
      <c r="V20" s="107">
        <v>0</v>
      </c>
      <c r="W20" s="107">
        <v>0</v>
      </c>
      <c r="X20" s="107">
        <f>Interview!$J$277</f>
        <v>1.0499999999999998</v>
      </c>
      <c r="Y20" s="107">
        <v>0</v>
      </c>
    </row>
    <row r="21" spans="1:25" ht="25" customHeight="1" x14ac:dyDescent="0.15">
      <c r="A21" s="82" t="s">
        <v>222</v>
      </c>
      <c r="B21" s="86" t="s">
        <v>381</v>
      </c>
      <c r="C21" s="107">
        <f>Interview!$J$277</f>
        <v>1.0499999999999998</v>
      </c>
      <c r="D21" s="107">
        <f>Interview!H277</f>
        <v>0.35</v>
      </c>
      <c r="E21" s="107">
        <f>Interview!H287</f>
        <v>0.35</v>
      </c>
      <c r="F21" s="107">
        <f>Interview!H296</f>
        <v>0.35</v>
      </c>
      <c r="G21" s="6">
        <f t="shared" si="0"/>
        <v>0</v>
      </c>
      <c r="H21" s="3"/>
      <c r="I21" s="1"/>
      <c r="J21" s="1"/>
      <c r="K21" s="1"/>
      <c r="L21" s="1"/>
      <c r="M21" s="1"/>
      <c r="N21" s="1"/>
      <c r="T21" s="82" t="s">
        <v>222</v>
      </c>
      <c r="U21" s="86" t="s">
        <v>265</v>
      </c>
      <c r="V21" s="107">
        <v>0</v>
      </c>
      <c r="W21" s="107">
        <v>0</v>
      </c>
      <c r="X21" s="107">
        <f>Interview!$J$304</f>
        <v>0.26666666666666666</v>
      </c>
      <c r="Y21" s="107">
        <v>0</v>
      </c>
    </row>
    <row r="22" spans="1:25" ht="25" customHeight="1" x14ac:dyDescent="0.15">
      <c r="A22" s="82" t="s">
        <v>222</v>
      </c>
      <c r="B22" s="86" t="s">
        <v>265</v>
      </c>
      <c r="C22" s="107">
        <f>Interview!$J$304</f>
        <v>0.26666666666666666</v>
      </c>
      <c r="D22" s="107">
        <f>Interview!H304</f>
        <v>6.6666666666666666E-2</v>
      </c>
      <c r="E22" s="107">
        <f>Interview!H320</f>
        <v>0.2</v>
      </c>
      <c r="F22" s="107">
        <f>Interview!H329</f>
        <v>0</v>
      </c>
      <c r="G22" s="6">
        <f t="shared" si="0"/>
        <v>0</v>
      </c>
      <c r="H22" s="3"/>
      <c r="I22" s="1"/>
      <c r="J22" s="1"/>
      <c r="K22" s="1"/>
      <c r="L22" s="1"/>
      <c r="M22" s="1"/>
      <c r="N22" s="1"/>
      <c r="T22" s="87" t="s">
        <v>373</v>
      </c>
      <c r="U22" s="91" t="s">
        <v>374</v>
      </c>
      <c r="V22" s="107">
        <v>0</v>
      </c>
      <c r="W22" s="107">
        <v>0</v>
      </c>
      <c r="X22" s="107">
        <v>0</v>
      </c>
      <c r="Y22" s="107">
        <f>Interview!$J$338</f>
        <v>1.0666666666666667</v>
      </c>
    </row>
    <row r="23" spans="1:25" ht="25" customHeight="1" x14ac:dyDescent="0.15">
      <c r="A23" s="87" t="s">
        <v>373</v>
      </c>
      <c r="B23" s="91" t="s">
        <v>374</v>
      </c>
      <c r="C23" s="107">
        <f>Interview!$J$338</f>
        <v>1.0666666666666667</v>
      </c>
      <c r="D23" s="107">
        <f>Interview!H338</f>
        <v>0.46666666666666662</v>
      </c>
      <c r="E23" s="107">
        <f>Interview!H350</f>
        <v>0.6</v>
      </c>
      <c r="F23" s="107">
        <f>Interview!H364</f>
        <v>0</v>
      </c>
      <c r="G23" s="6">
        <f t="shared" si="0"/>
        <v>0</v>
      </c>
      <c r="H23" s="3"/>
      <c r="I23" s="1"/>
      <c r="J23" s="1"/>
      <c r="K23" s="1"/>
      <c r="L23" s="1"/>
      <c r="M23" s="1"/>
      <c r="N23" s="1"/>
      <c r="T23" s="87" t="s">
        <v>373</v>
      </c>
      <c r="U23" s="91" t="s">
        <v>309</v>
      </c>
      <c r="V23" s="107">
        <v>0</v>
      </c>
      <c r="W23" s="107">
        <v>0</v>
      </c>
      <c r="X23" s="107">
        <v>0</v>
      </c>
      <c r="Y23" s="107">
        <f>Interview!$J$376</f>
        <v>0.55000000000000004</v>
      </c>
    </row>
    <row r="24" spans="1:25" ht="25" customHeight="1" x14ac:dyDescent="0.15">
      <c r="A24" s="87" t="s">
        <v>373</v>
      </c>
      <c r="B24" s="91" t="s">
        <v>309</v>
      </c>
      <c r="C24" s="107">
        <f>Interview!$J$376</f>
        <v>0.55000000000000004</v>
      </c>
      <c r="D24" s="107">
        <f>Interview!H376</f>
        <v>0.2</v>
      </c>
      <c r="E24" s="107">
        <f>Interview!H387</f>
        <v>0</v>
      </c>
      <c r="F24" s="107">
        <f>Interview!H400</f>
        <v>0.35</v>
      </c>
      <c r="G24" s="6">
        <f t="shared" si="0"/>
        <v>0</v>
      </c>
      <c r="H24" s="3"/>
      <c r="I24" s="1"/>
      <c r="J24" s="1"/>
      <c r="K24" s="1"/>
      <c r="L24" s="1"/>
      <c r="M24" s="1"/>
      <c r="N24" s="1"/>
      <c r="T24" s="87" t="s">
        <v>373</v>
      </c>
      <c r="U24" s="91" t="s">
        <v>7</v>
      </c>
      <c r="V24" s="107">
        <v>0</v>
      </c>
      <c r="W24" s="107">
        <v>0</v>
      </c>
      <c r="X24" s="107">
        <v>0</v>
      </c>
      <c r="Y24" s="107">
        <f>Interview!$J$411</f>
        <v>2.1</v>
      </c>
    </row>
    <row r="25" spans="1:25" ht="25" customHeight="1" x14ac:dyDescent="0.15">
      <c r="A25" s="87" t="s">
        <v>373</v>
      </c>
      <c r="B25" s="91" t="s">
        <v>7</v>
      </c>
      <c r="C25" s="107">
        <f>Interview!$J$411</f>
        <v>2.1</v>
      </c>
      <c r="D25" s="107">
        <f>Interview!H411</f>
        <v>0.75</v>
      </c>
      <c r="E25" s="107">
        <f>Interview!H424</f>
        <v>1</v>
      </c>
      <c r="F25" s="107">
        <f>Interview!H439</f>
        <v>0.35</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15">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5" customHeight="1" x14ac:dyDescent="0.15">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5" customHeight="1" x14ac:dyDescent="0.15">
      <c r="A33" s="72" t="s">
        <v>58</v>
      </c>
      <c r="B33" s="76" t="s">
        <v>90</v>
      </c>
      <c r="C33" s="107">
        <f>Roadmap!Y31</f>
        <v>0</v>
      </c>
      <c r="D33" s="107">
        <f>Roadmap!X31</f>
        <v>0</v>
      </c>
      <c r="E33" s="107">
        <f>Roadmap!X34</f>
        <v>0</v>
      </c>
      <c r="F33" s="107">
        <f>Roadmap!X37</f>
        <v>0</v>
      </c>
      <c r="G33" s="6">
        <f t="shared" si="1"/>
        <v>0</v>
      </c>
      <c r="H33" s="3"/>
      <c r="I33" s="77" t="s">
        <v>149</v>
      </c>
      <c r="J33" s="107">
        <f>AVERAGE(C35:C37)</f>
        <v>0</v>
      </c>
      <c r="K33" s="1"/>
      <c r="L33" s="1"/>
      <c r="M33" s="1"/>
      <c r="N33" s="1"/>
      <c r="T33" s="72" t="s">
        <v>58</v>
      </c>
      <c r="U33" s="76" t="s">
        <v>122</v>
      </c>
      <c r="V33" s="107">
        <f>'Roadmap Chart'!I14</f>
        <v>0</v>
      </c>
      <c r="W33" s="107">
        <v>0</v>
      </c>
      <c r="X33" s="107">
        <v>0</v>
      </c>
      <c r="Y33" s="107">
        <v>0</v>
      </c>
    </row>
    <row r="34" spans="1:25" ht="25" customHeight="1" x14ac:dyDescent="0.15">
      <c r="A34" s="72" t="s">
        <v>58</v>
      </c>
      <c r="B34" s="76" t="s">
        <v>122</v>
      </c>
      <c r="C34" s="107">
        <f>Roadmap!Y40</f>
        <v>0</v>
      </c>
      <c r="D34" s="107">
        <f>Roadmap!X40</f>
        <v>0</v>
      </c>
      <c r="E34" s="107">
        <f>Roadmap!X43</f>
        <v>0</v>
      </c>
      <c r="F34" s="107">
        <f>Roadmap!X46</f>
        <v>0</v>
      </c>
      <c r="G34" s="6">
        <f t="shared" si="1"/>
        <v>0</v>
      </c>
      <c r="H34" s="3"/>
      <c r="I34" s="82" t="s">
        <v>222</v>
      </c>
      <c r="J34" s="107">
        <f>AVERAGE(C38:C40)</f>
        <v>0</v>
      </c>
      <c r="K34" s="1"/>
      <c r="L34" s="1"/>
      <c r="M34" s="1"/>
      <c r="N34" s="1"/>
      <c r="T34" s="77" t="s">
        <v>149</v>
      </c>
      <c r="U34" s="81" t="s">
        <v>150</v>
      </c>
      <c r="V34" s="107">
        <v>0</v>
      </c>
      <c r="W34" s="107">
        <f>'Roadmap Chart'!I15</f>
        <v>0</v>
      </c>
      <c r="X34" s="107">
        <v>0</v>
      </c>
      <c r="Y34" s="107">
        <v>0</v>
      </c>
    </row>
    <row r="35" spans="1:25" ht="25" customHeight="1" x14ac:dyDescent="0.15">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5" customHeight="1" x14ac:dyDescent="0.15">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5" customHeight="1" x14ac:dyDescent="0.15">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5" customHeight="1" x14ac:dyDescent="0.15">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5" customHeight="1" x14ac:dyDescent="0.15">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0</v>
      </c>
      <c r="Y39" s="107">
        <v>0</v>
      </c>
    </row>
    <row r="40" spans="1:25" ht="25" customHeight="1" x14ac:dyDescent="0.15">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5" customHeight="1" x14ac:dyDescent="0.15">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5" customHeight="1" x14ac:dyDescent="0.15">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5" customHeight="1" x14ac:dyDescent="0.15">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opLeftCell="B1" workbookViewId="0">
      <pane xSplit="3" topLeftCell="E1" activePane="topRight" state="frozen"/>
      <selection activeCell="B2" sqref="B2"/>
      <selection pane="topRight" activeCell="J20" sqref="J20"/>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283" t="str">
        <f>CONCATENATE("SAMM Assessment Interview: ",D13," For ",D12)</f>
        <v>SAMM Assessment Interview: Esteganografia For Universidade do Minho</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284" t="s">
        <v>50</v>
      </c>
      <c r="C3" s="285"/>
      <c r="D3" s="286"/>
      <c r="E3"/>
      <c r="F3"/>
      <c r="G3"/>
      <c r="H3"/>
      <c r="I3" s="10"/>
      <c r="J3" s="139"/>
      <c r="K3"/>
      <c r="L3"/>
      <c r="M3" s="139"/>
      <c r="N3" s="139"/>
      <c r="O3"/>
      <c r="P3"/>
      <c r="Q3" s="139"/>
      <c r="R3" s="139"/>
      <c r="S3"/>
      <c r="T3"/>
      <c r="U3" s="139"/>
      <c r="V3" s="139"/>
      <c r="W3"/>
      <c r="X3"/>
      <c r="Y3" s="139"/>
    </row>
    <row r="4" spans="1:25" ht="12.75" customHeight="1" x14ac:dyDescent="0.15">
      <c r="A4"/>
      <c r="B4" s="440" t="s">
        <v>467</v>
      </c>
      <c r="C4" s="441"/>
      <c r="D4" s="442"/>
      <c r="E4"/>
      <c r="F4"/>
      <c r="G4"/>
      <c r="H4"/>
      <c r="I4" s="10"/>
      <c r="J4" s="139"/>
      <c r="K4"/>
      <c r="L4"/>
      <c r="M4" s="139"/>
      <c r="N4" s="139"/>
      <c r="O4"/>
      <c r="P4"/>
      <c r="Q4" s="139"/>
      <c r="R4" s="139"/>
      <c r="S4"/>
      <c r="T4"/>
      <c r="U4" s="139"/>
      <c r="V4" s="139"/>
      <c r="W4"/>
      <c r="X4"/>
      <c r="Y4" s="139"/>
    </row>
    <row r="5" spans="1:25" ht="12.75" customHeight="1" x14ac:dyDescent="0.15">
      <c r="A5"/>
      <c r="B5" s="364" t="s">
        <v>473</v>
      </c>
      <c r="C5" s="365"/>
      <c r="D5" s="366"/>
      <c r="E5"/>
      <c r="F5"/>
      <c r="G5"/>
      <c r="H5"/>
      <c r="I5" s="10"/>
      <c r="J5" s="139"/>
      <c r="K5"/>
      <c r="L5"/>
      <c r="M5" s="139"/>
      <c r="N5" s="139"/>
      <c r="O5"/>
      <c r="P5"/>
      <c r="Q5" s="139"/>
      <c r="R5" s="139"/>
      <c r="S5"/>
      <c r="T5"/>
      <c r="U5" s="139"/>
      <c r="V5" s="139"/>
      <c r="W5"/>
      <c r="X5"/>
      <c r="Y5" s="139"/>
    </row>
    <row r="6" spans="1:25" ht="12.75" customHeight="1" x14ac:dyDescent="0.15">
      <c r="A6"/>
      <c r="B6" s="364" t="s">
        <v>470</v>
      </c>
      <c r="C6" s="365"/>
      <c r="D6" s="366"/>
      <c r="E6"/>
      <c r="F6"/>
      <c r="G6"/>
      <c r="H6"/>
      <c r="I6" s="10"/>
      <c r="J6" s="139"/>
      <c r="K6"/>
      <c r="L6"/>
      <c r="M6" s="139"/>
      <c r="N6" s="139"/>
      <c r="O6"/>
      <c r="P6"/>
      <c r="Q6" s="139"/>
      <c r="R6" s="139"/>
      <c r="S6"/>
      <c r="T6"/>
      <c r="U6" s="139"/>
      <c r="V6" s="139"/>
      <c r="W6"/>
      <c r="X6"/>
      <c r="Y6" s="139"/>
    </row>
    <row r="7" spans="1:25" ht="12.75" customHeight="1" x14ac:dyDescent="0.15">
      <c r="A7"/>
      <c r="B7" s="364" t="s">
        <v>468</v>
      </c>
      <c r="C7" s="365"/>
      <c r="D7" s="366"/>
      <c r="E7"/>
      <c r="F7"/>
      <c r="G7"/>
      <c r="H7"/>
      <c r="I7" s="10"/>
      <c r="J7" s="139"/>
      <c r="K7"/>
      <c r="L7"/>
      <c r="M7" s="139"/>
      <c r="N7" s="139"/>
      <c r="O7"/>
      <c r="P7"/>
      <c r="Q7" s="139"/>
      <c r="R7" s="139"/>
      <c r="S7"/>
      <c r="T7"/>
      <c r="U7" s="139"/>
      <c r="V7" s="139"/>
      <c r="W7"/>
      <c r="X7"/>
      <c r="Y7" s="139"/>
    </row>
    <row r="8" spans="1:25" ht="12.75" customHeight="1" x14ac:dyDescent="0.15">
      <c r="A8"/>
      <c r="B8" s="364" t="s">
        <v>469</v>
      </c>
      <c r="C8" s="365"/>
      <c r="D8" s="366"/>
      <c r="E8"/>
      <c r="F8"/>
      <c r="G8"/>
      <c r="H8"/>
      <c r="I8" s="10"/>
      <c r="J8" s="139"/>
      <c r="K8"/>
      <c r="L8"/>
      <c r="M8" s="139"/>
      <c r="N8" s="139"/>
      <c r="O8"/>
      <c r="P8"/>
      <c r="Q8" s="139"/>
      <c r="R8" s="139"/>
      <c r="S8"/>
      <c r="T8"/>
      <c r="U8" s="139"/>
      <c r="V8" s="139"/>
      <c r="W8"/>
      <c r="X8"/>
      <c r="Y8" s="139"/>
    </row>
    <row r="9" spans="1:25" ht="12.75" customHeight="1" x14ac:dyDescent="0.1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2">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449" t="s">
        <v>54</v>
      </c>
      <c r="C12" s="450"/>
      <c r="D12" s="239" t="str">
        <f>Interview!D10</f>
        <v>Universidade do Minho</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451" t="s">
        <v>55</v>
      </c>
      <c r="C13" s="452"/>
      <c r="D13" s="240" t="str">
        <f>Interview!D11</f>
        <v>Esteganografia</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451" t="s">
        <v>56</v>
      </c>
      <c r="C14" s="452"/>
      <c r="D14" s="241">
        <f>Interview!D12</f>
        <v>43565</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451" t="s">
        <v>57</v>
      </c>
      <c r="C15" s="452"/>
      <c r="D15" s="240" t="str">
        <f>Interview!D13</f>
        <v>Rui Teixeira</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453" t="s">
        <v>365</v>
      </c>
      <c r="C16" s="454"/>
      <c r="D16" s="238" t="str">
        <f>Interview!D14</f>
        <v>Joana Almeida, Andreia Costa</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15">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393" t="s">
        <v>61</v>
      </c>
      <c r="C20" s="394" t="str">
        <f>Interview!C18</f>
        <v>Is there a software security assurance program in place?</v>
      </c>
      <c r="D20" s="395"/>
      <c r="E20" s="155" t="str">
        <f>Interview!E18</f>
        <v>Yes, it's less than a year old</v>
      </c>
      <c r="F20" s="159">
        <v>1</v>
      </c>
      <c r="G20" s="159">
        <f>IFERROR(VLOOKUP(E20,AnswerATBL,2,FALSE),0)</f>
        <v>0.2</v>
      </c>
      <c r="H20" s="200">
        <f>IFERROR(AVERAGE(G20,G21,G22),0)</f>
        <v>0.56666666666666665</v>
      </c>
      <c r="I20" s="380">
        <f>SUM(H20,H24,H28)</f>
        <v>0.66666666666666663</v>
      </c>
      <c r="J20" s="176"/>
      <c r="K20" s="159">
        <f>IFERROR(VLOOKUP(J20,AnswerATBL,2,FALSE),0)</f>
        <v>0</v>
      </c>
      <c r="L20" s="160">
        <f>IFERROR(AVERAGE(K20,K21,K22),0)</f>
        <v>0</v>
      </c>
      <c r="M20" s="372">
        <f>SUM(L20,L24,L28)</f>
        <v>0</v>
      </c>
      <c r="N20" s="176"/>
      <c r="O20" s="159">
        <f>IFERROR(VLOOKUP(N20,AnswerATBL,2,FALSE),0)</f>
        <v>0</v>
      </c>
      <c r="P20" s="160">
        <f>IFERROR(AVERAGE(O20,O21,O22),0)</f>
        <v>0</v>
      </c>
      <c r="Q20" s="372">
        <f>SUM(P20,P24,P28)</f>
        <v>0</v>
      </c>
      <c r="R20" s="176"/>
      <c r="S20" s="159">
        <f>IFERROR(VLOOKUP(R20,AnswerATBL,2,FALSE),0)</f>
        <v>0</v>
      </c>
      <c r="T20" s="160">
        <f>IFERROR(AVERAGE(S20,S21,S22),0)</f>
        <v>0</v>
      </c>
      <c r="U20" s="372">
        <f>SUM(T20,T24,T28)</f>
        <v>0</v>
      </c>
      <c r="V20" s="176"/>
      <c r="W20" s="159">
        <f>IFERROR(VLOOKUP(V20,AnswerATBL,2,FALSE),0)</f>
        <v>0</v>
      </c>
      <c r="X20" s="160">
        <f>IFERROR(AVERAGE(W20,W21,W22),0)</f>
        <v>0</v>
      </c>
      <c r="Y20" s="372">
        <f>SUM(X20,X24,X28)</f>
        <v>0</v>
      </c>
    </row>
    <row r="21" spans="1:25" ht="12.75" customHeight="1" x14ac:dyDescent="0.15">
      <c r="A21" s="27">
        <v>2</v>
      </c>
      <c r="B21" s="387"/>
      <c r="C21" s="382" t="str">
        <f>Interview!C23</f>
        <v>Are development staff aware of future plans for the assurance program?</v>
      </c>
      <c r="D21" s="383"/>
      <c r="E21" s="30" t="str">
        <f>Interview!E23</f>
        <v>Yes, the majority of them are/do</v>
      </c>
      <c r="F21" s="156">
        <v>2</v>
      </c>
      <c r="G21" s="156">
        <f>IFERROR(VLOOKUP(E21,AnswerCTBL,2,FALSE),0)</f>
        <v>1</v>
      </c>
      <c r="H21" s="201"/>
      <c r="I21" s="381"/>
      <c r="J21" s="177"/>
      <c r="K21" s="156">
        <f>IFERROR(VLOOKUP(J21,AnswerCTBL,2,FALSE),0)</f>
        <v>0</v>
      </c>
      <c r="L21" s="158"/>
      <c r="M21" s="373"/>
      <c r="N21" s="177"/>
      <c r="O21" s="156">
        <f>IFERROR(VLOOKUP(N21,AnswerCTBL,2,FALSE),0)</f>
        <v>0</v>
      </c>
      <c r="P21" s="158"/>
      <c r="Q21" s="373"/>
      <c r="R21" s="177"/>
      <c r="S21" s="156">
        <f>IFERROR(VLOOKUP(R21,AnswerCTBL,2,FALSE),0)</f>
        <v>0</v>
      </c>
      <c r="T21" s="158"/>
      <c r="U21" s="373"/>
      <c r="V21" s="177"/>
      <c r="W21" s="156">
        <f>IFERROR(VLOOKUP(V21,AnswerCTBL,2,FALSE),0)</f>
        <v>0</v>
      </c>
      <c r="X21" s="158"/>
      <c r="Y21" s="373"/>
    </row>
    <row r="22" spans="1:25" ht="12.75" customHeight="1" x14ac:dyDescent="0.15">
      <c r="A22" s="27">
        <v>3</v>
      </c>
      <c r="B22" s="388"/>
      <c r="C22" s="384" t="str">
        <f>Interview!C28</f>
        <v>Do the business stakeholders understand your organization’s risk profile?</v>
      </c>
      <c r="D22" s="385"/>
      <c r="E22" s="30" t="str">
        <f>Interview!E28</f>
        <v>Yes, at least half of them are/do</v>
      </c>
      <c r="F22" s="18">
        <v>3</v>
      </c>
      <c r="G22" s="18">
        <f>IFERROR(VLOOKUP(E22,AnswerCTBL,2,FALSE),0)</f>
        <v>0.5</v>
      </c>
      <c r="H22" s="202"/>
      <c r="I22" s="212"/>
      <c r="J22" s="177"/>
      <c r="K22" s="18">
        <f>IFERROR(VLOOKUP(J22,AnswerCTBL,2,FALSE),0)</f>
        <v>0</v>
      </c>
      <c r="L22" s="109"/>
      <c r="M22" s="373"/>
      <c r="N22" s="177"/>
      <c r="O22" s="18">
        <f>IFERROR(VLOOKUP(N22,AnswerCTBL,2,FALSE),0)</f>
        <v>0</v>
      </c>
      <c r="P22" s="109"/>
      <c r="Q22" s="373"/>
      <c r="R22" s="177"/>
      <c r="S22" s="18">
        <f>IFERROR(VLOOKUP(R22,AnswerCTBL,2,FALSE),0)</f>
        <v>0</v>
      </c>
      <c r="T22" s="109"/>
      <c r="U22" s="373"/>
      <c r="V22" s="177"/>
      <c r="W22" s="18">
        <f>IFERROR(VLOOKUP(V22,AnswerCTBL,2,FALSE),0)</f>
        <v>0</v>
      </c>
      <c r="X22" s="109"/>
      <c r="Y22" s="373"/>
    </row>
    <row r="23" spans="1:25" ht="12.75" customHeight="1" x14ac:dyDescent="0.1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86" t="s">
        <v>72</v>
      </c>
      <c r="C24" s="389" t="str">
        <f>Interview!C35</f>
        <v>Are many of your applications and resources categorized by risk?</v>
      </c>
      <c r="D24" s="390"/>
      <c r="E24" s="30" t="str">
        <f>Interview!E35</f>
        <v>No</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15">
      <c r="A25" s="27">
        <v>5</v>
      </c>
      <c r="B25" s="387"/>
      <c r="C25" s="382" t="str">
        <f>Interview!C41</f>
        <v>Are risk ratings used to tailor the required assurance activities?</v>
      </c>
      <c r="D25" s="383"/>
      <c r="E25" s="30" t="str">
        <f>Interview!E41</f>
        <v>No</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15">
      <c r="A26" s="27">
        <v>6</v>
      </c>
      <c r="B26" s="388"/>
      <c r="C26" s="391" t="str">
        <f>Interview!C44</f>
        <v>Does the organization know about what’s required based on risk ratings?</v>
      </c>
      <c r="D26" s="392"/>
      <c r="E26" s="30" t="str">
        <f>Interview!E44</f>
        <v>No</v>
      </c>
      <c r="F26" s="18">
        <v>6</v>
      </c>
      <c r="G26" s="18">
        <f>IFERROR(VLOOKUP(E26,AnswerCTBL,2,FALSE),0)</f>
        <v>0</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1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86" t="s">
        <v>80</v>
      </c>
      <c r="C28" s="389" t="str">
        <f>Interview!C48</f>
        <v>Is per-project data for the cost of assurance activities collected?</v>
      </c>
      <c r="D28" s="390"/>
      <c r="E28" s="30" t="str">
        <f>Interview!E48</f>
        <v>No</v>
      </c>
      <c r="F28" s="156">
        <v>7</v>
      </c>
      <c r="G28" s="156">
        <f>IFERROR(VLOOKUP(E28,AnswerCTBL,2,FALSE),0)</f>
        <v>0</v>
      </c>
      <c r="H28" s="203">
        <f>IFERROR(AVERAGE(G28,G29),0)</f>
        <v>0.1</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15">
      <c r="A29" s="27">
        <v>8</v>
      </c>
      <c r="B29" s="388"/>
      <c r="C29" s="384" t="str">
        <f>Interview!C56</f>
        <v>Does your organization regularly compare your security spend with that of other organizations?</v>
      </c>
      <c r="D29" s="385"/>
      <c r="E29" s="30" t="str">
        <f>Interview!E56</f>
        <v>Yes, we did it once</v>
      </c>
      <c r="F29" s="18">
        <v>8</v>
      </c>
      <c r="G29" s="18">
        <f>IFERROR(VLOOKUP(E29,AnswerDTBL,2,FALSE),0)</f>
        <v>0.2</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15">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86" t="s">
        <v>91</v>
      </c>
      <c r="C31" s="389" t="str">
        <f>Interview!C62</f>
        <v>Do project stakeholders know their project’s compliance status?</v>
      </c>
      <c r="D31" s="390"/>
      <c r="E31" s="30" t="str">
        <f>Interview!E62</f>
        <v>Yes, the majority of them are/do</v>
      </c>
      <c r="F31" s="156">
        <v>9</v>
      </c>
      <c r="G31" s="156">
        <f>IFERROR(VLOOKUP(E31,AnswerCTBL,2,FALSE),0)</f>
        <v>1</v>
      </c>
      <c r="H31" s="204">
        <f>IFERROR(AVERAGE(G31,G32),0)</f>
        <v>1</v>
      </c>
      <c r="I31" s="380">
        <f>SUM(H31,H34,H37)</f>
        <v>1.4500000000000002</v>
      </c>
      <c r="J31" s="177"/>
      <c r="K31" s="156">
        <f>IFERROR(VLOOKUP(J31,AnswerCTBL,2,FALSE),0)</f>
        <v>0</v>
      </c>
      <c r="L31" s="142">
        <f>IFERROR(AVERAGE(K31,K32),0)</f>
        <v>0</v>
      </c>
      <c r="M31" s="372">
        <f>SUM(L31,L34,L37)</f>
        <v>0</v>
      </c>
      <c r="N31" s="177"/>
      <c r="O31" s="156">
        <f>IFERROR(VLOOKUP(N31,AnswerCTBL,2,FALSE),0)</f>
        <v>0</v>
      </c>
      <c r="P31" s="142">
        <f>IFERROR(AVERAGE(O31,O32),0)</f>
        <v>0</v>
      </c>
      <c r="Q31" s="372">
        <f>SUM(P31,P34,P37)</f>
        <v>0</v>
      </c>
      <c r="R31" s="177"/>
      <c r="S31" s="156">
        <f>IFERROR(VLOOKUP(R31,AnswerCTBL,2,FALSE),0)</f>
        <v>0</v>
      </c>
      <c r="T31" s="142">
        <f>IFERROR(AVERAGE(S31,S32),0)</f>
        <v>0</v>
      </c>
      <c r="U31" s="372">
        <f>SUM(T31,T34,T37)</f>
        <v>0</v>
      </c>
      <c r="V31" s="177"/>
      <c r="W31" s="156">
        <f>IFERROR(VLOOKUP(V31,AnswerCTBL,2,FALSE),0)</f>
        <v>0</v>
      </c>
      <c r="X31" s="142">
        <f>IFERROR(AVERAGE(W31,W32),0)</f>
        <v>0</v>
      </c>
      <c r="Y31" s="372">
        <f>SUM(X31,X34,X37)</f>
        <v>0</v>
      </c>
    </row>
    <row r="32" spans="1:25" ht="12.75" customHeight="1" x14ac:dyDescent="0.15">
      <c r="A32" s="27">
        <v>10</v>
      </c>
      <c r="B32" s="388"/>
      <c r="C32" s="384" t="str">
        <f>Interview!C65</f>
        <v>Are compliance requirements specifically considered by project teams?</v>
      </c>
      <c r="D32" s="385"/>
      <c r="E32" s="30" t="str">
        <f>Interview!E65</f>
        <v>Yes</v>
      </c>
      <c r="F32" s="18">
        <v>10</v>
      </c>
      <c r="G32" s="18">
        <f>IFERROR(VLOOKUP(E32,AnswerETBL,2,FALSE),0)</f>
        <v>1</v>
      </c>
      <c r="H32" s="127"/>
      <c r="I32" s="381"/>
      <c r="J32" s="177"/>
      <c r="K32" s="18">
        <f>IFERROR(VLOOKUP(J32,AnswerETBL,2,FALSE),0)</f>
        <v>0</v>
      </c>
      <c r="L32" s="127"/>
      <c r="M32" s="374"/>
      <c r="N32" s="177"/>
      <c r="O32" s="18">
        <f>IFERROR(VLOOKUP(N32,AnswerETBL,2,FALSE),0)</f>
        <v>0</v>
      </c>
      <c r="P32" s="127"/>
      <c r="Q32" s="374"/>
      <c r="R32" s="177"/>
      <c r="S32" s="18">
        <f>IFERROR(VLOOKUP(R32,AnswerETBL,2,FALSE),0)</f>
        <v>0</v>
      </c>
      <c r="T32" s="127"/>
      <c r="U32" s="374"/>
      <c r="V32" s="177"/>
      <c r="W32" s="18">
        <f>IFERROR(VLOOKUP(V32,AnswerETBL,2,FALSE),0)</f>
        <v>0</v>
      </c>
      <c r="X32" s="127"/>
      <c r="Y32" s="374"/>
    </row>
    <row r="33" spans="1:25" ht="12.75" customHeight="1" x14ac:dyDescent="0.1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86" t="s">
        <v>99</v>
      </c>
      <c r="C34" s="389" t="str">
        <f>Interview!C73</f>
        <v>Does the organization utilize a set of policies and standards to control software development?</v>
      </c>
      <c r="D34" s="390"/>
      <c r="E34" s="30" t="str">
        <f>Interview!E73</f>
        <v>Yes, teams write/run their own</v>
      </c>
      <c r="F34" s="156">
        <v>11</v>
      </c>
      <c r="G34" s="156">
        <f>IFERROR(VLOOKUP(E34,AnswerFTBL,2,FALSE),0)</f>
        <v>0.2</v>
      </c>
      <c r="H34" s="201">
        <f>IFERROR(AVERAGE(G34,G35),0)</f>
        <v>0.35</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15">
      <c r="A35" s="27">
        <v>12</v>
      </c>
      <c r="B35" s="388"/>
      <c r="C35" s="384" t="str">
        <f>Interview!C81</f>
        <v>Are project teams able to request an audit for compliance with policies and standards?</v>
      </c>
      <c r="D35" s="385"/>
      <c r="E35" s="30" t="str">
        <f>Interview!E81</f>
        <v>Yes, at least half of them are/do</v>
      </c>
      <c r="F35" s="18">
        <v>12</v>
      </c>
      <c r="G35" s="18">
        <f>IFERROR(VLOOKUP(E35,AnswerCTBL,2,FALSE),0)</f>
        <v>0.5</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1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86" t="s">
        <v>113</v>
      </c>
      <c r="C37" s="389" t="str">
        <f>Interview!C89</f>
        <v>Are projects periodically audited to ensure a baseline of compliance with policies and standards?</v>
      </c>
      <c r="D37" s="390"/>
      <c r="E37" s="30" t="str">
        <f>Interview!E89</f>
        <v>Yes, a small percentage are/do</v>
      </c>
      <c r="F37" s="156">
        <v>13</v>
      </c>
      <c r="G37" s="156">
        <f>IFERROR(VLOOKUP(E37,AnswerCTBL,2,FALSE),0)</f>
        <v>0.2</v>
      </c>
      <c r="H37" s="201">
        <f>IFERROR(AVERAGE(G37,G38),0)</f>
        <v>0.1</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15">
      <c r="A38" s="27">
        <v>14</v>
      </c>
      <c r="B38" s="388"/>
      <c r="C38" s="384" t="str">
        <f>Interview!C94</f>
        <v>Does the organization systematically use audits to collect and control compliance evidence?</v>
      </c>
      <c r="D38" s="385"/>
      <c r="E38" s="30" t="str">
        <f>Interview!E94</f>
        <v>No</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15">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15">
      <c r="A40" s="27">
        <v>15</v>
      </c>
      <c r="B40" s="386" t="s">
        <v>123</v>
      </c>
      <c r="C40" s="389" t="str">
        <f>Interview!C100</f>
        <v>Have developers been given high-level security awareness training?</v>
      </c>
      <c r="D40" s="390"/>
      <c r="E40" s="30" t="str">
        <f>Interview!E100</f>
        <v>Yes, we do it every few years</v>
      </c>
      <c r="F40" s="156">
        <v>15</v>
      </c>
      <c r="G40" s="156">
        <f>IFERROR(VLOOKUP(E40,AnswerDTBL,2,FALSE),0)</f>
        <v>0.5</v>
      </c>
      <c r="H40" s="201">
        <f>IFERROR(AVERAGE(G40,G41),0)</f>
        <v>0.75</v>
      </c>
      <c r="I40" s="380">
        <f>SUM(H40,H43,H46)</f>
        <v>1.85</v>
      </c>
      <c r="J40" s="177"/>
      <c r="K40" s="156">
        <f>IFERROR(VLOOKUP(J40,AnswerDTBL,2,FALSE),0)</f>
        <v>0</v>
      </c>
      <c r="L40" s="158">
        <f>IFERROR(AVERAGE(K40,K41),0)</f>
        <v>0</v>
      </c>
      <c r="M40" s="372">
        <f>SUM(L40,L43,L46)</f>
        <v>0</v>
      </c>
      <c r="N40" s="177"/>
      <c r="O40" s="156">
        <f>IFERROR(VLOOKUP(N40,AnswerDTBL,2,FALSE),0)</f>
        <v>0</v>
      </c>
      <c r="P40" s="158">
        <f>IFERROR(AVERAGE(O40,O41),0)</f>
        <v>0</v>
      </c>
      <c r="Q40" s="372">
        <f>SUM(P40,P43,P46)</f>
        <v>0</v>
      </c>
      <c r="R40" s="177"/>
      <c r="S40" s="156">
        <f>IFERROR(VLOOKUP(R40,AnswerDTBL,2,FALSE),0)</f>
        <v>0</v>
      </c>
      <c r="T40" s="158">
        <f>IFERROR(AVERAGE(S40,S41),0)</f>
        <v>0</v>
      </c>
      <c r="U40" s="372">
        <f>SUM(T40,T43,T46)</f>
        <v>0</v>
      </c>
      <c r="V40" s="177"/>
      <c r="W40" s="156">
        <f>IFERROR(VLOOKUP(V40,AnswerDTBL,2,FALSE),0)</f>
        <v>0</v>
      </c>
      <c r="X40" s="158">
        <f>IFERROR(AVERAGE(W40,W41),0)</f>
        <v>0</v>
      </c>
      <c r="Y40" s="372">
        <f>SUM(X40,X43,X46)</f>
        <v>0</v>
      </c>
    </row>
    <row r="41" spans="1:25" ht="12.75" customHeight="1" x14ac:dyDescent="0.15">
      <c r="A41" s="27">
        <v>16</v>
      </c>
      <c r="B41" s="388"/>
      <c r="C41" s="384" t="str">
        <f>Interview!C105</f>
        <v>Does each project team understand where to find secure development best-practices and guidance?</v>
      </c>
      <c r="D41" s="385"/>
      <c r="E41" s="30" t="str">
        <f>Interview!E105</f>
        <v>Yes, the majority of them are/do</v>
      </c>
      <c r="F41" s="18">
        <v>16</v>
      </c>
      <c r="G41" s="18">
        <f>IFERROR(VLOOKUP(E41,AnswerCTBL,2,FALSE),0)</f>
        <v>1</v>
      </c>
      <c r="H41" s="202"/>
      <c r="I41" s="381"/>
      <c r="J41" s="177"/>
      <c r="K41" s="18">
        <f>IFERROR(VLOOKUP(J41,AnswerCTBL,2,FALSE),0)</f>
        <v>0</v>
      </c>
      <c r="L41" s="109"/>
      <c r="M41" s="374"/>
      <c r="N41" s="177"/>
      <c r="O41" s="18">
        <f>IFERROR(VLOOKUP(N41,AnswerCTBL,2,FALSE),0)</f>
        <v>0</v>
      </c>
      <c r="P41" s="109"/>
      <c r="Q41" s="374"/>
      <c r="R41" s="177"/>
      <c r="S41" s="18">
        <f>IFERROR(VLOOKUP(R41,AnswerCTBL,2,FALSE),0)</f>
        <v>0</v>
      </c>
      <c r="T41" s="109"/>
      <c r="U41" s="374"/>
      <c r="V41" s="177"/>
      <c r="W41" s="18">
        <f>IFERROR(VLOOKUP(V41,AnswerCTBL,2,FALSE),0)</f>
        <v>0</v>
      </c>
      <c r="X41" s="109"/>
      <c r="Y41" s="374"/>
    </row>
    <row r="42" spans="1:25" ht="12.75" customHeight="1" x14ac:dyDescent="0.1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86" t="s">
        <v>130</v>
      </c>
      <c r="C43" s="389" t="str">
        <f>Interview!C111</f>
        <v>Are those involved in the development process given role-specific security training and guidance?</v>
      </c>
      <c r="D43" s="390"/>
      <c r="E43" s="30" t="str">
        <f>Interview!E111</f>
        <v>Yes, the majority of them are/do</v>
      </c>
      <c r="F43" s="156">
        <v>17</v>
      </c>
      <c r="G43" s="156">
        <f>IFERROR(VLOOKUP(E43,AnswerCTBL,2,FALSE),0)</f>
        <v>1</v>
      </c>
      <c r="H43" s="201">
        <f>IFERROR(AVERAGE(G43,G44),0)</f>
        <v>1</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15">
      <c r="A44" s="27">
        <v>18</v>
      </c>
      <c r="B44" s="388"/>
      <c r="C44" s="384" t="str">
        <f>Interview!C118</f>
        <v>Are stakeholders able to pull in security coaches for use on projects?</v>
      </c>
      <c r="D44" s="385"/>
      <c r="E44" s="30" t="str">
        <f>Interview!E118</f>
        <v>Yes, the majority of them are/do</v>
      </c>
      <c r="F44" s="18">
        <v>18</v>
      </c>
      <c r="G44" s="18">
        <f>IFERROR(VLOOKUP(E44,AnswerCTBL,2,FALSE),0)</f>
        <v>1</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1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86" t="s">
        <v>139</v>
      </c>
      <c r="C46" s="389" t="str">
        <f>Interview!C124</f>
        <v>Is security-related guidance centrally controlled and consistently distributed throughout the organization?</v>
      </c>
      <c r="D46" s="390"/>
      <c r="E46" s="30" t="str">
        <f>Interview!E124</f>
        <v>Yes, teams write/run their own</v>
      </c>
      <c r="F46" s="156">
        <v>19</v>
      </c>
      <c r="G46" s="156">
        <f>IFERROR(VLOOKUP(E46,AnswerFTBL,2,FALSE),0)</f>
        <v>0.2</v>
      </c>
      <c r="H46" s="201">
        <f>IFERROR(AVERAGE(G46,G47),0)</f>
        <v>0.1</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15">
      <c r="A47" s="27">
        <v>20</v>
      </c>
      <c r="B47" s="388"/>
      <c r="C47" s="384" t="str">
        <f>Interview!C130</f>
        <v>Are developers tested to ensure a baseline skill-set for secure development practices?</v>
      </c>
      <c r="D47" s="385"/>
      <c r="E47" s="31" t="str">
        <f>Interview!E130</f>
        <v>No</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15">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15">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436" t="s">
        <v>151</v>
      </c>
      <c r="C50" s="394" t="str">
        <f>Interview!C138</f>
        <v>Do projects in your organization consider and document likely threats?</v>
      </c>
      <c r="D50" s="395"/>
      <c r="E50" s="155" t="str">
        <f>Interview!E138</f>
        <v>Yes, a small percentage are/do</v>
      </c>
      <c r="F50" s="18">
        <v>1</v>
      </c>
      <c r="G50" s="18">
        <f>IFERROR(VLOOKUP(E50,AnswerCTBL,2,FALSE),0)</f>
        <v>0.2</v>
      </c>
      <c r="H50" s="166">
        <f>IFERROR(AVERAGE(G50,G51),0)</f>
        <v>0.35</v>
      </c>
      <c r="I50" s="396">
        <f>SUM(H50,H53,H57)</f>
        <v>0.58333333333333326</v>
      </c>
      <c r="J50" s="176"/>
      <c r="K50" s="18">
        <f>IFERROR(VLOOKUP(J50,AnswerCTBL,2,FALSE),0)</f>
        <v>0</v>
      </c>
      <c r="L50" s="109">
        <f>IFERROR(AVERAGE(K50,K51),0)</f>
        <v>0</v>
      </c>
      <c r="M50" s="378">
        <f>SUM(L50,L53,L57)</f>
        <v>0</v>
      </c>
      <c r="N50" s="176"/>
      <c r="O50" s="18">
        <f>IFERROR(VLOOKUP(N50,AnswerCTBL,2,FALSE),0)</f>
        <v>0</v>
      </c>
      <c r="P50" s="109">
        <f>IFERROR(AVERAGE(O50,O51),0)</f>
        <v>0</v>
      </c>
      <c r="Q50" s="378">
        <f>SUM(P50,P53,P57)</f>
        <v>0</v>
      </c>
      <c r="R50" s="176"/>
      <c r="S50" s="18">
        <f>IFERROR(VLOOKUP(R50,AnswerCTBL,2,FALSE),0)</f>
        <v>0</v>
      </c>
      <c r="T50" s="109">
        <f>IFERROR(AVERAGE(S50,S51),0)</f>
        <v>0</v>
      </c>
      <c r="U50" s="378">
        <f>SUM(T50,T53,T57)</f>
        <v>0</v>
      </c>
      <c r="V50" s="176"/>
      <c r="W50" s="18">
        <f>IFERROR(VLOOKUP(V50,AnswerCTBL,2,FALSE),0)</f>
        <v>0</v>
      </c>
      <c r="X50" s="109">
        <f>IFERROR(AVERAGE(W50,W51),0)</f>
        <v>0</v>
      </c>
      <c r="Y50" s="378">
        <f>SUM(X50,X53,X57)</f>
        <v>0</v>
      </c>
    </row>
    <row r="51" spans="1:25" ht="12.75" customHeight="1" x14ac:dyDescent="0.15">
      <c r="B51" s="428"/>
      <c r="C51" s="384" t="str">
        <f>Interview!C144</f>
        <v>Does your organization understand and document the types of attackers it faces?</v>
      </c>
      <c r="D51" s="385"/>
      <c r="E51" s="30" t="str">
        <f>Interview!E144</f>
        <v>Yes, at least half of them are/do</v>
      </c>
      <c r="F51" s="18">
        <v>2</v>
      </c>
      <c r="G51" s="18">
        <f>IFERROR(VLOOKUP(E51,AnswerCTBL,2,FALSE),0)</f>
        <v>0.5</v>
      </c>
      <c r="H51" s="166"/>
      <c r="I51" s="397"/>
      <c r="J51" s="177"/>
      <c r="K51" s="18">
        <f>IFERROR(VLOOKUP(J51,AnswerCTBL,2,FALSE),0)</f>
        <v>0</v>
      </c>
      <c r="L51" s="109"/>
      <c r="M51" s="379"/>
      <c r="N51" s="177"/>
      <c r="O51" s="18">
        <f>IFERROR(VLOOKUP(N51,AnswerCTBL,2,FALSE),0)</f>
        <v>0</v>
      </c>
      <c r="P51" s="109"/>
      <c r="Q51" s="379"/>
      <c r="R51" s="177"/>
      <c r="S51" s="18">
        <f>IFERROR(VLOOKUP(R51,AnswerCTBL,2,FALSE),0)</f>
        <v>0</v>
      </c>
      <c r="T51" s="109"/>
      <c r="U51" s="379"/>
      <c r="V51" s="177"/>
      <c r="W51" s="18">
        <f>IFERROR(VLOOKUP(V51,AnswerCTBL,2,FALSE),0)</f>
        <v>0</v>
      </c>
      <c r="X51" s="109"/>
      <c r="Y51" s="379"/>
    </row>
    <row r="52" spans="1:25" ht="12.75" customHeight="1" x14ac:dyDescent="0.1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426" t="s">
        <v>159</v>
      </c>
      <c r="C53" s="389" t="str">
        <f>Interview!C150</f>
        <v>Do project teams regularly analyze functional requirements for likely abuses?</v>
      </c>
      <c r="D53" s="390"/>
      <c r="E53" s="30" t="str">
        <f>Interview!E150</f>
        <v>Yes, a small percentage are/do</v>
      </c>
      <c r="F53" s="18">
        <v>3</v>
      </c>
      <c r="G53" s="18">
        <f>IFERROR(VLOOKUP(E53,AnswerCTBL,2,FALSE),0)</f>
        <v>0.2</v>
      </c>
      <c r="H53" s="166">
        <f>IFERROR(AVERAGE(G53,G54,G55),0)</f>
        <v>0.13333333333333333</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15">
      <c r="A54"/>
      <c r="B54" s="427"/>
      <c r="C54" s="382" t="str">
        <f>Interview!C154</f>
        <v>Do project teams use a method of rating threats for relative comparison?</v>
      </c>
      <c r="D54" s="383"/>
      <c r="E54" s="30" t="str">
        <f>Interview!E154</f>
        <v>No</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15">
      <c r="A55"/>
      <c r="B55" s="428"/>
      <c r="C55" s="384" t="str">
        <f>Interview!C158</f>
        <v>Are stakeholders aware of relevant threats and ratings?</v>
      </c>
      <c r="D55" s="385"/>
      <c r="E55" s="30" t="str">
        <f>Interview!E158</f>
        <v>Yes, a small percentage are/do</v>
      </c>
      <c r="F55" s="18">
        <v>5</v>
      </c>
      <c r="G55" s="18">
        <f>IFERROR(VLOOKUP(E55,AnswerCTBL,2,FALSE),0)</f>
        <v>0.2</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1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15">
      <c r="A57"/>
      <c r="B57" s="426" t="s">
        <v>168</v>
      </c>
      <c r="C57" s="389" t="str">
        <f>Interview!C162</f>
        <v>Do project teams specifically consider risk from external software?</v>
      </c>
      <c r="D57" s="390"/>
      <c r="E57" s="30" t="str">
        <f>Interview!E162</f>
        <v>Yes, a small percentage are/do</v>
      </c>
      <c r="F57" s="18">
        <v>6</v>
      </c>
      <c r="G57" s="18">
        <f>IFERROR(VLOOKUP(E57,AnswerCTBL,2,FALSE),0)</f>
        <v>0.2</v>
      </c>
      <c r="H57" s="166">
        <f>IFERROR(AVERAGE(G57,G58),0)</f>
        <v>0.1</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15">
      <c r="A58"/>
      <c r="B58" s="428"/>
      <c r="C58" s="384" t="str">
        <f>Interview!C166</f>
        <v>Are the majority of the protection mechanisms and controls captured and mapped back to threats?</v>
      </c>
      <c r="D58" s="385"/>
      <c r="E58" s="30" t="str">
        <f>Interview!E166</f>
        <v>No</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15">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426" t="s">
        <v>177</v>
      </c>
      <c r="C60" s="389" t="str">
        <f>Interview!C173</f>
        <v>Do project teams specify security requirements during development?</v>
      </c>
      <c r="D60" s="390"/>
      <c r="E60" s="30" t="str">
        <f>Interview!E173</f>
        <v>Yes, the majority of them are/do</v>
      </c>
      <c r="F60" s="18">
        <v>8</v>
      </c>
      <c r="G60" s="18">
        <f>IFERROR(VLOOKUP(E60,AnswerCTBL,2,FALSE),0)</f>
        <v>1</v>
      </c>
      <c r="H60" s="166">
        <f>IFERROR(AVERAGE(G60,G61),0)</f>
        <v>0.6</v>
      </c>
      <c r="I60" s="396">
        <f>SUM(H60,H63,H66)</f>
        <v>0.8</v>
      </c>
      <c r="J60" s="176"/>
      <c r="K60" s="18">
        <f>IFERROR(VLOOKUP(J60,AnswerCTBL,2,FALSE),0)</f>
        <v>0</v>
      </c>
      <c r="L60" s="109">
        <f>IFERROR(AVERAGE(K60,K61),0)</f>
        <v>0</v>
      </c>
      <c r="M60" s="378">
        <f>SUM(L60,L63,L66)</f>
        <v>0</v>
      </c>
      <c r="N60" s="176"/>
      <c r="O60" s="18">
        <f>IFERROR(VLOOKUP(N60,AnswerCTBL,2,FALSE),0)</f>
        <v>0</v>
      </c>
      <c r="P60" s="109">
        <f>IFERROR(AVERAGE(O60,O61),0)</f>
        <v>0</v>
      </c>
      <c r="Q60" s="378">
        <f>SUM(P60,P63,P66)</f>
        <v>0</v>
      </c>
      <c r="R60" s="176"/>
      <c r="S60" s="18">
        <f>IFERROR(VLOOKUP(R60,AnswerCTBL,2,FALSE),0)</f>
        <v>0</v>
      </c>
      <c r="T60" s="109">
        <f>IFERROR(AVERAGE(S60,S61),0)</f>
        <v>0</v>
      </c>
      <c r="U60" s="378">
        <f>SUM(T60,T63,T66)</f>
        <v>0</v>
      </c>
      <c r="V60" s="176"/>
      <c r="W60" s="18">
        <f>IFERROR(VLOOKUP(V60,AnswerCTBL,2,FALSE),0)</f>
        <v>0</v>
      </c>
      <c r="X60" s="109">
        <f>IFERROR(AVERAGE(W60,W61),0)</f>
        <v>0</v>
      </c>
      <c r="Y60" s="378">
        <f>SUM(X60,X63,X66)</f>
        <v>0</v>
      </c>
    </row>
    <row r="61" spans="1:25" ht="12.75" customHeight="1" x14ac:dyDescent="0.15">
      <c r="A61"/>
      <c r="B61" s="428"/>
      <c r="C61" s="384" t="str">
        <f>Interview!C179</f>
        <v>Do project teams pull requirements from best practices and compliance guidance?</v>
      </c>
      <c r="D61" s="385"/>
      <c r="E61" s="30" t="str">
        <f>Interview!E179</f>
        <v>Yes, teams write/run their own</v>
      </c>
      <c r="F61" s="18">
        <v>9</v>
      </c>
      <c r="G61" s="18">
        <f>IFERROR(VLOOKUP(E61,AnswerFTBL,2,FALSE),0)</f>
        <v>0.2</v>
      </c>
      <c r="H61" s="166"/>
      <c r="I61" s="397"/>
      <c r="J61" s="177"/>
      <c r="K61" s="18">
        <f>IFERROR(VLOOKUP(J61,AnswerFTBL,2,FALSE),0)</f>
        <v>0</v>
      </c>
      <c r="L61" s="109"/>
      <c r="M61" s="379"/>
      <c r="N61" s="177"/>
      <c r="O61" s="18">
        <f>IFERROR(VLOOKUP(N61,AnswerFTBL,2,FALSE),0)</f>
        <v>0</v>
      </c>
      <c r="P61" s="109"/>
      <c r="Q61" s="379"/>
      <c r="R61" s="177"/>
      <c r="S61" s="18">
        <f>IFERROR(VLOOKUP(R61,AnswerFTBL,2,FALSE),0)</f>
        <v>0</v>
      </c>
      <c r="T61" s="109"/>
      <c r="U61" s="379"/>
      <c r="V61" s="177"/>
      <c r="W61" s="18">
        <f>IFERROR(VLOOKUP(V61,AnswerFTBL,2,FALSE),0)</f>
        <v>0</v>
      </c>
      <c r="X61" s="109"/>
      <c r="Y61" s="379"/>
    </row>
    <row r="62" spans="1:25" ht="12.75" customHeight="1" x14ac:dyDescent="0.1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426" t="s">
        <v>186</v>
      </c>
      <c r="C63" s="389" t="str">
        <f>Interview!C185</f>
        <v>Do stakeholders review access control matrices for relevant projects?</v>
      </c>
      <c r="D63" s="390"/>
      <c r="E63" s="30" t="str">
        <f>Interview!E185</f>
        <v>Yes, a small percentage are/do</v>
      </c>
      <c r="F63" s="18">
        <v>10</v>
      </c>
      <c r="G63" s="18">
        <f>IFERROR(VLOOKUP(E63,AnswerCTBL,2,FALSE),0)</f>
        <v>0.2</v>
      </c>
      <c r="H63" s="166">
        <f>IFERROR(AVERAGE(G63,G64),0)</f>
        <v>0.2</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15">
      <c r="A64"/>
      <c r="B64" s="428"/>
      <c r="C64" s="384" t="str">
        <f>Interview!C192</f>
        <v>Do project teams specify requirements based on feedback from other security activities?</v>
      </c>
      <c r="D64" s="385"/>
      <c r="E64" s="30" t="str">
        <f>Interview!E192</f>
        <v>Yes, a small percentage are/do</v>
      </c>
      <c r="F64" s="18">
        <v>11</v>
      </c>
      <c r="G64" s="18">
        <f>IFERROR(VLOOKUP(E64,AnswerCTBL,2,FALSE),0)</f>
        <v>0.2</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1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432" t="s">
        <v>193</v>
      </c>
      <c r="C66" s="423" t="str">
        <f>Interview!C196</f>
        <v>Do stakeholders review vendor agreements for security requirements?</v>
      </c>
      <c r="D66" s="434"/>
      <c r="E66" s="164" t="str">
        <f>Interview!E196</f>
        <v>No</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15">
      <c r="A67"/>
      <c r="B67" s="433"/>
      <c r="C67" s="424" t="str">
        <f>Interview!C199</f>
        <v>Are audits performed against the security requirements specified by project teams?</v>
      </c>
      <c r="D67" s="435"/>
      <c r="E67" s="165" t="str">
        <f>Interview!E199</f>
        <v>No</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15">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426" t="s">
        <v>200</v>
      </c>
      <c r="C69" s="389" t="str">
        <f>Interview!C206</f>
        <v>Are project teams provided with a list of recommended third-party components?</v>
      </c>
      <c r="D69" s="390"/>
      <c r="E69" s="30" t="str">
        <f>Interview!E206</f>
        <v>Yes, there is a standard set</v>
      </c>
      <c r="F69" s="18">
        <v>14</v>
      </c>
      <c r="G69" s="18">
        <f>IFERROR(VLOOKUP(E69,AnswerFTBL,2,FALSE),0)</f>
        <v>0.5</v>
      </c>
      <c r="H69" s="166">
        <f>IFERROR(AVERAGE(G69,G70),0)</f>
        <v>0.35</v>
      </c>
      <c r="I69" s="396">
        <f>SUM(H69,H72,H75)</f>
        <v>1.2</v>
      </c>
      <c r="J69" s="176"/>
      <c r="K69" s="18">
        <f>IFERROR(VLOOKUP(J69,AnswerFTBL,2,FALSE),0)</f>
        <v>0</v>
      </c>
      <c r="L69" s="109">
        <f>IFERROR(AVERAGE(K69,K70),0)</f>
        <v>0</v>
      </c>
      <c r="M69" s="378">
        <f>SUM(L69,L72,L75)</f>
        <v>0</v>
      </c>
      <c r="N69" s="176"/>
      <c r="O69" s="18">
        <f>IFERROR(VLOOKUP(N69,AnswerFTBL,2,FALSE),0)</f>
        <v>0</v>
      </c>
      <c r="P69" s="109">
        <f>IFERROR(AVERAGE(O69,O70),0)</f>
        <v>0</v>
      </c>
      <c r="Q69" s="378">
        <f>SUM(P69,P72,P75)</f>
        <v>0</v>
      </c>
      <c r="R69" s="176"/>
      <c r="S69" s="18">
        <f>IFERROR(VLOOKUP(R69,AnswerFTBL,2,FALSE),0)</f>
        <v>0</v>
      </c>
      <c r="T69" s="109">
        <f>IFERROR(AVERAGE(S69,S70),0)</f>
        <v>0</v>
      </c>
      <c r="U69" s="378">
        <f>SUM(T69,T72,T75)</f>
        <v>0</v>
      </c>
      <c r="V69" s="176"/>
      <c r="W69" s="18">
        <f>IFERROR(VLOOKUP(V69,AnswerFTBL,2,FALSE),0)</f>
        <v>0</v>
      </c>
      <c r="X69" s="109">
        <f>IFERROR(AVERAGE(W69,W70),0)</f>
        <v>0</v>
      </c>
      <c r="Y69" s="378">
        <f>SUM(X69,X72,X75)</f>
        <v>0</v>
      </c>
    </row>
    <row r="70" spans="1:25" ht="12.75" customHeight="1" x14ac:dyDescent="0.15">
      <c r="A70"/>
      <c r="B70" s="428"/>
      <c r="C70" s="384" t="str">
        <f>Interview!C211</f>
        <v>Are project teams aware of secure design principles and do they apply them consistently?</v>
      </c>
      <c r="D70" s="385"/>
      <c r="E70" s="30" t="str">
        <f>Interview!E211</f>
        <v>Yes, a small percentage are/do</v>
      </c>
      <c r="F70" s="18">
        <v>15</v>
      </c>
      <c r="G70" s="18">
        <f>IFERROR(VLOOKUP(E70,AnswerCTBL,2,FALSE),0)</f>
        <v>0.2</v>
      </c>
      <c r="H70" s="166"/>
      <c r="I70" s="397"/>
      <c r="J70" s="177"/>
      <c r="K70" s="18">
        <f>IFERROR(VLOOKUP(J70,AnswerCTBL,2,FALSE),0)</f>
        <v>0</v>
      </c>
      <c r="L70" s="109"/>
      <c r="M70" s="379"/>
      <c r="N70" s="177"/>
      <c r="O70" s="18">
        <f>IFERROR(VLOOKUP(N70,AnswerCTBL,2,FALSE),0)</f>
        <v>0</v>
      </c>
      <c r="P70" s="109"/>
      <c r="Q70" s="379"/>
      <c r="R70" s="177"/>
      <c r="S70" s="18">
        <f>IFERROR(VLOOKUP(R70,AnswerCTBL,2,FALSE),0)</f>
        <v>0</v>
      </c>
      <c r="T70" s="109"/>
      <c r="U70" s="379"/>
      <c r="V70" s="177"/>
      <c r="W70" s="18">
        <f>IFERROR(VLOOKUP(V70,AnswerCTBL,2,FALSE),0)</f>
        <v>0</v>
      </c>
      <c r="X70" s="109"/>
      <c r="Y70" s="379"/>
    </row>
    <row r="71" spans="1:25" ht="12.75" customHeight="1" x14ac:dyDescent="0.1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426" t="s">
        <v>207</v>
      </c>
      <c r="C72" s="389" t="str">
        <f>Interview!C216</f>
        <v>Do you advertise shared security services with guidance for project teams?</v>
      </c>
      <c r="D72" s="390"/>
      <c r="E72" s="30" t="str">
        <f>Interview!E216</f>
        <v>No</v>
      </c>
      <c r="F72" s="18">
        <v>16</v>
      </c>
      <c r="G72" s="18">
        <f>IFERROR(VLOOKUP(E72,AnswerGTBL,2,FALSE),0)</f>
        <v>0</v>
      </c>
      <c r="H72" s="166">
        <f>IFERROR(AVERAGE(G72,G73),0)</f>
        <v>0.25</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15">
      <c r="A73"/>
      <c r="B73" s="428"/>
      <c r="C73" s="384" t="str">
        <f>Interview!C223</f>
        <v>Are project teams provided with prescriptive design patterns based on their application architecture?</v>
      </c>
      <c r="D73" s="385"/>
      <c r="E73" s="30" t="str">
        <f>Interview!E223</f>
        <v>Yes, there is a standard set</v>
      </c>
      <c r="F73" s="18">
        <v>17</v>
      </c>
      <c r="G73" s="18">
        <f>IFERROR(VLOOKUP(E73,AnswerFTBL,2,FALSE),0)</f>
        <v>0.5</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1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426" t="s">
        <v>217</v>
      </c>
      <c r="C75" s="389" t="str">
        <f>Interview!C229</f>
        <v>Do project teams build software from centrally-controlled platforms and frameworks?</v>
      </c>
      <c r="D75" s="390"/>
      <c r="E75" s="30" t="str">
        <f>Interview!E229</f>
        <v>Yes, the majority of them are/do</v>
      </c>
      <c r="F75" s="18">
        <v>18</v>
      </c>
      <c r="G75" s="18">
        <f>IFERROR(VLOOKUP(E75,AnswerCTBL,2,FALSE),0)</f>
        <v>1</v>
      </c>
      <c r="H75" s="166">
        <f>IFERROR(AVERAGE(G75,G76),0)</f>
        <v>0.6</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15">
      <c r="A76"/>
      <c r="B76" s="427"/>
      <c r="C76" s="382" t="str">
        <f>Interview!C233</f>
        <v>Are project teams audited for the use of secure architecture components?</v>
      </c>
      <c r="D76" s="383"/>
      <c r="E76" s="30" t="str">
        <f>Interview!E233</f>
        <v>Yes, we did it once</v>
      </c>
      <c r="F76" s="18">
        <v>19</v>
      </c>
      <c r="G76" s="18">
        <f>IFERROR(VLOOKUP(E76,AnswerDTBL,2,FALSE),0)</f>
        <v>0.2</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15">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15">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25" t="s">
        <v>224</v>
      </c>
      <c r="C79" s="394" t="str">
        <f>Interview!C239</f>
        <v>Do project teams document the attack perimeter of software designs?</v>
      </c>
      <c r="D79" s="395"/>
      <c r="E79" s="155" t="str">
        <f>Interview!E239</f>
        <v>No</v>
      </c>
      <c r="F79" s="18">
        <v>1</v>
      </c>
      <c r="G79" s="18">
        <f>IFERROR(VLOOKUP(E79,AnswerCTBL,2,FALSE),0)</f>
        <v>0</v>
      </c>
      <c r="H79" s="166">
        <f>IFERROR(AVERAGE(G79,G80),0)</f>
        <v>0.1</v>
      </c>
      <c r="I79" s="398">
        <f>SUM(H79,H82,H85)</f>
        <v>1.0499999999999998</v>
      </c>
      <c r="J79" s="176"/>
      <c r="K79" s="18">
        <f>IFERROR(VLOOKUP(J79,AnswerCTBL,2,FALSE),0)</f>
        <v>0</v>
      </c>
      <c r="L79" s="109">
        <f>IFERROR(AVERAGE(K79,K80),0)</f>
        <v>0</v>
      </c>
      <c r="M79" s="367">
        <f>SUM(L79,L82,L85)</f>
        <v>0</v>
      </c>
      <c r="N79" s="176"/>
      <c r="O79" s="18">
        <f>IFERROR(VLOOKUP(N79,AnswerCTBL,2,FALSE),0)</f>
        <v>0</v>
      </c>
      <c r="P79" s="109">
        <f>IFERROR(AVERAGE(O79,O80),0)</f>
        <v>0</v>
      </c>
      <c r="Q79" s="367">
        <f>SUM(P79,P82,P85)</f>
        <v>0</v>
      </c>
      <c r="R79" s="176"/>
      <c r="S79" s="18">
        <f>IFERROR(VLOOKUP(R79,AnswerCTBL,2,FALSE),0)</f>
        <v>0</v>
      </c>
      <c r="T79" s="109">
        <f>IFERROR(AVERAGE(S79,S80),0)</f>
        <v>0</v>
      </c>
      <c r="U79" s="367">
        <f>SUM(T79,T82,T85)</f>
        <v>0</v>
      </c>
      <c r="V79" s="176"/>
      <c r="W79" s="18">
        <f>IFERROR(VLOOKUP(V79,AnswerCTBL,2,FALSE),0)</f>
        <v>0</v>
      </c>
      <c r="X79" s="109">
        <f>IFERROR(AVERAGE(W79,W80),0)</f>
        <v>0</v>
      </c>
      <c r="Y79" s="367">
        <f>SUM(X79,X82,X85)</f>
        <v>0</v>
      </c>
    </row>
    <row r="80" spans="1:25" ht="12.75" customHeight="1" x14ac:dyDescent="0.15">
      <c r="A80"/>
      <c r="B80" s="417"/>
      <c r="C80" s="384" t="str">
        <f>Interview!C247</f>
        <v>Do project teams check software designs against known security risks?</v>
      </c>
      <c r="D80" s="385"/>
      <c r="E80" s="30" t="str">
        <f>Interview!E247</f>
        <v>Yes, a small percentage are/do</v>
      </c>
      <c r="F80" s="18">
        <v>2</v>
      </c>
      <c r="G80" s="18">
        <f>IFERROR(VLOOKUP(E80,AnswerCTBL,2,FALSE),0)</f>
        <v>0.2</v>
      </c>
      <c r="H80" s="166"/>
      <c r="I80" s="399"/>
      <c r="J80" s="177"/>
      <c r="K80" s="18">
        <f>IFERROR(VLOOKUP(J80,AnswerCTBL,2,FALSE),0)</f>
        <v>0</v>
      </c>
      <c r="L80" s="109"/>
      <c r="M80" s="368"/>
      <c r="N80" s="177"/>
      <c r="O80" s="18">
        <f>IFERROR(VLOOKUP(N80,AnswerCTBL,2,FALSE),0)</f>
        <v>0</v>
      </c>
      <c r="P80" s="109"/>
      <c r="Q80" s="368"/>
      <c r="R80" s="177"/>
      <c r="S80" s="18">
        <f>IFERROR(VLOOKUP(R80,AnswerCTBL,2,FALSE),0)</f>
        <v>0</v>
      </c>
      <c r="T80" s="109"/>
      <c r="U80" s="368"/>
      <c r="V80" s="177"/>
      <c r="W80" s="18">
        <f>IFERROR(VLOOKUP(V80,AnswerCTBL,2,FALSE),0)</f>
        <v>0</v>
      </c>
      <c r="X80" s="109"/>
      <c r="Y80" s="368"/>
    </row>
    <row r="81" spans="1:25" ht="12.75" customHeight="1" x14ac:dyDescent="0.1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15" t="s">
        <v>237</v>
      </c>
      <c r="C82" s="389" t="str">
        <f>Interview!C254</f>
        <v>Do project teams specifically analyze design elements for security mechanisms?</v>
      </c>
      <c r="D82" s="390"/>
      <c r="E82" s="30" t="str">
        <f>Interview!E254</f>
        <v>Yes, a small percentage are/do</v>
      </c>
      <c r="F82" s="18">
        <v>3</v>
      </c>
      <c r="G82" s="18">
        <f>IFERROR(VLOOKUP(E82,AnswerCTBL,2,FALSE),0)</f>
        <v>0.2</v>
      </c>
      <c r="H82" s="166">
        <f>IFERROR(AVERAGE(G82,G83),0)</f>
        <v>0.6</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15">
      <c r="A83"/>
      <c r="B83" s="417"/>
      <c r="C83" s="384" t="str">
        <f>Interview!C259</f>
        <v>Are project stakeholders aware of how to obtain a formal secure design review?</v>
      </c>
      <c r="D83" s="385"/>
      <c r="E83" s="30" t="str">
        <f>Interview!E259</f>
        <v>Yes, most of them are aware</v>
      </c>
      <c r="F83" s="18">
        <v>4</v>
      </c>
      <c r="G83" s="18">
        <f>IFERROR(VLOOKUP(E83,AnswerBTBL,2,FALSE),0)</f>
        <v>1</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1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15" t="s">
        <v>244</v>
      </c>
      <c r="C85" s="389" t="str">
        <f>Interview!C265</f>
        <v>Does the secure design review process incorporate detailed data-level analysis?</v>
      </c>
      <c r="D85" s="390"/>
      <c r="E85" s="30" t="str">
        <f>Interview!E265</f>
        <v>Yes, a small percentage are/do</v>
      </c>
      <c r="F85" s="18">
        <v>5</v>
      </c>
      <c r="G85" s="18">
        <f>IFERROR(VLOOKUP(E85,AnswerCTBL,2,FALSE),0)</f>
        <v>0.2</v>
      </c>
      <c r="H85" s="166">
        <f>IFERROR(AVERAGE(G85,G86),0)</f>
        <v>0.35</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15">
      <c r="A86"/>
      <c r="B86" s="417"/>
      <c r="C86" s="384" t="str">
        <f>Interview!C270</f>
        <v>Does a minimum security baseline exist for secure design review results?</v>
      </c>
      <c r="D86" s="385"/>
      <c r="E86" s="30" t="str">
        <f>Interview!E270</f>
        <v>Yes, there is a standard set</v>
      </c>
      <c r="F86" s="18">
        <v>6</v>
      </c>
      <c r="G86" s="18">
        <f>IFERROR(VLOOKUP(E86,AnswerFTBL,2,FALSE),0)</f>
        <v>0.5</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15">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21" t="s">
        <v>378</v>
      </c>
      <c r="C88" s="423" t="str">
        <f>Interview!C277</f>
        <v>Do project teams have review checklists based on common security related problems?</v>
      </c>
      <c r="D88" s="390"/>
      <c r="E88" s="162" t="str">
        <f>Interview!E277</f>
        <v>Yes, localized to business areas</v>
      </c>
      <c r="F88" s="161">
        <v>7</v>
      </c>
      <c r="G88" s="18">
        <f>IFERROR(VLOOKUP(E88,AnswerGTBL,2,FALSE),0)</f>
        <v>0.2</v>
      </c>
      <c r="H88" s="166">
        <f>IFERROR(AVERAGE(G88,G89),0)</f>
        <v>0.35</v>
      </c>
      <c r="I88" s="398">
        <f>SUM(H88,H91,H94)</f>
        <v>1.0499999999999998</v>
      </c>
      <c r="J88" s="176"/>
      <c r="K88" s="18">
        <f>IFERROR(VLOOKUP(J88,AnswerGTBL,2,FALSE),0)</f>
        <v>0</v>
      </c>
      <c r="L88" s="109">
        <f>IFERROR(AVERAGE(K88,K89),0)</f>
        <v>0</v>
      </c>
      <c r="M88" s="367">
        <f>SUM(L88,L91,L94)</f>
        <v>0</v>
      </c>
      <c r="N88" s="176"/>
      <c r="O88" s="18">
        <f>IFERROR(VLOOKUP(N88,AnswerGTBL,2,FALSE),0)</f>
        <v>0</v>
      </c>
      <c r="P88" s="109">
        <f>IFERROR(AVERAGE(O88,O89),0)</f>
        <v>0</v>
      </c>
      <c r="Q88" s="367">
        <f>SUM(P88,P91,P94)</f>
        <v>0</v>
      </c>
      <c r="R88" s="176"/>
      <c r="S88" s="18">
        <f>IFERROR(VLOOKUP(R88,AnswerGTBL,2,FALSE),0)</f>
        <v>0</v>
      </c>
      <c r="T88" s="109">
        <f>IFERROR(AVERAGE(S88,S89),0)</f>
        <v>0</v>
      </c>
      <c r="U88" s="367">
        <f>SUM(T88,T91,T94)</f>
        <v>0</v>
      </c>
      <c r="V88" s="176"/>
      <c r="W88" s="18">
        <f>IFERROR(VLOOKUP(V88,AnswerGTBL,2,FALSE),0)</f>
        <v>0</v>
      </c>
      <c r="X88" s="109">
        <f>IFERROR(AVERAGE(W88,W89),0)</f>
        <v>0</v>
      </c>
      <c r="Y88" s="367">
        <f>SUM(X88,X91,X94)</f>
        <v>0</v>
      </c>
    </row>
    <row r="89" spans="1:25" ht="12.75" customHeight="1" x14ac:dyDescent="0.15">
      <c r="A89"/>
      <c r="B89" s="422"/>
      <c r="C89" s="424" t="str">
        <f>Interview!C281</f>
        <v>Do project teams review selected high-risk code?</v>
      </c>
      <c r="D89" s="385"/>
      <c r="E89" s="163" t="str">
        <f>Interview!E281</f>
        <v>Yes, at least half of them are/do</v>
      </c>
      <c r="F89" s="161">
        <v>8</v>
      </c>
      <c r="G89" s="18">
        <f>IFERROR(VLOOKUP(E89,AnswerCTBL,2,FALSE),0)</f>
        <v>0.5</v>
      </c>
      <c r="H89" s="166"/>
      <c r="I89" s="399"/>
      <c r="J89" s="177"/>
      <c r="K89" s="18">
        <f>IFERROR(VLOOKUP(J89,AnswerCTBL,2,FALSE),0)</f>
        <v>0</v>
      </c>
      <c r="L89" s="109"/>
      <c r="M89" s="368"/>
      <c r="N89" s="177"/>
      <c r="O89" s="18">
        <f>IFERROR(VLOOKUP(N89,AnswerCTBL,2,FALSE),0)</f>
        <v>0</v>
      </c>
      <c r="P89" s="109"/>
      <c r="Q89" s="368"/>
      <c r="R89" s="177"/>
      <c r="S89" s="18">
        <f>IFERROR(VLOOKUP(R89,AnswerCTBL,2,FALSE),0)</f>
        <v>0</v>
      </c>
      <c r="T89" s="109"/>
      <c r="U89" s="368"/>
      <c r="V89" s="177"/>
      <c r="W89" s="18">
        <f>IFERROR(VLOOKUP(V89,AnswerCTBL,2,FALSE),0)</f>
        <v>0</v>
      </c>
      <c r="X89" s="109"/>
      <c r="Y89" s="368"/>
    </row>
    <row r="90" spans="1:25" ht="12.75" customHeight="1" x14ac:dyDescent="0.1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15" t="s">
        <v>379</v>
      </c>
      <c r="C91" s="389" t="str">
        <f>Interview!C287</f>
        <v>Can project teams access automated code analysis tools to find security problems?</v>
      </c>
      <c r="D91" s="390"/>
      <c r="E91" s="30" t="str">
        <f>Interview!E287</f>
        <v>Yes, there is a standard set</v>
      </c>
      <c r="F91" s="18">
        <v>9</v>
      </c>
      <c r="G91" s="18">
        <f>IFERROR(VLOOKUP(E91,AnswerFTBL,2,FALSE),0)</f>
        <v>0.5</v>
      </c>
      <c r="H91" s="166">
        <f>IFERROR(AVERAGE(G91,G92),0)</f>
        <v>0.35</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15">
      <c r="A92"/>
      <c r="B92" s="417"/>
      <c r="C92" s="384" t="str">
        <f>Interview!C291</f>
        <v>Do stakeholders consistently review results from code reviews?</v>
      </c>
      <c r="D92" s="385"/>
      <c r="E92" s="30" t="str">
        <f>Interview!E291</f>
        <v>Yes, a small percentage are/do</v>
      </c>
      <c r="F92" s="18">
        <v>10</v>
      </c>
      <c r="G92" s="18">
        <f>IFERROR(VLOOKUP(E92,AnswerCTBL,2,FALSE),0)</f>
        <v>0.2</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1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15" t="s">
        <v>380</v>
      </c>
      <c r="C94" s="389" t="str">
        <f>Interview!C296</f>
        <v>Do project teams utilize automation to check code against application-specific coding standards?</v>
      </c>
      <c r="D94" s="390"/>
      <c r="E94" s="30" t="str">
        <f>Interview!E296</f>
        <v>Yes, localized to business areas</v>
      </c>
      <c r="F94" s="18">
        <v>11</v>
      </c>
      <c r="G94" s="18">
        <f>IFERROR(VLOOKUP(E94,AnswerGTBL,2,FALSE),0)</f>
        <v>0.2</v>
      </c>
      <c r="H94" s="166">
        <f>IFERROR(AVERAGE(G94,G95),0)</f>
        <v>0.35</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15">
      <c r="A95"/>
      <c r="B95" s="417"/>
      <c r="C95" s="384" t="str">
        <f>Interview!C299</f>
        <v>Does a minimum security baseline exist for code review results?</v>
      </c>
      <c r="D95" s="385"/>
      <c r="E95" s="30" t="str">
        <f>Interview!E299</f>
        <v>Yes, there is a standard set</v>
      </c>
      <c r="F95" s="18">
        <v>12</v>
      </c>
      <c r="G95" s="18">
        <f>IFERROR(VLOOKUP(E95,AnswerFTBL,2,FALSE),0)</f>
        <v>0.5</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15">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415" t="s">
        <v>266</v>
      </c>
      <c r="C97" s="389" t="str">
        <f>Interview!C304</f>
        <v>Do projects specify security testing based on defined security requirements?</v>
      </c>
      <c r="D97" s="390"/>
      <c r="E97" s="30" t="str">
        <f>Interview!E304</f>
        <v>Yes, a small percentage are/do</v>
      </c>
      <c r="F97" s="18">
        <v>13</v>
      </c>
      <c r="G97" s="18">
        <f>IFERROR(VLOOKUP(E97,AnswerCTBL,2,FALSE),0)</f>
        <v>0.2</v>
      </c>
      <c r="H97" s="166">
        <f>IFERROR(AVERAGE(G97,G98,G99),0)</f>
        <v>6.6666666666666666E-2</v>
      </c>
      <c r="I97" s="398">
        <f>SUM(H97,H101,H104)</f>
        <v>0.26666666666666666</v>
      </c>
      <c r="J97" s="176"/>
      <c r="K97" s="18">
        <f>IFERROR(VLOOKUP(J97,AnswerCTBL,2,FALSE),0)</f>
        <v>0</v>
      </c>
      <c r="L97" s="109">
        <f>IFERROR(AVERAGE(K97,K98,K99),0)</f>
        <v>0</v>
      </c>
      <c r="M97" s="367">
        <f>SUM(L97,L101,L104)</f>
        <v>0</v>
      </c>
      <c r="N97" s="176"/>
      <c r="O97" s="18">
        <f>IFERROR(VLOOKUP(N97,AnswerCTBL,2,FALSE),0)</f>
        <v>0</v>
      </c>
      <c r="P97" s="109">
        <f>IFERROR(AVERAGE(O97,O98,O99),0)</f>
        <v>0</v>
      </c>
      <c r="Q97" s="367">
        <f>SUM(P97,P101,P104)</f>
        <v>0</v>
      </c>
      <c r="R97" s="176"/>
      <c r="S97" s="18">
        <f>IFERROR(VLOOKUP(R97,AnswerCTBL,2,FALSE),0)</f>
        <v>0</v>
      </c>
      <c r="T97" s="109">
        <f>IFERROR(AVERAGE(S97,S98,S99),0)</f>
        <v>0</v>
      </c>
      <c r="U97" s="367">
        <f>SUM(T97,T101,T104)</f>
        <v>0</v>
      </c>
      <c r="V97" s="176"/>
      <c r="W97" s="18">
        <f>IFERROR(VLOOKUP(V97,AnswerCTBL,2,FALSE),0)</f>
        <v>0</v>
      </c>
      <c r="X97" s="109">
        <f>IFERROR(AVERAGE(W97,W98,W99),0)</f>
        <v>0</v>
      </c>
      <c r="Y97" s="367">
        <f>SUM(X97,X101,X104)</f>
        <v>0</v>
      </c>
    </row>
    <row r="98" spans="1:25" ht="12.75" customHeight="1" x14ac:dyDescent="0.15">
      <c r="A98"/>
      <c r="B98" s="416"/>
      <c r="C98" s="382" t="str">
        <f>Interview!C309</f>
        <v>Is penetration testing performed on high risk projects prior to release?</v>
      </c>
      <c r="D98" s="383"/>
      <c r="E98" s="30" t="str">
        <f>Interview!E309</f>
        <v>No</v>
      </c>
      <c r="F98" s="18">
        <v>14</v>
      </c>
      <c r="G98" s="18">
        <f>IFERROR(VLOOKUP(E98,AnswerCTBL,2,FALSE),0)</f>
        <v>0</v>
      </c>
      <c r="H98" s="166"/>
      <c r="I98" s="399"/>
      <c r="J98" s="177"/>
      <c r="K98" s="18">
        <f>IFERROR(VLOOKUP(J98,AnswerCTBL,2,FALSE),0)</f>
        <v>0</v>
      </c>
      <c r="L98" s="109"/>
      <c r="M98" s="368"/>
      <c r="N98" s="177"/>
      <c r="O98" s="18">
        <f>IFERROR(VLOOKUP(N98,AnswerCTBL,2,FALSE),0)</f>
        <v>0</v>
      </c>
      <c r="P98" s="109"/>
      <c r="Q98" s="368"/>
      <c r="R98" s="177"/>
      <c r="S98" s="18">
        <f>IFERROR(VLOOKUP(R98,AnswerCTBL,2,FALSE),0)</f>
        <v>0</v>
      </c>
      <c r="T98" s="109"/>
      <c r="U98" s="368"/>
      <c r="V98" s="177"/>
      <c r="W98" s="18">
        <f>IFERROR(VLOOKUP(V98,AnswerCTBL,2,FALSE),0)</f>
        <v>0</v>
      </c>
      <c r="X98" s="109"/>
      <c r="Y98" s="368"/>
    </row>
    <row r="99" spans="1:25" ht="12.75" customHeight="1" x14ac:dyDescent="0.15">
      <c r="A99"/>
      <c r="B99" s="417"/>
      <c r="C99" s="384" t="str">
        <f>Interview!C314</f>
        <v>Are stakeholders aware of the security test status prior to release?</v>
      </c>
      <c r="D99" s="385"/>
      <c r="E99" s="30" t="str">
        <f>Interview!E314</f>
        <v>No</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1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15" t="s">
        <v>276</v>
      </c>
      <c r="C101" s="389" t="str">
        <f>Interview!C320</f>
        <v>Do projects use automation to evaluate security test cases?</v>
      </c>
      <c r="D101" s="390"/>
      <c r="E101" s="30" t="str">
        <f>Interview!E320</f>
        <v>Yes, a small percentage are/do</v>
      </c>
      <c r="F101" s="18">
        <v>16</v>
      </c>
      <c r="G101" s="18">
        <f>IFERROR(VLOOKUP(E101,AnswerCTBL,2,FALSE),0)</f>
        <v>0.2</v>
      </c>
      <c r="H101" s="166">
        <f>IFERROR(AVERAGE(G101,G102),0)</f>
        <v>0.2</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15">
      <c r="A102"/>
      <c r="B102" s="417"/>
      <c r="C102" s="384" t="str">
        <f>Interview!C324</f>
        <v>Do projects follow a consistent process to evaluate and report on security tests to stakeholders?</v>
      </c>
      <c r="D102" s="385"/>
      <c r="E102" s="30" t="str">
        <f>Interview!E324</f>
        <v>Yes, a small percentage are/do</v>
      </c>
      <c r="F102" s="18">
        <v>17</v>
      </c>
      <c r="G102" s="18">
        <f>IFERROR(VLOOKUP(E102,AnswerCTBL,2,FALSE),0)</f>
        <v>0.2</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1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15" t="s">
        <v>281</v>
      </c>
      <c r="C104" s="389" t="str">
        <f>Interview!C329</f>
        <v>Are security test cases comprehensively generated for application-specific logic?</v>
      </c>
      <c r="D104" s="390"/>
      <c r="E104" s="30" t="str">
        <f>Interview!E329</f>
        <v>No</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15">
      <c r="A105"/>
      <c r="B105" s="416"/>
      <c r="C105" s="382" t="str">
        <f>Interview!C332</f>
        <v xml:space="preserve">Does a minimum security baseline exist for security testing? </v>
      </c>
      <c r="D105" s="383"/>
      <c r="E105" s="30" t="str">
        <f>Interview!E332</f>
        <v>No</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15">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15">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402" t="s">
        <v>375</v>
      </c>
      <c r="C108" s="389" t="str">
        <f>Interview!C338</f>
        <v>Do projects have a point of contact for security issues or incidents?</v>
      </c>
      <c r="D108" s="390"/>
      <c r="E108" s="29" t="str">
        <f>Interview!E338</f>
        <v>Yes, a small percentage are/do</v>
      </c>
      <c r="F108" s="152">
        <v>1</v>
      </c>
      <c r="G108" s="152">
        <f>IFERROR(VLOOKUP(E108,AnswerCTBL,2,FALSE),0)</f>
        <v>0.2</v>
      </c>
      <c r="H108" s="208">
        <f>IFERROR(AVERAGE(G108,G109,G110),0)</f>
        <v>0.46666666666666662</v>
      </c>
      <c r="I108" s="400">
        <f>SUM(H108,H112,H115)</f>
        <v>1.0666666666666667</v>
      </c>
      <c r="J108" s="176"/>
      <c r="K108" s="18">
        <f>IFERROR(VLOOKUP(J108,AnswerCTBL,2,FALSE),0)</f>
        <v>0</v>
      </c>
      <c r="L108" s="109">
        <f>IFERROR(AVERAGE(K108,K109,K110),0)</f>
        <v>0</v>
      </c>
      <c r="M108" s="376">
        <f>SUM(L108,L112,L115)</f>
        <v>0</v>
      </c>
      <c r="N108" s="176"/>
      <c r="O108" s="18">
        <f>IFERROR(VLOOKUP(N108,AnswerCTBL,2,FALSE),0)</f>
        <v>0</v>
      </c>
      <c r="P108" s="109">
        <f>IFERROR(AVERAGE(O108,O109,O110),0)</f>
        <v>0</v>
      </c>
      <c r="Q108" s="376">
        <f>SUM(P108,P112,P115)</f>
        <v>0</v>
      </c>
      <c r="R108" s="176"/>
      <c r="S108" s="18">
        <f>IFERROR(VLOOKUP(R108,AnswerCTBL,2,FALSE),0)</f>
        <v>0</v>
      </c>
      <c r="T108" s="109">
        <f>IFERROR(AVERAGE(S108,S109,S110),0)</f>
        <v>0</v>
      </c>
      <c r="U108" s="376">
        <f>SUM(T108,T112,T115)</f>
        <v>0</v>
      </c>
      <c r="V108" s="176"/>
      <c r="W108" s="18">
        <f>IFERROR(VLOOKUP(V108,AnswerCTBL,2,FALSE),0)</f>
        <v>0</v>
      </c>
      <c r="X108" s="109">
        <f>IFERROR(AVERAGE(W108,W109,W110),0)</f>
        <v>0</v>
      </c>
      <c r="Y108" s="376">
        <f>SUM(X108,X112,X115)</f>
        <v>0</v>
      </c>
    </row>
    <row r="109" spans="1:25" ht="12.75" customHeight="1" x14ac:dyDescent="0.15">
      <c r="A109"/>
      <c r="B109" s="414"/>
      <c r="C109" s="382" t="str">
        <f>Interview!C342</f>
        <v>Does your organization have an assigned security response team?</v>
      </c>
      <c r="D109" s="383"/>
      <c r="E109" s="30" t="str">
        <f>Interview!E342</f>
        <v>Yes, it's less than a year old</v>
      </c>
      <c r="F109" s="18">
        <v>2</v>
      </c>
      <c r="G109" s="18">
        <f>IFERROR(VLOOKUP(E109,AnswerATBL,2,FALSE),0)</f>
        <v>0.2</v>
      </c>
      <c r="H109" s="202"/>
      <c r="I109" s="401"/>
      <c r="J109" s="177"/>
      <c r="K109" s="18">
        <f>IFERROR(VLOOKUP(J109,AnswerATBL,2,FALSE),0)</f>
        <v>0</v>
      </c>
      <c r="L109" s="109"/>
      <c r="M109" s="377"/>
      <c r="N109" s="177"/>
      <c r="O109" s="18">
        <f>IFERROR(VLOOKUP(N109,AnswerATBL,2,FALSE),0)</f>
        <v>0</v>
      </c>
      <c r="P109" s="109"/>
      <c r="Q109" s="377"/>
      <c r="R109" s="177"/>
      <c r="S109" s="18">
        <f>IFERROR(VLOOKUP(R109,AnswerATBL,2,FALSE),0)</f>
        <v>0</v>
      </c>
      <c r="T109" s="109"/>
      <c r="U109" s="377"/>
      <c r="V109" s="177"/>
      <c r="W109" s="18">
        <f>IFERROR(VLOOKUP(V109,AnswerATBL,2,FALSE),0)</f>
        <v>0</v>
      </c>
      <c r="X109" s="109"/>
      <c r="Y109" s="377"/>
    </row>
    <row r="110" spans="1:25" ht="12.75" customHeight="1" x14ac:dyDescent="0.15">
      <c r="A110"/>
      <c r="B110" s="403"/>
      <c r="C110" s="384" t="str">
        <f>Interview!C346</f>
        <v>Are project teams aware of their security point(s) of contact and response team(s)?</v>
      </c>
      <c r="D110" s="385"/>
      <c r="E110" s="30" t="str">
        <f>Interview!E346</f>
        <v>Yes, the majority of them are/do</v>
      </c>
      <c r="F110" s="18">
        <v>3</v>
      </c>
      <c r="G110" s="18">
        <f>IFERROR(VLOOKUP(E110,AnswerCTBL,2,FALSE),0)</f>
        <v>1</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1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02" t="s">
        <v>376</v>
      </c>
      <c r="C112" s="389" t="str">
        <f>Interview!C350</f>
        <v>Does the organization utilize a consistent process for incident reporting and handling?</v>
      </c>
      <c r="D112" s="390"/>
      <c r="E112" s="30" t="str">
        <f>Interview!E350</f>
        <v>Yes, localized to business areas</v>
      </c>
      <c r="F112" s="18">
        <v>4</v>
      </c>
      <c r="G112" s="18">
        <f>IFERROR(VLOOKUP(E112,AnswerGTBL,2,FALSE),0)</f>
        <v>0.2</v>
      </c>
      <c r="H112" s="202">
        <f>IFERROR(AVERAGE(G112,G113),0)</f>
        <v>0.6</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15">
      <c r="A113"/>
      <c r="B113" s="403"/>
      <c r="C113" s="384" t="str">
        <f>Interview!C360</f>
        <v>Are project stakeholders aware of relevant security disclosures related to their software projects?</v>
      </c>
      <c r="D113" s="385"/>
      <c r="E113" s="30" t="str">
        <f>Interview!E360</f>
        <v>Yes, the majority of them are/do</v>
      </c>
      <c r="F113" s="18">
        <v>5</v>
      </c>
      <c r="G113" s="18">
        <f>IFERROR(VLOOKUP(E113,AnswerCTBL,2,FALSE),0)</f>
        <v>1</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1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02" t="s">
        <v>377</v>
      </c>
      <c r="C115" s="409" t="str">
        <f>Interview!C364</f>
        <v>Are incidents inspected for root causes to generate further recommendations?</v>
      </c>
      <c r="D115" s="410"/>
      <c r="E115" s="30" t="str">
        <f>Interview!E364</f>
        <v>No</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15">
      <c r="A116"/>
      <c r="B116" s="403"/>
      <c r="C116" s="404" t="str">
        <f>Interview!C370</f>
        <v>Do projects consistently collect and report data and metrics related to incidents?</v>
      </c>
      <c r="D116" s="405"/>
      <c r="E116" s="30" t="str">
        <f>Interview!E370</f>
        <v>No</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15">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402" t="s">
        <v>310</v>
      </c>
      <c r="C118" s="409" t="str">
        <f>Interview!C376</f>
        <v>Do projects document operational environment security requirements?</v>
      </c>
      <c r="D118" s="410"/>
      <c r="E118" s="30" t="str">
        <f>Interview!E376</f>
        <v>Yes, a small percentage are/do</v>
      </c>
      <c r="F118" s="18">
        <v>8</v>
      </c>
      <c r="G118" s="18">
        <f>IFERROR(VLOOKUP(E118,AnswerCTBL,2,FALSE),0)</f>
        <v>0.2</v>
      </c>
      <c r="H118" s="202">
        <f>IFERROR(AVERAGE(G118,G119),0)</f>
        <v>0.2</v>
      </c>
      <c r="I118" s="400">
        <f>SUM(H118,H121,H124)</f>
        <v>0.55000000000000004</v>
      </c>
      <c r="J118" s="176"/>
      <c r="K118" s="18">
        <f>IFERROR(VLOOKUP(J118,AnswerCTBL,2,FALSE),0)</f>
        <v>0</v>
      </c>
      <c r="L118" s="109">
        <f>IFERROR(AVERAGE(K118,K119),0)</f>
        <v>0</v>
      </c>
      <c r="M118" s="376">
        <f>SUM(L118,L121,L124)</f>
        <v>0</v>
      </c>
      <c r="N118" s="176"/>
      <c r="O118" s="18">
        <f>IFERROR(VLOOKUP(N118,AnswerCTBL,2,FALSE),0)</f>
        <v>0</v>
      </c>
      <c r="P118" s="109">
        <f>IFERROR(AVERAGE(O118,O119),0)</f>
        <v>0</v>
      </c>
      <c r="Q118" s="376">
        <f>SUM(P118,P121,P124)</f>
        <v>0</v>
      </c>
      <c r="R118" s="176"/>
      <c r="S118" s="18">
        <f>IFERROR(VLOOKUP(R118,AnswerCTBL,2,FALSE),0)</f>
        <v>0</v>
      </c>
      <c r="T118" s="109">
        <f>IFERROR(AVERAGE(S118,S119),0)</f>
        <v>0</v>
      </c>
      <c r="U118" s="376">
        <f>SUM(T118,T121,T124)</f>
        <v>0</v>
      </c>
      <c r="V118" s="176"/>
      <c r="W118" s="18">
        <f>IFERROR(VLOOKUP(V118,AnswerCTBL,2,FALSE),0)</f>
        <v>0</v>
      </c>
      <c r="X118" s="109">
        <f>IFERROR(AVERAGE(W118,W119),0)</f>
        <v>0</v>
      </c>
      <c r="Y118" s="376">
        <f>SUM(X118,X121,X124)</f>
        <v>0</v>
      </c>
    </row>
    <row r="119" spans="1:25" ht="12" customHeight="1" x14ac:dyDescent="0.15">
      <c r="A119"/>
      <c r="B119" s="403"/>
      <c r="C119" s="404" t="str">
        <f>Interview!C382</f>
        <v>Do projects check for security updates to third-party software components?</v>
      </c>
      <c r="D119" s="405"/>
      <c r="E119" s="30" t="str">
        <f>Interview!E382</f>
        <v>Yes, a small percentage are/do</v>
      </c>
      <c r="F119" s="18">
        <v>9</v>
      </c>
      <c r="G119" s="18">
        <f>IFERROR(VLOOKUP(E119,AnswerCTBL,2,FALSE),0)</f>
        <v>0.2</v>
      </c>
      <c r="H119" s="202"/>
      <c r="I119" s="401"/>
      <c r="J119" s="177"/>
      <c r="K119" s="18">
        <f>IFERROR(VLOOKUP(J119,AnswerCTBL,2,FALSE),0)</f>
        <v>0</v>
      </c>
      <c r="L119" s="109"/>
      <c r="M119" s="377"/>
      <c r="N119" s="177"/>
      <c r="O119" s="18">
        <f>IFERROR(VLOOKUP(N119,AnswerCTBL,2,FALSE),0)</f>
        <v>0</v>
      </c>
      <c r="P119" s="109"/>
      <c r="Q119" s="377"/>
      <c r="R119" s="177"/>
      <c r="S119" s="18">
        <f>IFERROR(VLOOKUP(R119,AnswerCTBL,2,FALSE),0)</f>
        <v>0</v>
      </c>
      <c r="T119" s="109"/>
      <c r="U119" s="377"/>
      <c r="V119" s="177"/>
      <c r="W119" s="18">
        <f>IFERROR(VLOOKUP(V119,AnswerCTBL,2,FALSE),0)</f>
        <v>0</v>
      </c>
      <c r="X119" s="109"/>
      <c r="Y119" s="377"/>
    </row>
    <row r="120" spans="1:25" ht="12.75" customHeight="1" x14ac:dyDescent="0.1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02" t="s">
        <v>317</v>
      </c>
      <c r="C121" s="389" t="str">
        <f>Interview!C387</f>
        <v>Is a consistent process used to apply upgrades and patches to critical dependencies?</v>
      </c>
      <c r="D121" s="390"/>
      <c r="E121" s="30" t="str">
        <f>Interview!E387</f>
        <v>No</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15">
      <c r="A122"/>
      <c r="B122" s="403"/>
      <c r="C122" s="404" t="str">
        <f>Interview!C392</f>
        <v>Do projects leverage automation to check application and environment health?</v>
      </c>
      <c r="D122" s="405"/>
      <c r="E122" s="30" t="str">
        <f>Interview!E392</f>
        <v>No</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1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02" t="s">
        <v>327</v>
      </c>
      <c r="C124" s="389" t="str">
        <f>Interview!C400</f>
        <v>Are stakeholders aware of options for additional tools to protect software while running in operations?</v>
      </c>
      <c r="D124" s="390"/>
      <c r="E124" s="30" t="str">
        <f>Interview!E400</f>
        <v>Yes, there is a standard set</v>
      </c>
      <c r="F124" s="18">
        <v>12</v>
      </c>
      <c r="G124" s="18">
        <f>IFERROR(VLOOKUP(E124,AnswerFTBL,2,FALSE),0)</f>
        <v>0.5</v>
      </c>
      <c r="H124" s="202">
        <f>IFERROR(AVERAGE(G124,G125),0)</f>
        <v>0.35</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15">
      <c r="A125"/>
      <c r="B125" s="403"/>
      <c r="C125" s="384" t="str">
        <f>Interview!C404</f>
        <v>Does a minimum security baseline exist for environment health (versioning, patching, etc)?</v>
      </c>
      <c r="D125" s="385"/>
      <c r="E125" s="30" t="str">
        <f>Interview!E404</f>
        <v>Yes, localized to business areas</v>
      </c>
      <c r="F125" s="18">
        <v>13</v>
      </c>
      <c r="G125" s="18">
        <f>IFERROR(VLOOKUP(E125,AnswerGTBL,2,FALSE),0)</f>
        <v>0.2</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15">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402" t="s">
        <v>8</v>
      </c>
      <c r="C127" s="409" t="str">
        <f>Interview!C411</f>
        <v>Are security notes delivered with each software release?</v>
      </c>
      <c r="D127" s="410"/>
      <c r="E127" s="30" t="str">
        <f>Interview!E411</f>
        <v>Yes, at least half of them are/do</v>
      </c>
      <c r="F127" s="18">
        <v>14</v>
      </c>
      <c r="G127" s="18">
        <f>IFERROR(VLOOKUP(E127,AnswerCTBL,2,FALSE),0)</f>
        <v>0.5</v>
      </c>
      <c r="H127" s="202">
        <f>IFERROR(AVERAGE(G127,G128),0)</f>
        <v>0.75</v>
      </c>
      <c r="I127" s="400">
        <f>SUM(H127,H130,H133)</f>
        <v>2.1</v>
      </c>
      <c r="J127" s="176"/>
      <c r="K127" s="18">
        <f>IFERROR(VLOOKUP(J127,AnswerCTBL,2,FALSE),0)</f>
        <v>0</v>
      </c>
      <c r="L127" s="109">
        <f>IFERROR(AVERAGE(K127,K128),0)</f>
        <v>0</v>
      </c>
      <c r="M127" s="376">
        <f>SUM(L127,L130,L133)</f>
        <v>0</v>
      </c>
      <c r="N127" s="176"/>
      <c r="O127" s="18">
        <f>IFERROR(VLOOKUP(N127,AnswerCTBL,2,FALSE),0)</f>
        <v>0</v>
      </c>
      <c r="P127" s="109">
        <f>IFERROR(AVERAGE(O127,O128),0)</f>
        <v>0</v>
      </c>
      <c r="Q127" s="376">
        <f>SUM(P127,P130,P133)</f>
        <v>0</v>
      </c>
      <c r="R127" s="176"/>
      <c r="S127" s="18">
        <f>IFERROR(VLOOKUP(R127,AnswerCTBL,2,FALSE),0)</f>
        <v>0</v>
      </c>
      <c r="T127" s="109">
        <f>IFERROR(AVERAGE(S127,S128),0)</f>
        <v>0</v>
      </c>
      <c r="U127" s="376">
        <f>SUM(T127,T130,T133)</f>
        <v>0</v>
      </c>
      <c r="V127" s="176"/>
      <c r="W127" s="18">
        <f>IFERROR(VLOOKUP(V127,AnswerCTBL,2,FALSE),0)</f>
        <v>0</v>
      </c>
      <c r="X127" s="109">
        <f>IFERROR(AVERAGE(W127,W128),0)</f>
        <v>0</v>
      </c>
      <c r="Y127" s="376">
        <f>SUM(X127,X130,X133)</f>
        <v>0</v>
      </c>
    </row>
    <row r="128" spans="1:25" ht="12.75" customHeight="1" x14ac:dyDescent="0.15">
      <c r="A128"/>
      <c r="B128" s="403"/>
      <c r="C128" s="404" t="str">
        <f>Interview!C417</f>
        <v>Are security-related alerts and error conditions documented on a per-project basis?</v>
      </c>
      <c r="D128" s="405"/>
      <c r="E128" s="30" t="str">
        <f>Interview!E417</f>
        <v>Yes, the majority of them are/do</v>
      </c>
      <c r="F128" s="18">
        <v>15</v>
      </c>
      <c r="G128" s="18">
        <f>IFERROR(VLOOKUP(E128,AnswerCTBL,2,FALSE),0)</f>
        <v>1</v>
      </c>
      <c r="H128" s="202"/>
      <c r="I128" s="401"/>
      <c r="J128" s="177"/>
      <c r="K128" s="18">
        <f>IFERROR(VLOOKUP(J128,AnswerCTBL,2,FALSE),0)</f>
        <v>0</v>
      </c>
      <c r="L128" s="109"/>
      <c r="M128" s="377"/>
      <c r="N128" s="177"/>
      <c r="O128" s="18">
        <f>IFERROR(VLOOKUP(N128,AnswerCTBL,2,FALSE),0)</f>
        <v>0</v>
      </c>
      <c r="P128" s="109"/>
      <c r="Q128" s="377"/>
      <c r="R128" s="177"/>
      <c r="S128" s="18">
        <f>IFERROR(VLOOKUP(R128,AnswerCTBL,2,FALSE),0)</f>
        <v>0</v>
      </c>
      <c r="T128" s="109"/>
      <c r="U128" s="377"/>
      <c r="V128" s="177"/>
      <c r="W128" s="18">
        <f>IFERROR(VLOOKUP(V128,AnswerCTBL,2,FALSE),0)</f>
        <v>0</v>
      </c>
      <c r="X128" s="109"/>
      <c r="Y128" s="377"/>
    </row>
    <row r="129" spans="1:25" ht="12.75" customHeight="1" x14ac:dyDescent="0.1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02" t="s">
        <v>17</v>
      </c>
      <c r="C130" s="409" t="str">
        <f>Interview!C424</f>
        <v>Do projects utilize a change management process that’s well understood?</v>
      </c>
      <c r="D130" s="410"/>
      <c r="E130" s="30" t="str">
        <f>Interview!E424</f>
        <v>Yes, the majority of them are/do</v>
      </c>
      <c r="F130" s="18">
        <v>16</v>
      </c>
      <c r="G130" s="18">
        <f>IFERROR(VLOOKUP(E130,AnswerCTBL,2,FALSE),0)</f>
        <v>1</v>
      </c>
      <c r="H130" s="202">
        <f>IFERROR(AVERAGE(G130,G131),0)</f>
        <v>1</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15">
      <c r="A131"/>
      <c r="B131" s="403"/>
      <c r="C131" s="384" t="str">
        <f>Interview!C431</f>
        <v>Do project teams deliver an operational security guide with each product release?</v>
      </c>
      <c r="D131" s="385"/>
      <c r="E131" s="30" t="str">
        <f>Interview!E431</f>
        <v>Yes, the majority of them are/do</v>
      </c>
      <c r="F131" s="18">
        <v>17</v>
      </c>
      <c r="G131" s="18">
        <f>IFERROR(VLOOKUP(E131,AnswerCTBL,2,FALSE),0)</f>
        <v>1</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1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02" t="s">
        <v>29</v>
      </c>
      <c r="C133" s="389" t="str">
        <f>Interview!C439</f>
        <v>Are project releases audited for appropriate operational security information?</v>
      </c>
      <c r="D133" s="390"/>
      <c r="E133" s="29" t="str">
        <f>Interview!E439</f>
        <v>Yes, we did it once</v>
      </c>
      <c r="F133" s="152">
        <v>18</v>
      </c>
      <c r="G133" s="152">
        <f>IFERROR(VLOOKUP(E133,AnswerDTBL,2,FALSE),0)</f>
        <v>0.2</v>
      </c>
      <c r="H133" s="208">
        <f>IFERROR(AVERAGE(G133,G134),0)</f>
        <v>0.35</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 customHeight="1" thickBot="1" x14ac:dyDescent="0.2">
      <c r="A134"/>
      <c r="B134" s="403"/>
      <c r="C134" s="384" t="str">
        <f>Interview!C443</f>
        <v>Is code signing routinely performed on software components using a consistent process?</v>
      </c>
      <c r="D134" s="385"/>
      <c r="E134" s="31" t="str">
        <f>Interview!E443</f>
        <v>Yes, but on an adhoc basis</v>
      </c>
      <c r="F134" s="154">
        <v>19</v>
      </c>
      <c r="G134" s="154">
        <f>IFERROR(VLOOKUP(E134,AnswerETBL,2,FALSE),0)</f>
        <v>0.5</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54" t="s">
        <v>474</v>
      </c>
      <c r="B1" s="355"/>
      <c r="C1" s="355"/>
      <c r="D1" s="355"/>
      <c r="E1" s="355"/>
      <c r="F1" s="355"/>
      <c r="G1" s="355"/>
      <c r="H1" s="355"/>
      <c r="I1" s="355"/>
      <c r="J1" s="355"/>
      <c r="K1" s="356"/>
    </row>
    <row r="3" spans="1:31" ht="25" x14ac:dyDescent="0.25">
      <c r="A3" s="39" t="s">
        <v>382</v>
      </c>
      <c r="L3" s="39" t="str">
        <f>A3</f>
        <v>Software Assurance Maturity Model (SAMM) Roadmap</v>
      </c>
    </row>
    <row r="4" spans="1:31" s="42" customFormat="1" ht="14" x14ac:dyDescent="0.15">
      <c r="A4" s="42" t="s">
        <v>54</v>
      </c>
      <c r="B4" s="456" t="str">
        <f>IF(ISBLANK(Interview!D10),"",Interview!D10)</f>
        <v>Universidade do Minho</v>
      </c>
      <c r="C4" s="456"/>
      <c r="L4" s="42" t="str">
        <f>B4</f>
        <v>Universidade do Minho</v>
      </c>
      <c r="O4" s="44"/>
      <c r="P4" s="44"/>
      <c r="Q4" s="44"/>
      <c r="R4" s="44"/>
      <c r="S4" s="44"/>
      <c r="T4" s="44"/>
      <c r="U4" s="44"/>
      <c r="Y4" s="42">
        <v>1</v>
      </c>
      <c r="Z4" s="42">
        <v>1</v>
      </c>
      <c r="AA4" s="42">
        <v>1</v>
      </c>
    </row>
    <row r="5" spans="1:31" s="42" customFormat="1" ht="14" x14ac:dyDescent="0.15">
      <c r="A5" s="42" t="s">
        <v>55</v>
      </c>
      <c r="B5" s="456" t="str">
        <f>IF(ISBLANK(Interview!D11),"",Interview!D11)</f>
        <v>Esteganografia</v>
      </c>
      <c r="C5" s="456"/>
      <c r="L5" s="42" t="str">
        <f>B5</f>
        <v>Esteganografia</v>
      </c>
      <c r="O5" s="44"/>
      <c r="P5" s="44"/>
      <c r="Q5" s="44"/>
      <c r="R5" s="44"/>
      <c r="S5" s="44"/>
      <c r="T5" s="44"/>
      <c r="U5" s="44"/>
    </row>
    <row r="6" spans="1:31" s="42" customFormat="1" ht="14" x14ac:dyDescent="0.15">
      <c r="A6" s="42" t="s">
        <v>383</v>
      </c>
      <c r="B6" s="43" t="s">
        <v>497</v>
      </c>
      <c r="L6" s="242" t="str">
        <f>B6</f>
        <v>v1.0</v>
      </c>
      <c r="O6" s="44"/>
      <c r="P6" s="44"/>
      <c r="Q6" s="44"/>
      <c r="R6" s="44"/>
      <c r="S6" s="44"/>
      <c r="T6" s="44"/>
      <c r="U6" s="44"/>
    </row>
    <row r="7" spans="1:31" s="42" customFormat="1" ht="14" x14ac:dyDescent="0.15">
      <c r="A7" s="42" t="s">
        <v>384</v>
      </c>
      <c r="B7" s="243">
        <v>42794</v>
      </c>
      <c r="O7" s="44"/>
      <c r="P7" s="44"/>
      <c r="Q7" s="44"/>
      <c r="R7" s="44"/>
      <c r="S7" s="44"/>
      <c r="T7" s="44"/>
      <c r="U7" s="44"/>
    </row>
    <row r="8" spans="1:31" s="42" customFormat="1" ht="14" x14ac:dyDescent="0.15">
      <c r="A8" s="42" t="s">
        <v>385</v>
      </c>
      <c r="B8" s="43" t="s">
        <v>498</v>
      </c>
      <c r="L8" s="225"/>
      <c r="M8" s="225"/>
      <c r="N8" s="225"/>
      <c r="O8" s="458"/>
      <c r="P8" s="458"/>
      <c r="Q8" s="458"/>
      <c r="R8" s="458"/>
      <c r="S8" s="458"/>
      <c r="T8" s="458"/>
      <c r="U8" s="458"/>
      <c r="V8" s="458"/>
    </row>
    <row r="9" spans="1:31" s="42" customFormat="1" ht="14" x14ac:dyDescent="0.15">
      <c r="L9" s="226"/>
      <c r="M9" s="226"/>
      <c r="N9" s="226"/>
      <c r="O9" s="458"/>
      <c r="P9" s="458"/>
      <c r="Q9" s="458"/>
      <c r="R9" s="458"/>
      <c r="S9" s="458"/>
      <c r="T9" s="458"/>
      <c r="U9" s="458"/>
      <c r="V9" s="458"/>
    </row>
    <row r="10" spans="1:31" s="42" customFormat="1" ht="15" thickBot="1" x14ac:dyDescent="0.2">
      <c r="A10" s="42" t="s">
        <v>386</v>
      </c>
      <c r="B10" s="45" t="s">
        <v>387</v>
      </c>
      <c r="I10" s="45" t="s">
        <v>388</v>
      </c>
      <c r="L10" s="227" t="s">
        <v>389</v>
      </c>
      <c r="M10" s="227"/>
      <c r="N10" s="227"/>
      <c r="O10" s="455"/>
      <c r="P10" s="455"/>
      <c r="Q10" s="455"/>
      <c r="R10" s="455"/>
      <c r="S10" s="455"/>
      <c r="T10" s="455"/>
      <c r="U10" s="455"/>
      <c r="V10" s="455"/>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0.66666666666666663</v>
      </c>
      <c r="C12" s="218">
        <f>Roadmap!M20</f>
        <v>0</v>
      </c>
      <c r="D12" s="48">
        <f>C12</f>
        <v>0</v>
      </c>
      <c r="E12" s="218">
        <f>Roadmap!Q20</f>
        <v>0</v>
      </c>
      <c r="F12" s="48">
        <f>E12</f>
        <v>0</v>
      </c>
      <c r="G12" s="218">
        <f>Roadmap!U20</f>
        <v>0</v>
      </c>
      <c r="H12" s="49">
        <f>G12</f>
        <v>0</v>
      </c>
      <c r="I12" s="218">
        <f>Roadmap!Y20</f>
        <v>0</v>
      </c>
      <c r="J12" s="49">
        <f>I12</f>
        <v>0</v>
      </c>
      <c r="K12" s="135">
        <f>IFERROR(I12-B12,I12-LEFT(B12,1))</f>
        <v>-0.66666666666666663</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0.66666666666666663</v>
      </c>
    </row>
    <row r="13" spans="1:31" ht="15" customHeight="1" x14ac:dyDescent="0.15">
      <c r="A13" s="102" t="s">
        <v>90</v>
      </c>
      <c r="B13" s="110">
        <f>IF(ISNUMBER(Interview!$J$62),Interview!$J$62,SUM(LEFT(Interview!$J$62),".5"))</f>
        <v>1.4500000000000002</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-1.4500000000000002</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1.4500000000000002</v>
      </c>
    </row>
    <row r="14" spans="1:31" ht="15" customHeight="1" x14ac:dyDescent="0.15">
      <c r="A14" s="103" t="s">
        <v>122</v>
      </c>
      <c r="B14" s="111">
        <f>IF(ISNUMBER(Interview!$J$100),Interview!$J$100,SUM(LEFT(Interview!$J$100),".5"))</f>
        <v>1.85</v>
      </c>
      <c r="C14" s="220">
        <f>Roadmap!M40</f>
        <v>0</v>
      </c>
      <c r="D14" s="50">
        <f>C14</f>
        <v>0</v>
      </c>
      <c r="E14" s="220">
        <f>Roadmap!Q40</f>
        <v>0</v>
      </c>
      <c r="F14" s="50">
        <f>E14</f>
        <v>0</v>
      </c>
      <c r="G14" s="220">
        <f>Roadmap!U40</f>
        <v>0</v>
      </c>
      <c r="H14" s="50">
        <f>G14</f>
        <v>0</v>
      </c>
      <c r="I14" s="220">
        <f>Roadmap!Y40</f>
        <v>0</v>
      </c>
      <c r="J14" s="50">
        <f>I14</f>
        <v>0</v>
      </c>
      <c r="K14" s="135">
        <f t="shared" si="0"/>
        <v>-1.85</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1.85</v>
      </c>
    </row>
    <row r="15" spans="1:31" ht="15" customHeight="1" x14ac:dyDescent="0.15">
      <c r="A15" s="98" t="s">
        <v>150</v>
      </c>
      <c r="B15" s="110">
        <f>IF(ISNUMBER(Interview!$J$138),Interview!$J$138,SUM(LEFT(Interview!$J$138),".5"))</f>
        <v>0.58333333333333326</v>
      </c>
      <c r="C15" s="221">
        <f>Roadmap!M50</f>
        <v>0</v>
      </c>
      <c r="D15" s="51">
        <f>C15</f>
        <v>0</v>
      </c>
      <c r="E15" s="221">
        <f>Roadmap!Q50</f>
        <v>0</v>
      </c>
      <c r="F15" s="51">
        <f>E15</f>
        <v>0</v>
      </c>
      <c r="G15" s="221">
        <f>Roadmap!U50</f>
        <v>0</v>
      </c>
      <c r="H15" s="51">
        <f>G15</f>
        <v>0</v>
      </c>
      <c r="I15" s="221">
        <f>Roadmap!Y50</f>
        <v>0</v>
      </c>
      <c r="J15" s="51">
        <f>I15</f>
        <v>0</v>
      </c>
      <c r="K15" s="135">
        <f t="shared" si="0"/>
        <v>-0.58333333333333326</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0.58333333333333326</v>
      </c>
    </row>
    <row r="16" spans="1:31" ht="15" customHeight="1" x14ac:dyDescent="0.15">
      <c r="A16" s="99" t="s">
        <v>176</v>
      </c>
      <c r="B16" s="110">
        <f>IF(ISNUMBER(Interview!$J173),Interview!$J$173,SUM(LEFT(Interview!$J$173),".5"))</f>
        <v>0.8</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-0.8</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0.8</v>
      </c>
    </row>
    <row r="17" spans="1:31" x14ac:dyDescent="0.15">
      <c r="A17" s="100" t="s">
        <v>199</v>
      </c>
      <c r="B17" s="111">
        <f>IF(ISNUMBER(Interview!$J$206),Interview!$J$206,SUM(LEFT(Interview!$J$206),".5"))</f>
        <v>1.2</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-1.2</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1.2</v>
      </c>
    </row>
    <row r="18" spans="1:31" x14ac:dyDescent="0.15">
      <c r="A18" s="95" t="s">
        <v>43</v>
      </c>
      <c r="B18" s="110">
        <f>IF(ISNUMBER(Interview!$J$239),Interview!$J$239,SUM(LEFT(Interview!$J$239),".5"))</f>
        <v>1.0499999999999998</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-1.0499999999999998</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1.0499999999999998</v>
      </c>
    </row>
    <row r="19" spans="1:31" x14ac:dyDescent="0.15">
      <c r="A19" s="96" t="s">
        <v>381</v>
      </c>
      <c r="B19" s="110">
        <f>IF(ISNUMBER(Interview!$J$277),Interview!$J$277,SUM(LEFT(Interview!$J$277),".5"))</f>
        <v>1.0499999999999998</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-1.0499999999999998</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1.0499999999999998</v>
      </c>
    </row>
    <row r="20" spans="1:31" x14ac:dyDescent="0.15">
      <c r="A20" s="97" t="s">
        <v>265</v>
      </c>
      <c r="B20" s="111">
        <f>IF(ISNUMBER(Interview!$J$304),Interview!$J$304,SUM(LEFT(Interview!$J$304),".5"))</f>
        <v>0.26666666666666666</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-0.26666666666666666</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0.26666666666666666</v>
      </c>
    </row>
    <row r="21" spans="1:31" x14ac:dyDescent="0.15">
      <c r="A21" s="92" t="s">
        <v>374</v>
      </c>
      <c r="B21" s="110">
        <f>IF(ISNUMBER(Interview!$J$338),Interview!$J$338,SUM(LEFT(Interview!$J$338),".5"))</f>
        <v>1.0666666666666667</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-1.0666666666666667</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1.0666666666666667</v>
      </c>
    </row>
    <row r="22" spans="1:31" x14ac:dyDescent="0.15">
      <c r="A22" s="93" t="s">
        <v>309</v>
      </c>
      <c r="B22" s="110">
        <f>IF(ISNUMBER(Interview!$J$376),Interview!$J$376,SUM(LEFT(Interview!$J$376),".5"))</f>
        <v>0.55000000000000004</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-0.55000000000000004</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0.55000000000000004</v>
      </c>
    </row>
    <row r="23" spans="1:31" ht="14" thickBot="1" x14ac:dyDescent="0.2">
      <c r="A23" s="94" t="s">
        <v>7</v>
      </c>
      <c r="B23" s="112">
        <f>IF(ISNUMBER(Interview!$J$411),Interview!$J$411,SUM(LEFT(Interview!$J$411),".5"))</f>
        <v>2.1</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-2.1</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2.1</v>
      </c>
    </row>
    <row r="24" spans="1:31" x14ac:dyDescent="0.15">
      <c r="L24" s="229" t="str">
        <f>A13</f>
        <v>Policy &amp; Compliance</v>
      </c>
      <c r="M24" s="229"/>
      <c r="N24" s="229"/>
      <c r="O24" s="229"/>
      <c r="P24" s="229"/>
      <c r="Q24" s="229"/>
      <c r="R24" s="229"/>
      <c r="S24" s="229"/>
      <c r="T24" s="229"/>
      <c r="U24" s="229"/>
      <c r="V24" s="229"/>
    </row>
    <row r="25" spans="1:31" x14ac:dyDescent="0.15">
      <c r="B25" s="53" t="s">
        <v>398</v>
      </c>
      <c r="C25" s="136">
        <f>SUM(C12:C23)-SUM(B12:B23)</f>
        <v>-12.633333333333333</v>
      </c>
      <c r="D25" s="136"/>
      <c r="E25" s="136">
        <f>SUM(E12:E23)-SUM(C12:C23)</f>
        <v>0</v>
      </c>
      <c r="F25" s="136"/>
      <c r="G25" s="136">
        <f>SUM(G12:G23)-SUM(E12:E23)</f>
        <v>0</v>
      </c>
      <c r="H25" s="136"/>
      <c r="I25" s="136">
        <f>SUM(I12:I23)-SUM(G12:G23)</f>
        <v>0</v>
      </c>
      <c r="J25" s="136"/>
      <c r="K25" s="135">
        <f>SUM(K12:K23)</f>
        <v>-12.633333333333333</v>
      </c>
      <c r="L25" s="229"/>
      <c r="M25" s="229"/>
      <c r="N25" s="229"/>
      <c r="O25" s="229"/>
      <c r="P25" s="229"/>
      <c r="Q25" s="229"/>
      <c r="R25" s="229"/>
      <c r="S25" s="229"/>
      <c r="T25" s="229"/>
      <c r="U25" s="229"/>
      <c r="V25" s="229"/>
    </row>
    <row r="26" spans="1:31" x14ac:dyDescent="0.15">
      <c r="B26" s="53"/>
      <c r="C26" s="54">
        <f>C25/$K$25</f>
        <v>1</v>
      </c>
      <c r="E26" s="54">
        <f>E25/$K$25</f>
        <v>0</v>
      </c>
      <c r="G26" s="54">
        <f>G25/$K$25</f>
        <v>0</v>
      </c>
      <c r="I26" s="54">
        <f>I25/$K$25</f>
        <v>0</v>
      </c>
      <c r="K26" s="55">
        <f>1-K25/24</f>
        <v>1.526388888888889</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399</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Analysis</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54" t="s">
        <v>477</v>
      </c>
      <c r="B1" s="355"/>
      <c r="C1" s="355"/>
      <c r="D1" s="355"/>
      <c r="E1" s="355"/>
      <c r="F1" s="355"/>
      <c r="G1" s="355"/>
      <c r="H1" s="355"/>
      <c r="I1" s="355"/>
      <c r="J1" s="355"/>
      <c r="K1" s="356"/>
    </row>
    <row r="3" spans="1:11" x14ac:dyDescent="0.15">
      <c r="A3" s="34" t="s">
        <v>371</v>
      </c>
      <c r="B3" s="33"/>
      <c r="C3" s="460" t="s">
        <v>372</v>
      </c>
      <c r="D3" s="460"/>
      <c r="E3" s="460"/>
      <c r="F3" s="33"/>
      <c r="G3" s="33"/>
      <c r="H3" s="33"/>
      <c r="I3" s="32"/>
    </row>
    <row r="4" spans="1:11" x14ac:dyDescent="0.15">
      <c r="A4" s="35" t="s">
        <v>369</v>
      </c>
      <c r="C4" s="36">
        <v>3</v>
      </c>
      <c r="D4" s="36">
        <v>3</v>
      </c>
      <c r="E4" s="36">
        <v>3</v>
      </c>
      <c r="F4" s="36">
        <v>6</v>
      </c>
      <c r="G4" s="117"/>
      <c r="H4" s="459" t="s">
        <v>434</v>
      </c>
      <c r="I4" s="118">
        <v>1</v>
      </c>
      <c r="J4" t="s">
        <v>366</v>
      </c>
      <c r="K4">
        <v>0</v>
      </c>
    </row>
    <row r="5" spans="1:11" x14ac:dyDescent="0.15">
      <c r="A5" s="35" t="s">
        <v>366</v>
      </c>
      <c r="B5" s="13"/>
      <c r="C5" s="36">
        <v>2.0099999999999998</v>
      </c>
      <c r="D5" s="36">
        <v>2.99</v>
      </c>
      <c r="E5" s="37" t="s">
        <v>41</v>
      </c>
      <c r="F5" s="38">
        <v>5</v>
      </c>
      <c r="G5" s="27"/>
      <c r="H5" s="459"/>
      <c r="I5" s="113"/>
      <c r="J5" t="s">
        <v>423</v>
      </c>
      <c r="K5">
        <v>0.2</v>
      </c>
    </row>
    <row r="6" spans="1:11" x14ac:dyDescent="0.15">
      <c r="C6" s="36">
        <v>2</v>
      </c>
      <c r="D6" s="36">
        <v>2</v>
      </c>
      <c r="E6" s="36">
        <v>2</v>
      </c>
      <c r="F6" s="36">
        <v>4</v>
      </c>
      <c r="G6" s="117"/>
      <c r="H6" s="459"/>
      <c r="I6" s="115"/>
      <c r="J6" t="s">
        <v>454</v>
      </c>
      <c r="K6">
        <v>0.5</v>
      </c>
    </row>
    <row r="7" spans="1:11" x14ac:dyDescent="0.15">
      <c r="C7" s="36">
        <v>1.01</v>
      </c>
      <c r="D7" s="36">
        <v>1.99</v>
      </c>
      <c r="E7" s="37" t="s">
        <v>40</v>
      </c>
      <c r="F7" s="38">
        <v>3</v>
      </c>
      <c r="G7" s="27"/>
      <c r="H7" s="459"/>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59" t="s">
        <v>435</v>
      </c>
      <c r="I9" s="114" t="s">
        <v>429</v>
      </c>
      <c r="J9" t="s">
        <v>366</v>
      </c>
      <c r="K9">
        <v>0</v>
      </c>
    </row>
    <row r="10" spans="1:11" x14ac:dyDescent="0.15">
      <c r="C10" s="36">
        <v>0</v>
      </c>
      <c r="D10" s="36">
        <v>0</v>
      </c>
      <c r="E10" s="36">
        <v>0</v>
      </c>
      <c r="F10" s="36">
        <v>0</v>
      </c>
      <c r="G10" s="117"/>
      <c r="H10" s="459"/>
      <c r="I10" s="113">
        <v>5</v>
      </c>
      <c r="J10" t="s">
        <v>424</v>
      </c>
      <c r="K10">
        <v>0.2</v>
      </c>
    </row>
    <row r="11" spans="1:11" x14ac:dyDescent="0.15">
      <c r="H11" s="459"/>
      <c r="I11" s="115" t="s">
        <v>448</v>
      </c>
      <c r="J11" t="s">
        <v>446</v>
      </c>
      <c r="K11">
        <v>0.5</v>
      </c>
    </row>
    <row r="12" spans="1:11" x14ac:dyDescent="0.15">
      <c r="H12" s="459"/>
      <c r="I12" s="116" t="s">
        <v>451</v>
      </c>
      <c r="J12" t="s">
        <v>425</v>
      </c>
      <c r="K12">
        <v>1</v>
      </c>
    </row>
    <row r="14" spans="1:11" x14ac:dyDescent="0.15">
      <c r="H14" s="459" t="s">
        <v>436</v>
      </c>
      <c r="I14" s="114" t="s">
        <v>499</v>
      </c>
      <c r="J14" t="s">
        <v>366</v>
      </c>
      <c r="K14">
        <v>0</v>
      </c>
    </row>
    <row r="15" spans="1:11" x14ac:dyDescent="0.15">
      <c r="H15" s="459"/>
      <c r="I15" s="113" t="s">
        <v>490</v>
      </c>
      <c r="J15" t="s">
        <v>491</v>
      </c>
      <c r="K15">
        <v>0.2</v>
      </c>
    </row>
    <row r="16" spans="1:11" x14ac:dyDescent="0.15">
      <c r="H16" s="459"/>
      <c r="I16" s="115" t="s">
        <v>449</v>
      </c>
      <c r="J16" t="s">
        <v>492</v>
      </c>
      <c r="K16">
        <v>0.5</v>
      </c>
    </row>
    <row r="17" spans="8:11" x14ac:dyDescent="0.15">
      <c r="H17" s="459"/>
      <c r="I17" s="116" t="s">
        <v>494</v>
      </c>
      <c r="J17" t="s">
        <v>493</v>
      </c>
      <c r="K17">
        <v>1</v>
      </c>
    </row>
    <row r="19" spans="8:11" x14ac:dyDescent="0.15">
      <c r="H19" s="459" t="s">
        <v>437</v>
      </c>
      <c r="I19" s="114" t="s">
        <v>433</v>
      </c>
      <c r="J19" t="s">
        <v>366</v>
      </c>
      <c r="K19">
        <v>0</v>
      </c>
    </row>
    <row r="20" spans="8:11" x14ac:dyDescent="0.15">
      <c r="H20" s="459"/>
      <c r="I20" s="113">
        <v>13</v>
      </c>
      <c r="J20" t="s">
        <v>426</v>
      </c>
      <c r="K20">
        <v>0.2</v>
      </c>
    </row>
    <row r="21" spans="8:11" x14ac:dyDescent="0.15">
      <c r="H21" s="459"/>
      <c r="I21" s="115"/>
      <c r="J21" t="s">
        <v>427</v>
      </c>
      <c r="K21">
        <v>0.5</v>
      </c>
    </row>
    <row r="22" spans="8:11" x14ac:dyDescent="0.15">
      <c r="H22" s="459"/>
      <c r="I22" s="116">
        <v>18</v>
      </c>
      <c r="J22" t="s">
        <v>428</v>
      </c>
      <c r="K22">
        <v>1</v>
      </c>
    </row>
    <row r="24" spans="8:11" x14ac:dyDescent="0.15">
      <c r="H24" s="459" t="s">
        <v>438</v>
      </c>
      <c r="I24" s="114">
        <v>10</v>
      </c>
      <c r="J24" t="s">
        <v>366</v>
      </c>
      <c r="K24">
        <v>0</v>
      </c>
    </row>
    <row r="25" spans="8:11" x14ac:dyDescent="0.15">
      <c r="H25" s="459"/>
      <c r="I25" s="113"/>
      <c r="J25" t="s">
        <v>447</v>
      </c>
      <c r="K25">
        <v>1</v>
      </c>
    </row>
    <row r="26" spans="8:11" x14ac:dyDescent="0.15">
      <c r="H26" s="459"/>
      <c r="I26" s="115"/>
      <c r="J26" t="s">
        <v>430</v>
      </c>
      <c r="K26">
        <v>0.5</v>
      </c>
    </row>
    <row r="27" spans="8:11" x14ac:dyDescent="0.15">
      <c r="H27" s="459"/>
      <c r="I27" s="116">
        <v>19</v>
      </c>
      <c r="J27" t="s">
        <v>369</v>
      </c>
      <c r="K27">
        <v>1</v>
      </c>
    </row>
    <row r="29" spans="8:11" x14ac:dyDescent="0.15">
      <c r="H29" s="459" t="s">
        <v>439</v>
      </c>
      <c r="I29" s="114" t="s">
        <v>488</v>
      </c>
      <c r="J29" t="s">
        <v>366</v>
      </c>
      <c r="K29">
        <v>0</v>
      </c>
    </row>
    <row r="30" spans="8:11" x14ac:dyDescent="0.15">
      <c r="H30" s="459"/>
      <c r="I30" s="113" t="s">
        <v>489</v>
      </c>
      <c r="J30" t="s">
        <v>495</v>
      </c>
      <c r="K30">
        <v>0.2</v>
      </c>
    </row>
    <row r="31" spans="8:11" x14ac:dyDescent="0.15">
      <c r="H31" s="459"/>
      <c r="I31" s="115"/>
      <c r="J31" t="s">
        <v>431</v>
      </c>
      <c r="K31">
        <v>0.5</v>
      </c>
    </row>
    <row r="32" spans="8:11" x14ac:dyDescent="0.15">
      <c r="H32" s="459"/>
      <c r="I32" s="116"/>
      <c r="J32" t="s">
        <v>432</v>
      </c>
      <c r="K32">
        <v>1</v>
      </c>
    </row>
    <row r="34" spans="8:11" x14ac:dyDescent="0.15">
      <c r="H34" s="459" t="s">
        <v>440</v>
      </c>
      <c r="I34" s="114"/>
      <c r="J34" t="s">
        <v>366</v>
      </c>
      <c r="K34">
        <v>0</v>
      </c>
    </row>
    <row r="35" spans="8:11" x14ac:dyDescent="0.15">
      <c r="H35" s="459"/>
      <c r="I35" s="113" t="s">
        <v>445</v>
      </c>
      <c r="J35" t="s">
        <v>442</v>
      </c>
      <c r="K35">
        <v>0.2</v>
      </c>
    </row>
    <row r="36" spans="8:11" x14ac:dyDescent="0.15">
      <c r="H36" s="459"/>
      <c r="I36" s="115" t="s">
        <v>450</v>
      </c>
      <c r="J36" t="s">
        <v>444</v>
      </c>
      <c r="K36">
        <v>0.5</v>
      </c>
    </row>
    <row r="37" spans="8:11" x14ac:dyDescent="0.15">
      <c r="H37" s="459"/>
      <c r="I37" s="116" t="s">
        <v>452</v>
      </c>
      <c r="J37" t="s">
        <v>443</v>
      </c>
      <c r="K37">
        <v>1</v>
      </c>
    </row>
    <row r="39" spans="8:11" x14ac:dyDescent="0.15">
      <c r="H39" s="459" t="s">
        <v>441</v>
      </c>
      <c r="I39" s="114"/>
    </row>
    <row r="40" spans="8:11" x14ac:dyDescent="0.15">
      <c r="H40" s="459"/>
      <c r="I40" s="113"/>
    </row>
    <row r="41" spans="8:11" x14ac:dyDescent="0.15">
      <c r="H41" s="459"/>
      <c r="I41" s="115"/>
    </row>
    <row r="42" spans="8:11" x14ac:dyDescent="0.1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 User</cp:lastModifiedBy>
  <dcterms:created xsi:type="dcterms:W3CDTF">2009-06-08T07:01:59Z</dcterms:created>
  <dcterms:modified xsi:type="dcterms:W3CDTF">2019-04-10T16:21:54Z</dcterms:modified>
  <cp:category/>
</cp:coreProperties>
</file>