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Brian/Documents/opensamm/v1.5/Release Candidate/"/>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10" i="9" l="1"/>
  <c r="O108" i="9"/>
  <c r="K108" i="9"/>
  <c r="K110" i="9"/>
  <c r="K113" i="9"/>
  <c r="O113" i="9"/>
  <c r="S113" i="9"/>
  <c r="S110" i="9"/>
  <c r="S108" i="9"/>
  <c r="W113" i="9"/>
  <c r="W110" i="9"/>
  <c r="W108" i="9"/>
  <c r="G113" i="9"/>
  <c r="G110" i="9"/>
  <c r="G108" i="9"/>
  <c r="G338" i="2"/>
  <c r="G346" i="2"/>
  <c r="G360" i="2"/>
  <c r="K83" i="9"/>
  <c r="K99" i="9"/>
  <c r="O99" i="9"/>
  <c r="O83" i="9"/>
  <c r="S99" i="9"/>
  <c r="S83" i="9"/>
  <c r="W83" i="9"/>
  <c r="W99" i="9"/>
  <c r="G99" i="9"/>
  <c r="G83" i="9"/>
  <c r="G314" i="2"/>
  <c r="G259" i="2"/>
  <c r="K55" i="9"/>
  <c r="O55" i="9"/>
  <c r="S55" i="9"/>
  <c r="W55" i="9"/>
  <c r="G55" i="9"/>
  <c r="G158" i="2"/>
  <c r="O31" i="9"/>
  <c r="K31" i="9"/>
  <c r="S31" i="9"/>
  <c r="W31" i="9"/>
  <c r="G31" i="9"/>
  <c r="G62" i="2"/>
  <c r="K22" i="9"/>
  <c r="K21" i="9"/>
  <c r="K26" i="9"/>
  <c r="O26" i="9"/>
  <c r="O22" i="9"/>
  <c r="O21" i="9"/>
  <c r="S26" i="9"/>
  <c r="S22" i="9"/>
  <c r="S21" i="9"/>
  <c r="W26" i="9"/>
  <c r="W22" i="9"/>
  <c r="W21" i="9"/>
  <c r="G26" i="9"/>
  <c r="G22" i="9"/>
  <c r="G21" i="9"/>
  <c r="G44" i="2"/>
  <c r="G28" i="2"/>
  <c r="G23" i="2"/>
  <c r="K38" i="9"/>
  <c r="O38" i="9"/>
  <c r="S38" i="9"/>
  <c r="W38" i="9"/>
  <c r="G38" i="9"/>
  <c r="G94" i="2"/>
  <c r="K35" i="9"/>
  <c r="O35" i="9"/>
  <c r="S35" i="9"/>
  <c r="W35" i="9"/>
  <c r="G35" i="9"/>
  <c r="G81" i="2"/>
  <c r="O91" i="9"/>
  <c r="K91" i="9"/>
  <c r="S91" i="9"/>
  <c r="W91" i="9"/>
  <c r="G91" i="9"/>
  <c r="G287" i="2"/>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E35" i="9"/>
  <c r="E38" i="9"/>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X97" i="9"/>
  <c r="D40" i="3"/>
  <c r="W94" i="9"/>
  <c r="X94" i="9"/>
  <c r="F39" i="3"/>
  <c r="W92" i="9"/>
  <c r="X91" i="9"/>
  <c r="E39" i="3"/>
  <c r="W88" i="9"/>
  <c r="W89" i="9"/>
  <c r="X88" i="9"/>
  <c r="D39" i="3"/>
  <c r="W85" i="9"/>
  <c r="X85" i="9"/>
  <c r="F38" i="3"/>
  <c r="W82"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T97" i="9"/>
  <c r="S102" i="9"/>
  <c r="T101" i="9"/>
  <c r="U97" i="9"/>
  <c r="G20" i="5"/>
  <c r="O97" i="9"/>
  <c r="O98" i="9"/>
  <c r="P97" i="9"/>
  <c r="O102" i="9"/>
  <c r="P101" i="9"/>
  <c r="O104" i="9"/>
  <c r="P104" i="9"/>
  <c r="Q97" i="9"/>
  <c r="E20" i="5"/>
  <c r="K97" i="9"/>
  <c r="K98"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T82" i="9"/>
  <c r="U79" i="9"/>
  <c r="G18" i="5"/>
  <c r="O79" i="9"/>
  <c r="O80" i="9"/>
  <c r="P79" i="9"/>
  <c r="O82" i="9"/>
  <c r="P82" i="9"/>
  <c r="O85" i="9"/>
  <c r="P85" i="9"/>
  <c r="Q79" i="9"/>
  <c r="E18" i="5"/>
  <c r="K79" i="9"/>
  <c r="K80" i="9"/>
  <c r="L79" i="9"/>
  <c r="K82"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E21" i="9"/>
  <c r="E22" i="9"/>
  <c r="H20" i="9"/>
  <c r="E24" i="9"/>
  <c r="G24" i="9"/>
  <c r="E25" i="9"/>
  <c r="G25" i="9"/>
  <c r="E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8" i="9"/>
  <c r="G97" i="9"/>
  <c r="H97" i="9"/>
  <c r="I97" i="9"/>
  <c r="G94" i="9"/>
  <c r="H94" i="9"/>
  <c r="G92" i="9"/>
  <c r="H91" i="9"/>
  <c r="G89" i="9"/>
  <c r="G88" i="9"/>
  <c r="H88" i="9"/>
  <c r="I88" i="9"/>
  <c r="G85" i="9"/>
  <c r="H85"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H304" i="2"/>
  <c r="G324" i="2"/>
  <c r="H320" i="2"/>
  <c r="G329" i="2"/>
  <c r="H329" i="2"/>
  <c r="J304" i="2"/>
  <c r="X21" i="3"/>
  <c r="G277" i="2"/>
  <c r="G281" i="2"/>
  <c r="H277" i="2"/>
  <c r="G291" i="2"/>
  <c r="H287" i="2"/>
  <c r="G296" i="2"/>
  <c r="H296" i="2"/>
  <c r="J277" i="2"/>
  <c r="X20" i="3"/>
  <c r="G239" i="2"/>
  <c r="G247" i="2"/>
  <c r="H239" i="2"/>
  <c r="G254"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<sst xmlns="http://schemas.openxmlformats.org/spreadsheetml/2006/main" count="1496" uniqueCount="504">
  <si>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</si>
  <si>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</si>
  <si>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</si>
  <si>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</si>
  <si>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</si>
  <si>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</si>
  <si>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</si>
  <si>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</si>
  <si>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</si>
  <si>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</si>
  <si>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</si>
  <si>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</si>
  <si>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</si>
  <si>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</si>
  <si>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</si>
  <si>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</si>
  <si>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</si>
  <si>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</si>
  <si>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</si>
  <si>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</si>
  <si>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</si>
  <si>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</si>
  <si>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</si>
  <si>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</si>
  <si>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</si>
  <si>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</si>
  <si>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</si>
  <si>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</si>
  <si>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</si>
  <si>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</si>
  <si>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</si>
  <si>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</si>
  <si>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</si>
  <si>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</si>
  <si>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</si>
  <si>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</si>
  <si>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</si>
  <si>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</si>
  <si>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</si>
  <si>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</si>
  <si>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</si>
  <si>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</si>
  <si>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</si>
  <si>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</si>
  <si>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</si>
  <si>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</si>
  <si>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</si>
  <si>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</si>
  <si>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</si>
  <si>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</si>
  <si>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</si>
  <si>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</si>
  <si>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</si>
  <si>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</si>
  <si>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</si>
  <si>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</si>
  <si>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</si>
  <si>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</si>
  <si>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</si>
  <si>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</si>
  <si>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</si>
  <si>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</si>
  <si>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</si>
  <si>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</si>
  <si>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</si>
  <si>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</si>
  <si>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</si>
  <si>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</si>
  <si>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</si>
  <si>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</si>
  <si>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</si>
  <si>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</si>
  <si>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</si>
  <si>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</si>
  <si>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</si>
  <si>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</si>
  <si>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</si>
  <si>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</si>
  <si>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</si>
  <si>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</si>
  <si>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</si>
  <si>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</si>
  <si>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</si>
  <si>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</si>
  <si>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</si>
  <si>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</si>
  <si>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</si>
  <si>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</si>
  <si>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</si>
  <si>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</si>
  <si>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</si>
  <si>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</si>
  <si>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</si>
  <si>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</si>
  <si>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</si>
  <si>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</si>
  <si>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</si>
  <si>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</si>
  <si>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</si>
  <si>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</si>
  <si>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</si>
  <si>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</si>
  <si>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</si>
  <si>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</si>
  <si>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</si>
  <si>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</si>
  <si>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</si>
  <si>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</si>
  <si>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</si>
  <si>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</si>
  <si>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</si>
  <si>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</si>
  <si>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</si>
  <si>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</si>
  <si>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</si>
  <si>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</si>
  <si>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</si>
  <si>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</si>
  <si>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</si>
  <si>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</si>
  <si>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</si>
  <si>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</si>
  <si>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</si>
  <si>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</si>
  <si>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</si>
  <si>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</si>
  <si>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</si>
  <si>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</si>
  <si>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</si>
  <si>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</si>
  <si>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</si>
  <si>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</si>
  <si>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</si>
  <si>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</si>
  <si>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</si>
  <si>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</si>
  <si>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</si>
  <si>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</si>
  <si>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</si>
  <si>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</si>
  <si>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</si>
  <si>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</si>
  <si>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</si>
  <si>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</si>
  <si>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</si>
  <si>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</si>
  <si>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</si>
  <si>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</si>
  <si>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</si>
  <si>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</si>
  <si>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</si>
  <si>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</si>
  <si>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</si>
  <si>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</si>
  <si>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</si>
  <si>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</si>
  <si>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</si>
  <si>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</si>
  <si>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</si>
  <si>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</si>
  <si>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</si>
  <si>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</si>
  <si>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</si>
  <si>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</si>
  <si>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</si>
  <si>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</si>
  <si>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</si>
  <si>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</si>
  <si>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</si>
  <si>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</si>
  <si>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</si>
  <si>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</si>
  <si>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</si>
  <si>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</si>
  <si>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</si>
  <si>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</si>
  <si>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</si>
  <si>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</si>
  <si>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</si>
  <si>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</si>
  <si>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</si>
  <si>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</si>
  <si>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</si>
  <si>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</si>
  <si>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</si>
  <si>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</si>
  <si>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</si>
  <si>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</si>
  <si>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</si>
  <si>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</si>
  <si>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</si>
  <si>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</si>
  <si>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</si>
  <si>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</si>
  <si>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</si>
  <si>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</si>
  <si>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</si>
  <si>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</si>
  <si>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</si>
  <si>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</si>
  <si>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</si>
  <si>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</si>
  <si>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</si>
  <si>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</si>
  <si>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</si>
  <si>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</si>
  <si>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</si>
  <si>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</si>
  <si>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</si>
  <si>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</si>
  <si>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</si>
  <si>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</si>
  <si>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</si>
  <si>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</si>
  <si>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</si>
  <si>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</si>
  <si>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</si>
  <si>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</si>
  <si>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</si>
  <si>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</si>
  <si>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</si>
  <si>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</si>
  <si>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</si>
  <si>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</si>
  <si>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</si>
  <si>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</si>
  <si>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</si>
  <si>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</si>
  <si>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</si>
  <si>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</si>
  <si>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</si>
  <si>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</si>
  <si>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</si>
  <si>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</si>
  <si>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</si>
  <si>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</si>
  <si>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</si>
  <si>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</si>
  <si>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</si>
  <si>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</si>
  <si>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</si>
  <si>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</si>
  <si>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</si>
  <si>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</si>
  <si>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</si>
  <si>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</si>
  <si>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</si>
  <si>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</si>
  <si>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</si>
  <si>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</si>
  <si>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</si>
  <si>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</si>
  <si>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</si>
  <si>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</si>
  <si>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</si>
  <si>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</si>
  <si>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</si>
  <si>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</si>
  <si>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</si>
  <si>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</si>
  <si>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</si>
  <si>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</si>
  <si>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</si>
  <si>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</si>
  <si>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</si>
  <si>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</si>
  <si>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</si>
  <si>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</si>
  <si>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</si>
  <si>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</si>
  <si>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</si>
  <si>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</si>
  <si>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</si>
  <si>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</si>
  <si>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</si>
  <si>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</si>
  <si>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</si>
  <si>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</si>
  <si>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</si>
  <si>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</si>
  <si>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</si>
  <si>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</si>
  <si>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</si>
  <si>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</si>
  <si>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</si>
  <si>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</si>
  <si>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</si>
  <si>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</si>
  <si>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</si>
  <si>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</si>
  <si>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</si>
  <si>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</si>
  <si>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</si>
  <si>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</si>
  <si>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</si>
  <si>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</si>
  <si>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</si>
  <si>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</si>
  <si>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</si>
  <si>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</si>
  <si>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</si>
  <si>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</si>
  <si>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</si>
  <si>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</si>
  <si>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</si>
  <si>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</si>
  <si>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</si>
  <si>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</si>
  <si>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</si>
  <si>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</si>
  <si>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</si>
  <si>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</si>
  <si>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</si>
  <si>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</si>
  <si>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</si>
  <si>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</si>
  <si>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</si>
  <si>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</si>
  <si>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</si>
  <si>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</si>
  <si>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</si>
  <si>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</si>
  <si>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</si>
  <si>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</si>
  <si>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</si>
  <si>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</si>
  <si>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</si>
  <si>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</si>
  <si>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</si>
  <si>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</si>
  <si>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</si>
  <si>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</si>
  <si>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</si>
  <si>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</si>
  <si>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</si>
  <si>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</si>
  <si>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</si>
  <si>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</si>
  <si>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</si>
  <si>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</si>
  <si>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</si>
  <si>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</si>
  <si>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</si>
  <si>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</si>
  <si>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</si>
  <si>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</si>
  <si>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</si>
  <si>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</si>
  <si>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</si>
  <si>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</si>
  <si>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</si>
  <si>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</si>
  <si>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</si>
  <si>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</si>
  <si>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</si>
  <si>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</si>
  <si>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</si>
  <si>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</si>
  <si>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</si>
  <si>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</si>
  <si>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</si>
  <si>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</si>
  <si>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</si>
  <si>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</si>
  <si>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</si>
  <si>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</si>
  <si>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</si>
  <si>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</si>
  <si>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</si>
  <si>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</si>
  <si>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</si>
  <si>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</si>
  <si>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</si>
  <si>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</si>
  <si>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</si>
  <si>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</si>
  <si>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</si>
  <si>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</si>
  <si>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</si>
  <si>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</si>
  <si>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</si>
  <si>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</si>
  <si>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</si>
  <si>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</si>
  <si>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</si>
  <si>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</si>
  <si>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</si>
  <si>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</si>
  <si>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</si>
  <si>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</si>
  <si>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</si>
  <si>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</si>
  <si>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</si>
  <si>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</si>
  <si>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</si>
  <si>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</si>
  <si>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</si>
  <si>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</si>
  <si>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</si>
  <si>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</si>
  <si>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</si>
  <si>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</si>
  <si>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</si>
  <si>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</si>
  <si>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</si>
  <si>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</si>
  <si>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</si>
  <si>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</si>
  <si>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</si>
  <si>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</si>
  <si>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</si>
  <si>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</si>
  <si>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</si>
  <si>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</si>
  <si>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</si>
  <si>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</si>
  <si>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</si>
  <si>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</si>
  <si>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</si>
  <si>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</si>
  <si>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</si>
  <si>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</si>
  <si>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</si>
  <si>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</si>
  <si>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</si>
  <si>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</si>
  <si>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</si>
  <si>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</si>
  <si>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</si>
  <si>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</si>
  <si>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</si>
  <si>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</si>
  <si>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</si>
  <si>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</si>
  <si>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</si>
  <si>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</si>
  <si>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</si>
  <si>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</si>
  <si>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</si>
  <si>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</si>
  <si>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</si>
  <si>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</si>
  <si>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</si>
  <si>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</si>
  <si>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</si>
  <si>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</si>
  <si>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</si>
  <si>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</si>
  <si>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</si>
  <si>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</si>
  <si>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</si>
  <si>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</si>
  <si>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</si>
  <si>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</si>
  <si>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</si>
  <si>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</si>
  <si>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</si>
  <si>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</si>
  <si>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</si>
  <si>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</si>
  <si>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</si>
  <si>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</si>
  <si>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</si>
  <si>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</si>
  <si>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</si>
  <si>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</si>
  <si>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</si>
  <si>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</si>
  <si>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</si>
  <si>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</si>
  <si>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</si>
  <si>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</si>
  <si>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</si>
  <si>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</si>
  <si>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</si>
  <si>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</si>
  <si>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</si>
  <si>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</si>
  <si>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</si>
  <si>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</si>
  <si>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</si>
  <si>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</si>
  <si>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</si>
  <si>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</si>
  <si>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</si>
  <si>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</si>
  <si>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</si>
  <si>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</si>
  <si>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</si>
  <si>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</si>
  <si>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</si>
  <si>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</si>
  <si>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</si>
  <si>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</si>
  <si>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</si>
  <si>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</si>
  <si>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</si>
  <si>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</si>
  <si>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</si>
  <si>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Acme Brick Co</t>
  </si>
  <si>
    <t>Brick Builder</t>
  </si>
  <si>
    <t>v1.0</t>
  </si>
  <si>
    <t>Steve</t>
  </si>
  <si>
    <t>Willy Thomas, Kate Smith, Joe Kats, Ars Hickory, Rick Links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</si>
</sst>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1705778496"/>
        <c:axId val="-1705776176"/>
      </c:radarChart>
      <c:catAx>
        <c:axId val="-1705778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6176"/>
        <c:crosses val="autoZero"/>
        <c:auto val="1"/>
        <c:lblAlgn val="ctr"/>
        <c:lblOffset val="100"/>
        <c:noMultiLvlLbl val="0"/>
      </c:catAx>
      <c:valAx>
        <c:axId val="-1705776176"/>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05515760"/>
        <c:axId val="-1705513440"/>
      </c:areaChart>
      <c:catAx>
        <c:axId val="-1705515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513440"/>
        <c:crosses val="autoZero"/>
        <c:auto val="1"/>
        <c:lblAlgn val="ctr"/>
        <c:lblOffset val="100"/>
        <c:tickLblSkip val="9"/>
        <c:tickMarkSkip val="9"/>
        <c:noMultiLvlLbl val="0"/>
      </c:catAx>
      <c:valAx>
        <c:axId val="-17055134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157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2.25</c:v>
                </c:pt>
                <c:pt idx="8" formatCode="General">
                  <c:v>2.25</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05494976"/>
        <c:axId val="-1705492656"/>
      </c:areaChart>
      <c:catAx>
        <c:axId val="-1705494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92656"/>
        <c:crosses val="autoZero"/>
        <c:auto val="1"/>
        <c:lblAlgn val="ctr"/>
        <c:lblOffset val="100"/>
        <c:tickLblSkip val="9"/>
        <c:tickMarkSkip val="9"/>
        <c:noMultiLvlLbl val="0"/>
      </c:catAx>
      <c:valAx>
        <c:axId val="-17054926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94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05474240"/>
        <c:axId val="-1705471920"/>
      </c:areaChart>
      <c:catAx>
        <c:axId val="-17054742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71920"/>
        <c:crosses val="autoZero"/>
        <c:auto val="1"/>
        <c:lblAlgn val="ctr"/>
        <c:lblOffset val="100"/>
        <c:tickLblSkip val="9"/>
        <c:tickMarkSkip val="9"/>
        <c:noMultiLvlLbl val="0"/>
      </c:catAx>
      <c:valAx>
        <c:axId val="-17054719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742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05453456"/>
        <c:axId val="-1705451136"/>
      </c:areaChart>
      <c:catAx>
        <c:axId val="-1705453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51136"/>
        <c:crosses val="autoZero"/>
        <c:auto val="1"/>
        <c:lblAlgn val="ctr"/>
        <c:lblOffset val="100"/>
        <c:tickLblSkip val="9"/>
        <c:tickMarkSkip val="9"/>
        <c:noMultiLvlLbl val="0"/>
      </c:catAx>
      <c:valAx>
        <c:axId val="-17054511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534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5432608"/>
        <c:axId val="-1705430288"/>
      </c:areaChart>
      <c:catAx>
        <c:axId val="-1705432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30288"/>
        <c:crosses val="autoZero"/>
        <c:auto val="1"/>
        <c:lblAlgn val="ctr"/>
        <c:lblOffset val="100"/>
        <c:tickLblSkip val="9"/>
        <c:tickMarkSkip val="9"/>
        <c:noMultiLvlLbl val="0"/>
      </c:catAx>
      <c:valAx>
        <c:axId val="-17054302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326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1.6</c:v>
                </c:pt>
                <c:pt idx="8" formatCode="General">
                  <c:v>1.6</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05411728"/>
        <c:axId val="-1705409408"/>
      </c:areaChart>
      <c:catAx>
        <c:axId val="-1705411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09408"/>
        <c:crosses val="autoZero"/>
        <c:auto val="1"/>
        <c:lblAlgn val="ctr"/>
        <c:lblOffset val="100"/>
        <c:tickLblSkip val="9"/>
        <c:tickMarkSkip val="9"/>
        <c:noMultiLvlLbl val="0"/>
      </c:catAx>
      <c:valAx>
        <c:axId val="-1705409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11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2.25</c:v>
                </c:pt>
                <c:pt idx="8">
                  <c:v>1.516666666666667</c:v>
                </c:pt>
                <c:pt idx="9">
                  <c:v>2.333333333333333</c:v>
                </c:pt>
                <c:pt idx="10">
                  <c:v>1.85</c:v>
                </c:pt>
                <c:pt idx="11">
                  <c:v>1.6</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0.9</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1705373472"/>
        <c:axId val="-1705371152"/>
      </c:radarChart>
      <c:catAx>
        <c:axId val="-170537347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5371152"/>
        <c:crosses val="autoZero"/>
        <c:auto val="1"/>
        <c:lblAlgn val="ctr"/>
        <c:lblOffset val="100"/>
        <c:noMultiLvlLbl val="0"/>
      </c:catAx>
      <c:valAx>
        <c:axId val="-170537115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705373472"/>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2.25</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1.6</c:v>
                </c:pt>
              </c:numCache>
            </c:numRef>
          </c:val>
        </c:ser>
        <c:dLbls>
          <c:showLegendKey val="0"/>
          <c:showVal val="0"/>
          <c:showCatName val="0"/>
          <c:showSerName val="0"/>
          <c:showPercent val="0"/>
          <c:showBubbleSize val="0"/>
        </c:dLbls>
        <c:axId val="-1705709504"/>
        <c:axId val="-1705707184"/>
      </c:radarChart>
      <c:catAx>
        <c:axId val="-1705709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7184"/>
        <c:crosses val="autoZero"/>
        <c:auto val="1"/>
        <c:lblAlgn val="ctr"/>
        <c:lblOffset val="100"/>
        <c:noMultiLvlLbl val="0"/>
      </c:catAx>
      <c:valAx>
        <c:axId val="-1705707184"/>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5664816"/>
        <c:axId val="-1705662496"/>
      </c:areaChart>
      <c:catAx>
        <c:axId val="-1705664816"/>
        <c:scaling>
          <c:orientation val="minMax"/>
        </c:scaling>
        <c:delete val="0"/>
        <c:axPos val="b"/>
        <c:majorTickMark val="none"/>
        <c:minorTickMark val="none"/>
        <c:tickLblPos val="none"/>
        <c:spPr>
          <a:ln w="9525">
            <a:noFill/>
          </a:ln>
        </c:spPr>
        <c:crossAx val="-1705662496"/>
        <c:crosses val="autoZero"/>
        <c:auto val="1"/>
        <c:lblAlgn val="ctr"/>
        <c:lblOffset val="100"/>
        <c:tickMarkSkip val="1"/>
        <c:noMultiLvlLbl val="0"/>
      </c:catAx>
      <c:valAx>
        <c:axId val="-1705662496"/>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566481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5643088"/>
        <c:axId val="-1705640768"/>
      </c:areaChart>
      <c:catAx>
        <c:axId val="-170564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40768"/>
        <c:crosses val="autoZero"/>
        <c:auto val="1"/>
        <c:lblAlgn val="ctr"/>
        <c:lblOffset val="100"/>
        <c:tickLblSkip val="9"/>
        <c:tickMarkSkip val="9"/>
        <c:noMultiLvlLbl val="0"/>
      </c:catAx>
      <c:valAx>
        <c:axId val="-170564076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430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0.9</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05622352"/>
        <c:axId val="-1705620032"/>
      </c:areaChart>
      <c:catAx>
        <c:axId val="-17056223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20032"/>
        <c:crosses val="autoZero"/>
        <c:auto val="1"/>
        <c:lblAlgn val="ctr"/>
        <c:lblOffset val="100"/>
        <c:tickLblSkip val="9"/>
        <c:tickMarkSkip val="9"/>
        <c:noMultiLvlLbl val="0"/>
      </c:catAx>
      <c:valAx>
        <c:axId val="-17056200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223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05601568"/>
        <c:axId val="-1705599248"/>
      </c:areaChart>
      <c:catAx>
        <c:axId val="-1705601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99248"/>
        <c:crosses val="autoZero"/>
        <c:auto val="1"/>
        <c:lblAlgn val="ctr"/>
        <c:lblOffset val="100"/>
        <c:tickLblSkip val="9"/>
        <c:tickMarkSkip val="9"/>
        <c:noMultiLvlLbl val="0"/>
      </c:catAx>
      <c:valAx>
        <c:axId val="-1705599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015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05580832"/>
        <c:axId val="-1705578512"/>
      </c:areaChart>
      <c:catAx>
        <c:axId val="-1705580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78512"/>
        <c:crosses val="autoZero"/>
        <c:auto val="1"/>
        <c:lblAlgn val="ctr"/>
        <c:lblOffset val="100"/>
        <c:tickLblSkip val="9"/>
        <c:tickMarkSkip val="9"/>
        <c:noMultiLvlLbl val="0"/>
      </c:catAx>
      <c:valAx>
        <c:axId val="-1705578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808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5558960"/>
        <c:axId val="-1705556640"/>
      </c:areaChart>
      <c:catAx>
        <c:axId val="-17055589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56640"/>
        <c:crosses val="autoZero"/>
        <c:auto val="1"/>
        <c:lblAlgn val="ctr"/>
        <c:lblOffset val="100"/>
        <c:tickLblSkip val="9"/>
        <c:tickMarkSkip val="9"/>
        <c:noMultiLvlLbl val="0"/>
      </c:catAx>
      <c:valAx>
        <c:axId val="-17055566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589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05537072"/>
        <c:axId val="-1705534752"/>
      </c:areaChart>
      <c:catAx>
        <c:axId val="-17055370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34752"/>
        <c:crosses val="autoZero"/>
        <c:auto val="1"/>
        <c:lblAlgn val="ctr"/>
        <c:lblOffset val="100"/>
        <c:tickLblSkip val="9"/>
        <c:tickMarkSkip val="9"/>
        <c:noMultiLvlLbl val="0"/>
      </c:catAx>
      <c:valAx>
        <c:axId val="-17055347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370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20" sqref="B20"/>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F2" sqref="F1:H1048576"/>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SAMM Assessment Interview: Brick Builder For Acme Brick Co</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t="s">
        <v>499</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t="s">
        <v>500</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v>42794</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t="s">
        <v>423</v>
      </c>
      <c r="F18" s="18">
        <v>1</v>
      </c>
      <c r="G18" s="18">
        <f>IFERROR(VLOOKUP(E18,AnswerATBL,2,FALSE),0)</f>
        <v>0.2</v>
      </c>
      <c r="H18" s="108">
        <f>IFERROR(AVERAGE(G18,G23,G28),0)</f>
        <v>0.46666666666666662</v>
      </c>
      <c r="I18" s="257"/>
      <c r="J18" s="250">
        <f>SUM(H18,H35,H48)</f>
        <v>1.4833333333333334</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t="s">
        <v>493</v>
      </c>
      <c r="F23" s="18">
        <v>2</v>
      </c>
      <c r="G23" s="18">
        <f>IFERROR(VLOOKUP(E23,AnswerCTBL,2,FALSE),0)</f>
        <v>0.2</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t="s">
        <v>495</v>
      </c>
      <c r="F28" s="18">
        <v>3</v>
      </c>
      <c r="G28" s="18">
        <f>IFERROR(VLOOKUP(E28,AnswerCTBL,2,FALSE),0)</f>
        <v>1</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t="s">
        <v>494</v>
      </c>
      <c r="F35" s="18">
        <v>4</v>
      </c>
      <c r="G35" s="18">
        <f>IFERROR(VLOOKUP(E35,AnswerCTBL,2,FALSE),0)</f>
        <v>0.5</v>
      </c>
      <c r="H35" s="108">
        <f>IFERROR(AVERAGE(G35,G41,G44),0)</f>
        <v>0.66666666666666663</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t="s">
        <v>495</v>
      </c>
      <c r="F41" s="18">
        <v>5</v>
      </c>
      <c r="G41" s="18">
        <f>IFERROR(VLOOKUP(E41,AnswerCTBL,2,FALSE),0)</f>
        <v>1</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t="s">
        <v>494</v>
      </c>
      <c r="F44" s="18">
        <v>6</v>
      </c>
      <c r="G44" s="18">
        <f>IFERROR(VLOOKUP(E44,AnswerCTBL,2,FALSE),0)</f>
        <v>0.5</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t="s">
        <v>494</v>
      </c>
      <c r="F48" s="18">
        <v>7</v>
      </c>
      <c r="G48" s="18">
        <f>IFERROR(VLOOKUP(E48,AnswerCTBL,2,FALSE),0)</f>
        <v>0.5</v>
      </c>
      <c r="H48" s="108">
        <f>IFERROR(AVERAGE(G48,G56),0)</f>
        <v>0.35</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t="s">
        <v>493</v>
      </c>
      <c r="F62" s="18">
        <v>9</v>
      </c>
      <c r="G62" s="18">
        <f>IFERROR(VLOOKUP(E62,AnswerCTBL,2,FALSE),0)</f>
        <v>0.2</v>
      </c>
      <c r="H62" s="108">
        <f>IFERROR(AVERAGE(G62,G65),0)</f>
        <v>0.35</v>
      </c>
      <c r="I62" s="257"/>
      <c r="J62" s="250">
        <f>SUM(H62,H73,H89)</f>
        <v>0.89999999999999991</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t="s">
        <v>430</v>
      </c>
      <c r="F65" s="18">
        <v>10</v>
      </c>
      <c r="G65" s="18">
        <f>IFERROR(VLOOKUP(E65,AnswerETBL,2,FALSE),0)</f>
        <v>0.5</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t="s">
        <v>431</v>
      </c>
      <c r="F73" s="18">
        <v>11</v>
      </c>
      <c r="G73" s="18">
        <f>IFERROR(VLOOKUP(E73,AnswerFTBL,2,FALSE),0)</f>
        <v>0.5</v>
      </c>
      <c r="H73" s="109">
        <f>IFERROR(AVERAGE(G73,G81),0)</f>
        <v>0.35</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t="s">
        <v>493</v>
      </c>
      <c r="F81" s="18">
        <v>12</v>
      </c>
      <c r="G81" s="18">
        <f>IFERROR(VLOOKUP(E81,AnswerCTBL,2,FALSE),0)</f>
        <v>0.2</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t="s">
        <v>493</v>
      </c>
      <c r="F89" s="18">
        <v>13</v>
      </c>
      <c r="G89" s="18">
        <f>IFERROR(VLOOKUP(E89,AnswerCTBL,2,FALSE),0)</f>
        <v>0.2</v>
      </c>
      <c r="H89" s="109">
        <f>IFERROR(AVERAGE(G89,G94),0)</f>
        <v>0.2</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t="s">
        <v>442</v>
      </c>
      <c r="F94" s="18">
        <v>14</v>
      </c>
      <c r="G94" s="18">
        <f>IFERROR(VLOOKUP(E94,AnswerGTBL,2,FALSE),0)</f>
        <v>0.2</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t="s">
        <v>427</v>
      </c>
      <c r="F100" s="18">
        <v>15</v>
      </c>
      <c r="G100" s="18">
        <f>IFERROR(VLOOKUP(E100,AnswerDTBL,2,FALSE),0)</f>
        <v>0.5</v>
      </c>
      <c r="H100" s="109">
        <f>IFERROR(AVERAGE(G100,G105),0)</f>
        <v>0.5</v>
      </c>
      <c r="I100" s="257"/>
      <c r="J100" s="250">
        <f>SUM(H100,H111,H124)</f>
        <v>1.05</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t="s">
        <v>494</v>
      </c>
      <c r="F105" s="18">
        <v>16</v>
      </c>
      <c r="G105" s="18">
        <f>IFERROR(VLOOKUP(E105,AnswerCTBL,2,FALSE),0)</f>
        <v>0.5</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t="s">
        <v>494</v>
      </c>
      <c r="F111" s="18">
        <v>17</v>
      </c>
      <c r="G111" s="18">
        <f>IFERROR(VLOOKUP(E111,AnswerCTBL,2,FALSE),0)</f>
        <v>0.5</v>
      </c>
      <c r="H111" s="109">
        <f>IFERROR(AVERAGE(G111,G118),0)</f>
        <v>0.35</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t="s">
        <v>493</v>
      </c>
      <c r="F118" s="18">
        <v>18</v>
      </c>
      <c r="G118" s="18">
        <f>IFERROR(VLOOKUP(E118,AnswerCTBL,2,FALSE),0)</f>
        <v>0.2</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t="s">
        <v>497</v>
      </c>
      <c r="F124" s="18">
        <v>19</v>
      </c>
      <c r="G124" s="18">
        <f>IFERROR(VLOOKUP(E124,AnswerFTBL,2,FALSE),0)</f>
        <v>0.2</v>
      </c>
      <c r="H124" s="109">
        <f>IFERROR(AVERAGE(G124,G130),0)</f>
        <v>0.2</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t="s">
        <v>426</v>
      </c>
      <c r="F130" s="18">
        <v>20</v>
      </c>
      <c r="G130" s="18">
        <f>IFERROR(VLOOKUP(E130,AnswerDTBL,2,FALSE),0)</f>
        <v>0.2</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t="s">
        <v>493</v>
      </c>
      <c r="F138" s="18">
        <v>1</v>
      </c>
      <c r="G138" s="18">
        <f>IFERROR(VLOOKUP(E138,AnswerCTBL,2,FALSE),0)</f>
        <v>0.2</v>
      </c>
      <c r="H138" s="109">
        <f>IFERROR(AVERAGE(G138,G144),0)</f>
        <v>0.2</v>
      </c>
      <c r="I138" s="269"/>
      <c r="J138" s="327">
        <f>SUM(H138,H150,H162)</f>
        <v>1.1000000000000001</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t="s">
        <v>493</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t="s">
        <v>493</v>
      </c>
      <c r="F150" s="18">
        <v>3</v>
      </c>
      <c r="G150" s="18">
        <f>IFERROR(VLOOKUP(E150,AnswerCTBL,2,FALSE),0)</f>
        <v>0.2</v>
      </c>
      <c r="H150" s="109">
        <f>IFERROR(AVERAGE(G150,G154,G158),0)</f>
        <v>0.3</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t="s">
        <v>493</v>
      </c>
      <c r="F154" s="18">
        <v>4</v>
      </c>
      <c r="G154" s="18">
        <f>IFERROR(VLOOKUP(E154,AnswerCTBL,2,FALSE),0)</f>
        <v>0.2</v>
      </c>
      <c r="H154" s="109"/>
      <c r="I154" s="269"/>
      <c r="J154" s="11"/>
      <c r="K154" s="1"/>
      <c r="L154" s="141"/>
      <c r="M154" s="141"/>
      <c r="N154" s="141"/>
      <c r="O154" s="141"/>
      <c r="P154" s="141"/>
      <c r="Q154" s="1"/>
      <c r="R154" s="1"/>
      <c r="S154" s="1"/>
      <c r="T154" s="1"/>
      <c r="U154" s="1"/>
      <c r="V154" s="1"/>
      <c r="W154" s="1"/>
      <c r="X154" s="1"/>
      <c r="Y154" s="1"/>
      <c r="Z154" s="1"/>
    </row>
    <row r="155" spans="2:26" customFormat="1" ht="26"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t="s">
        <v>494</v>
      </c>
      <c r="F158" s="18">
        <v>5</v>
      </c>
      <c r="G158" s="18">
        <f>IFERROR(VLOOKUP(E158,AnswerCTBL,2,FALSE),0)</f>
        <v>0.5</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t="s">
        <v>495</v>
      </c>
      <c r="F162" s="18">
        <v>6</v>
      </c>
      <c r="G162" s="18">
        <f>IFERROR(VLOOKUP(E162,AnswerCTBL,2,FALSE),0)</f>
        <v>1</v>
      </c>
      <c r="H162" s="109">
        <f>IFERROR(AVERAGE(G162,G166),0)</f>
        <v>0.6</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t="s">
        <v>493</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6"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t="s">
        <v>495</v>
      </c>
      <c r="F173" s="18">
        <v>8</v>
      </c>
      <c r="G173" s="18">
        <f>IFERROR(VLOOKUP(E173,AnswerCTBL,2,FALSE),0)</f>
        <v>1</v>
      </c>
      <c r="H173" s="109">
        <f>IFERROR(AVERAGE(G173,G179),0)</f>
        <v>1</v>
      </c>
      <c r="I173" s="257"/>
      <c r="J173" s="327">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t="s">
        <v>493</v>
      </c>
      <c r="F185" s="18">
        <v>10</v>
      </c>
      <c r="G185" s="18">
        <f>IFERROR(VLOOKUP(E185,AnswerCTBL,2,FALSE),0)</f>
        <v>0.2</v>
      </c>
      <c r="H185" s="109">
        <f>IFERROR(AVERAGE(G185,G192),0)</f>
        <v>0.35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t="s">
        <v>494</v>
      </c>
      <c r="F192" s="18">
        <v>11</v>
      </c>
      <c r="G192" s="18">
        <f>IFERROR(VLOOKUP(E192,AnswerCTBL,2,FALSE),0)</f>
        <v>0.5</v>
      </c>
      <c r="H192" s="109"/>
      <c r="I192" s="257"/>
      <c r="J192" s="11"/>
      <c r="K192" s="1"/>
      <c r="L192" s="141"/>
      <c r="M192" s="141"/>
      <c r="N192" s="141"/>
      <c r="O192" s="141"/>
      <c r="P192" s="141"/>
      <c r="Q192" s="1"/>
      <c r="R192" s="1"/>
      <c r="S192" s="1"/>
      <c r="T192" s="1"/>
      <c r="U192" s="1"/>
      <c r="V192" s="1"/>
      <c r="W192" s="1"/>
      <c r="X192" s="1"/>
      <c r="Y192" s="1"/>
      <c r="Z192" s="1"/>
    </row>
    <row r="193" spans="2:26" customFormat="1" ht="26"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t="s">
        <v>493</v>
      </c>
      <c r="F196" s="18">
        <v>12</v>
      </c>
      <c r="G196" s="18">
        <f>IFERROR(VLOOKUP(E196,AnswerCTBL,2,FALSE),0)</f>
        <v>0.2</v>
      </c>
      <c r="H196" s="109">
        <f>IFERROR(AVERAGE(G196,G199),0)</f>
        <v>0.2</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t="s">
        <v>426</v>
      </c>
      <c r="F199" s="18">
        <v>13</v>
      </c>
      <c r="G199" s="18">
        <f>IFERROR(VLOOKUP(E199,AnswerDTBL,2,FALSE),0)</f>
        <v>0.2</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t="s">
        <v>431</v>
      </c>
      <c r="F206" s="18">
        <v>14</v>
      </c>
      <c r="G206" s="18">
        <f>IFERROR(VLOOKUP(E206,AnswerFTBL,2,FALSE),0)</f>
        <v>0.5</v>
      </c>
      <c r="H206" s="109">
        <f>IFERROR(AVERAGE(G206,G211),0)</f>
        <v>0.35</v>
      </c>
      <c r="I206" s="257"/>
      <c r="J206" s="327">
        <f>SUM(H206,H216,H229)</f>
        <v>1.4500000000000002</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6"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t="s">
        <v>493</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t="s">
        <v>444</v>
      </c>
      <c r="F216" s="18">
        <v>16</v>
      </c>
      <c r="G216" s="18">
        <f>IFERROR(VLOOKUP(E216,AnswerGTBL,2,FALSE),0)</f>
        <v>0.5</v>
      </c>
      <c r="H216" s="109">
        <f>IFERROR(AVERAGE(G216,G223),0)</f>
        <v>0.75</v>
      </c>
      <c r="I216" s="257"/>
      <c r="J216" s="11"/>
      <c r="K216" s="1"/>
      <c r="L216" s="141"/>
      <c r="M216" s="141"/>
      <c r="N216" s="141"/>
      <c r="O216" s="141"/>
      <c r="P216" s="141"/>
      <c r="Q216" s="1"/>
      <c r="R216" s="1"/>
      <c r="S216" s="1"/>
      <c r="T216" s="1"/>
      <c r="U216" s="1"/>
      <c r="V216" s="1"/>
      <c r="W216" s="1"/>
      <c r="X216" s="1"/>
      <c r="Y216" s="1"/>
      <c r="Z216" s="1"/>
    </row>
    <row r="217" spans="2:26" customFormat="1" ht="26" x14ac:dyDescent="0.15">
      <c r="B217" s="261"/>
      <c r="C217" s="232" t="s">
        <v>370</v>
      </c>
      <c r="D217" s="20" t="s">
        <v>498</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t="s">
        <v>432</v>
      </c>
      <c r="F223" s="18">
        <v>17</v>
      </c>
      <c r="G223" s="18">
        <f>IFERROR(VLOOKUP(E223,AnswerFTBL,2,FALSE),0)</f>
        <v>1</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t="s">
        <v>493</v>
      </c>
      <c r="F229" s="18">
        <v>18</v>
      </c>
      <c r="G229" s="18">
        <f>IFERROR(VLOOKUP(E229,AnswerCTBL,2,FALSE),0)</f>
        <v>0.2</v>
      </c>
      <c r="H229" s="109">
        <f>IFERROR(AVERAGE(G229,G233),0)</f>
        <v>0.35</v>
      </c>
      <c r="I229" s="257"/>
      <c r="J229" s="11"/>
      <c r="K229" s="1"/>
      <c r="L229" s="141"/>
      <c r="M229" s="141"/>
      <c r="N229" s="141"/>
      <c r="O229" s="141"/>
      <c r="P229" s="141"/>
      <c r="Q229" s="1"/>
      <c r="R229" s="1"/>
      <c r="S229" s="1"/>
      <c r="T229" s="1"/>
      <c r="U229" s="1"/>
      <c r="V229" s="1"/>
      <c r="W229" s="1"/>
      <c r="X229" s="1"/>
      <c r="Y229" s="1"/>
      <c r="Z229" s="1"/>
    </row>
    <row r="230" spans="2:26" customFormat="1" ht="26"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t="s">
        <v>427</v>
      </c>
      <c r="F233" s="18">
        <v>19</v>
      </c>
      <c r="G233" s="18">
        <f>IFERROR(VLOOKUP(E233,AnswerDTBL,2,FALSE),0)</f>
        <v>0.5</v>
      </c>
      <c r="H233" s="109"/>
      <c r="I233" s="257"/>
      <c r="J233" s="11"/>
      <c r="K233" s="1"/>
      <c r="L233" s="141"/>
      <c r="M233" s="141"/>
      <c r="N233" s="141"/>
      <c r="O233" s="141"/>
      <c r="P233" s="141"/>
      <c r="Q233" s="1"/>
      <c r="R233" s="1"/>
      <c r="S233" s="1"/>
      <c r="T233" s="1"/>
      <c r="U233" s="1"/>
      <c r="V233" s="1"/>
      <c r="W233" s="1"/>
      <c r="X233" s="1"/>
      <c r="Y233" s="1"/>
      <c r="Z233" s="1"/>
    </row>
    <row r="234" spans="2:26" customFormat="1" ht="26"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t="s">
        <v>495</v>
      </c>
      <c r="F239" s="18">
        <v>1</v>
      </c>
      <c r="G239" s="18">
        <f>IFERROR(VLOOKUP(E239,AnswerCTBL,2,FALSE),0)</f>
        <v>1</v>
      </c>
      <c r="H239" s="109">
        <f>IFERROR(AVERAGE(G239,G247),0)</f>
        <v>0.75</v>
      </c>
      <c r="I239" s="257"/>
      <c r="J239" s="318">
        <f>SUM(H239,H254,H265)</f>
        <v>1.85</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6"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t="s">
        <v>494</v>
      </c>
      <c r="F247" s="18">
        <v>2</v>
      </c>
      <c r="G247" s="18">
        <f>IFERROR(VLOOKUP(E247,AnswerCTBL,2,FALSE),0)</f>
        <v>0.5</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t="s">
        <v>494</v>
      </c>
      <c r="F254" s="18">
        <v>3</v>
      </c>
      <c r="G254" s="18">
        <f>IFERROR(VLOOKUP(E254,AnswerCTBL,2,FALSE),0)</f>
        <v>0.5</v>
      </c>
      <c r="H254" s="109">
        <f>IFERROR(AVERAGE(G254,G259),0)</f>
        <v>0.5</v>
      </c>
      <c r="I254" s="257"/>
      <c r="J254" s="11"/>
      <c r="K254" s="1"/>
      <c r="L254" s="141"/>
      <c r="M254" s="141"/>
      <c r="N254" s="141"/>
      <c r="O254" s="141"/>
      <c r="P254" s="141"/>
      <c r="Q254" s="1"/>
      <c r="R254" s="1"/>
      <c r="S254" s="1"/>
      <c r="T254" s="1"/>
      <c r="U254" s="1"/>
      <c r="V254" s="1"/>
      <c r="W254" s="1"/>
      <c r="X254" s="1"/>
      <c r="Y254" s="1"/>
      <c r="Z254" s="1"/>
    </row>
    <row r="255" spans="2:26" customFormat="1" ht="26"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t="s">
        <v>494</v>
      </c>
      <c r="F259" s="18">
        <v>4</v>
      </c>
      <c r="G259" s="18">
        <f>IFERROR(VLOOKUP(E259,AnswerCTBL,2,FALSE),0)</f>
        <v>0.5</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t="s">
        <v>493</v>
      </c>
      <c r="F265" s="18">
        <v>5</v>
      </c>
      <c r="G265" s="18">
        <f>IFERROR(VLOOKUP(E265,AnswerCTBL,2,FALSE),0)</f>
        <v>0.2</v>
      </c>
      <c r="H265" s="109">
        <f>IFERROR(AVERAGE(G265,G270),0)</f>
        <v>0.6</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t="s">
        <v>432</v>
      </c>
      <c r="F270" s="18">
        <v>6</v>
      </c>
      <c r="G270" s="18">
        <f>IFERROR(VLOOKUP(E270,AnswerFTBL,2,FALSE),0)</f>
        <v>1</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t="s">
        <v>442</v>
      </c>
      <c r="F277" s="18">
        <v>7</v>
      </c>
      <c r="G277" s="18">
        <f>IFERROR(VLOOKUP(E277,AnswerGTBL,2,FALSE),0)</f>
        <v>0.2</v>
      </c>
      <c r="H277" s="109">
        <f>IFERROR(AVERAGE(G277,G281),0)</f>
        <v>0.35</v>
      </c>
      <c r="I277" s="257"/>
      <c r="J277" s="318">
        <f>SUM(H277,H287,H296)</f>
        <v>1.0499999999999998</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t="s">
        <v>494</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t="s">
        <v>431</v>
      </c>
      <c r="F287" s="18">
        <v>9</v>
      </c>
      <c r="G287" s="18">
        <f>IFERROR(VLOOKUP(E287,AnswerFTBL,2,FALSE),0)</f>
        <v>0.5</v>
      </c>
      <c r="H287" s="109">
        <f>IFERROR(AVERAGE(G287,G291),0)</f>
        <v>0.35</v>
      </c>
      <c r="I287" s="257"/>
      <c r="J287" s="11"/>
      <c r="K287" s="1"/>
      <c r="L287" s="141"/>
      <c r="M287" s="141"/>
      <c r="N287" s="141"/>
      <c r="O287" s="141"/>
      <c r="P287" s="141"/>
      <c r="Q287" s="1"/>
      <c r="R287" s="1"/>
      <c r="S287" s="1"/>
      <c r="T287" s="1"/>
      <c r="U287" s="1"/>
      <c r="V287" s="1"/>
      <c r="W287" s="1"/>
      <c r="X287" s="1"/>
      <c r="Y287" s="1"/>
      <c r="Z287" s="1"/>
    </row>
    <row r="288" spans="2:26" customFormat="1" ht="26"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t="s">
        <v>493</v>
      </c>
      <c r="F291" s="18">
        <v>10</v>
      </c>
      <c r="G291" s="18">
        <f>IFERROR(VLOOKUP(E291,AnswerCTBL,2,FALSE),0)</f>
        <v>0.2</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t="s">
        <v>444</v>
      </c>
      <c r="F296" s="18">
        <v>11</v>
      </c>
      <c r="G296" s="18">
        <f>IFERROR(VLOOKUP(E296,AnswerGTBL,2,FALSE),0)</f>
        <v>0.5</v>
      </c>
      <c r="H296" s="109">
        <f>IFERROR(AVERAGE(G296,G299),0)</f>
        <v>0.35</v>
      </c>
      <c r="I296" s="257"/>
      <c r="J296" s="11"/>
      <c r="K296" s="1"/>
      <c r="L296" s="141"/>
      <c r="M296" s="141"/>
      <c r="N296" s="141"/>
      <c r="O296" s="141"/>
      <c r="P296" s="141"/>
      <c r="Q296" s="1"/>
      <c r="R296" s="1"/>
      <c r="S296" s="1"/>
      <c r="T296" s="1"/>
      <c r="U296" s="1"/>
      <c r="V296" s="1"/>
      <c r="W296" s="1"/>
      <c r="X296" s="1"/>
      <c r="Y296" s="1"/>
      <c r="Z296" s="1"/>
    </row>
    <row r="297" spans="2:26" customFormat="1" ht="26"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t="s">
        <v>497</v>
      </c>
      <c r="F299" s="18">
        <v>12</v>
      </c>
      <c r="G299" s="18">
        <f>IFERROR(VLOOKUP(E299,AnswerFTBL,2,FALSE),0)</f>
        <v>0.2</v>
      </c>
      <c r="H299" s="109"/>
      <c r="I299" s="257"/>
      <c r="J299" s="11"/>
      <c r="K299" s="1"/>
      <c r="L299" s="141"/>
      <c r="M299" s="141"/>
      <c r="N299" s="141"/>
      <c r="O299" s="141"/>
      <c r="P299" s="141"/>
      <c r="Q299" s="1"/>
      <c r="R299" s="1"/>
      <c r="S299" s="1"/>
      <c r="T299" s="1"/>
      <c r="U299" s="1"/>
      <c r="V299" s="1"/>
      <c r="W299" s="1"/>
      <c r="X299" s="1"/>
      <c r="Y299" s="1"/>
      <c r="Z299" s="1"/>
    </row>
    <row r="300" spans="2:26" customFormat="1" ht="26"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t="s">
        <v>495</v>
      </c>
      <c r="F304" s="18">
        <v>13</v>
      </c>
      <c r="G304" s="18">
        <f>IFERROR(VLOOKUP(E304,AnswerCTBL,2,FALSE),0)</f>
        <v>1</v>
      </c>
      <c r="H304" s="109">
        <f>IFERROR(AVERAGE(G304,G309,G314),0)</f>
        <v>0.56666666666666665</v>
      </c>
      <c r="I304" s="257"/>
      <c r="J304" s="318">
        <f>SUM(H304,H320,H329)</f>
        <v>1.1166666666666667</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t="s">
        <v>494</v>
      </c>
      <c r="F309" s="18">
        <v>14</v>
      </c>
      <c r="G309" s="18">
        <f>IFERROR(VLOOKUP(E309,AnswerCTBL,2,FALSE),0)</f>
        <v>0.5</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t="s">
        <v>493</v>
      </c>
      <c r="F314" s="18">
        <v>15</v>
      </c>
      <c r="G314" s="18">
        <f>IFERROR(VLOOKUP(E314,AnswerCTBL,2,FALSE),0)</f>
        <v>0.2</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t="s">
        <v>494</v>
      </c>
      <c r="F320" s="18">
        <v>16</v>
      </c>
      <c r="G320" s="18">
        <f>IFERROR(VLOOKUP(E320,AnswerCTBL,2,FALSE),0)</f>
        <v>0.5</v>
      </c>
      <c r="H320" s="109">
        <f>IFERROR(AVERAGE(G320,G324),0)</f>
        <v>0.35</v>
      </c>
      <c r="I320" s="257"/>
      <c r="J320" s="11"/>
      <c r="K320" s="1"/>
      <c r="L320" s="141"/>
      <c r="M320" s="141"/>
      <c r="N320" s="141"/>
      <c r="O320" s="141"/>
      <c r="P320" s="141"/>
      <c r="Q320" s="1"/>
      <c r="R320" s="1"/>
      <c r="S320" s="1"/>
      <c r="T320" s="1"/>
      <c r="U320" s="1"/>
      <c r="V320" s="1"/>
      <c r="W320" s="1"/>
      <c r="X320" s="1"/>
      <c r="Y320" s="1"/>
      <c r="Z320" s="1"/>
    </row>
    <row r="321" spans="2:26" customFormat="1" ht="26"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t="s">
        <v>493</v>
      </c>
      <c r="F324" s="18">
        <v>17</v>
      </c>
      <c r="G324" s="18">
        <f>IFERROR(VLOOKUP(E324,AnswerCTBL,2,FALSE),0)</f>
        <v>0.2</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t="s">
        <v>493</v>
      </c>
      <c r="F329" s="18">
        <v>18</v>
      </c>
      <c r="G329" s="18">
        <f>IFERROR(VLOOKUP(E329,AnswerCTBL,2,FALSE),0)</f>
        <v>0.2</v>
      </c>
      <c r="H329" s="109">
        <f>IFERROR(AVERAGE(G329,G332),0)</f>
        <v>0.2</v>
      </c>
      <c r="I329" s="257"/>
      <c r="J329" s="11"/>
      <c r="K329" s="1"/>
      <c r="L329" s="141"/>
      <c r="M329" s="141"/>
      <c r="N329" s="141"/>
      <c r="O329" s="141"/>
      <c r="P329" s="141"/>
      <c r="Q329" s="1"/>
      <c r="R329" s="1"/>
      <c r="S329" s="1"/>
      <c r="T329" s="1"/>
      <c r="U329" s="1"/>
      <c r="V329" s="1"/>
      <c r="W329" s="1"/>
      <c r="X329" s="1"/>
      <c r="Y329" s="1"/>
      <c r="Z329" s="1"/>
    </row>
    <row r="330" spans="2:26" customFormat="1" ht="26"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t="s">
        <v>497</v>
      </c>
      <c r="F332" s="18">
        <v>19</v>
      </c>
      <c r="G332" s="18">
        <f>IFERROR(VLOOKUP(E332,AnswerFTBL,2,FALSE),0)</f>
        <v>0.2</v>
      </c>
      <c r="H332" s="109"/>
      <c r="I332" s="257"/>
      <c r="J332" s="11"/>
      <c r="K332" s="1"/>
      <c r="L332" s="141"/>
      <c r="M332" s="141"/>
      <c r="N332" s="141"/>
      <c r="O332" s="141"/>
      <c r="P332" s="141"/>
      <c r="Q332" s="1"/>
      <c r="R332" s="1"/>
      <c r="S332" s="1"/>
      <c r="T332" s="1"/>
      <c r="U332" s="1"/>
      <c r="V332" s="1"/>
      <c r="W332" s="1"/>
      <c r="X332" s="1"/>
      <c r="Y332" s="1"/>
      <c r="Z332" s="1"/>
    </row>
    <row r="333" spans="2:26" customFormat="1" ht="26"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t="s">
        <v>495</v>
      </c>
      <c r="F338" s="18">
        <v>1</v>
      </c>
      <c r="G338" s="18">
        <f>IFERROR(VLOOKUP(E338,AnswerCTBL,2,FALSE),0)</f>
        <v>1</v>
      </c>
      <c r="H338" s="109">
        <f>IFERROR(AVERAGE(G338,G342,G346),0)</f>
        <v>0.83333333333333337</v>
      </c>
      <c r="I338" s="257"/>
      <c r="J338" s="321">
        <f>SUM(H338,H350,H364)</f>
        <v>1.9333333333333336</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t="s">
        <v>454</v>
      </c>
      <c r="F342" s="18">
        <v>2</v>
      </c>
      <c r="G342" s="18">
        <f>IFERROR(VLOOKUP(E342,AnswerATBL,2,FALSE),0)</f>
        <v>0.5</v>
      </c>
      <c r="H342" s="109"/>
      <c r="I342" s="257"/>
      <c r="J342" s="323"/>
      <c r="K342" s="1"/>
      <c r="L342" s="141"/>
      <c r="M342" s="141"/>
      <c r="N342" s="141"/>
      <c r="O342" s="141"/>
      <c r="P342" s="141"/>
      <c r="Q342" s="1"/>
      <c r="R342" s="1"/>
      <c r="S342" s="1"/>
      <c r="T342" s="1"/>
      <c r="U342" s="1"/>
      <c r="V342" s="1"/>
      <c r="W342" s="1"/>
      <c r="X342" s="1"/>
      <c r="Y342" s="1"/>
      <c r="Z342" s="1"/>
    </row>
    <row r="343" spans="2:26" customFormat="1" ht="26"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t="s">
        <v>495</v>
      </c>
      <c r="F346" s="18">
        <v>3</v>
      </c>
      <c r="G346" s="18">
        <f>IFERROR(VLOOKUP(E346,AnswerCTBL,2,FALSE),0)</f>
        <v>1</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t="s">
        <v>443</v>
      </c>
      <c r="F350" s="18">
        <v>4</v>
      </c>
      <c r="G350" s="18">
        <f>IFERROR(VLOOKUP(E350,AnswerGTBL,2,FALSE),0)</f>
        <v>1</v>
      </c>
      <c r="H350" s="109">
        <f>IFERROR(AVERAGE(G350,G360),0)</f>
        <v>0.75</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39"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t="s">
        <v>494</v>
      </c>
      <c r="F360" s="18">
        <v>5</v>
      </c>
      <c r="G360" s="18">
        <f>IFERROR(VLOOKUP(E360,AnswerCTBL,2,FALSE),0)</f>
        <v>0.5</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t="s">
        <v>494</v>
      </c>
      <c r="F364" s="18">
        <v>6</v>
      </c>
      <c r="G364" s="18">
        <f>IFERROR(VLOOKUP(E364,AnswerCTBL,2,FALSE),0)</f>
        <v>0.5</v>
      </c>
      <c r="H364" s="109">
        <f>IFERROR(AVERAGE(G364,G370),0)</f>
        <v>0.35</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t="s">
        <v>493</v>
      </c>
      <c r="F370" s="18">
        <v>7</v>
      </c>
      <c r="G370" s="18">
        <f>IFERROR(VLOOKUP(E370,AnswerCTBL,2,FALSE),0)</f>
        <v>0.2</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t="s">
        <v>495</v>
      </c>
      <c r="F376" s="18">
        <v>8</v>
      </c>
      <c r="G376" s="18">
        <f>IFERROR(VLOOKUP(E376,AnswerCTBL,2,FALSE),0)</f>
        <v>1</v>
      </c>
      <c r="H376" s="109">
        <f>IFERROR(AVERAGE(G376,G382),0)</f>
        <v>0.75</v>
      </c>
      <c r="I376" s="257"/>
      <c r="J376" s="321">
        <f>SUM(H376,H387,H400)</f>
        <v>1.7000000000000002</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t="s">
        <v>494</v>
      </c>
      <c r="F382" s="18">
        <v>9</v>
      </c>
      <c r="G382" s="18">
        <f>IFERROR(VLOOKUP(E382,AnswerCTBL,2,FALSE),0)</f>
        <v>0.5</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t="s">
        <v>444</v>
      </c>
      <c r="F387" s="18">
        <v>10</v>
      </c>
      <c r="G387" s="18">
        <f>IFERROR(VLOOKUP(E387,AnswerGTBL,2,FALSE),0)</f>
        <v>0.5</v>
      </c>
      <c r="H387" s="109">
        <f>IFERROR(AVERAGE(G387,G392),0)</f>
        <v>0.35</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t="s">
        <v>493</v>
      </c>
      <c r="F392" s="18">
        <v>11</v>
      </c>
      <c r="G392" s="18">
        <f>IFERROR(VLOOKUP(E392,AnswerCTBL,2,FALSE),0)</f>
        <v>0.2</v>
      </c>
      <c r="H392" s="109"/>
      <c r="I392" s="257"/>
      <c r="J392" s="11"/>
      <c r="K392" s="1"/>
      <c r="L392" s="141"/>
      <c r="M392" s="141"/>
      <c r="N392" s="141"/>
      <c r="O392" s="141"/>
      <c r="P392" s="141"/>
      <c r="Q392" s="1"/>
      <c r="R392" s="1"/>
      <c r="S392" s="1"/>
      <c r="T392" s="1"/>
      <c r="U392" s="1"/>
      <c r="V392" s="1"/>
      <c r="W392" s="1"/>
      <c r="X392" s="1"/>
      <c r="Y392" s="1"/>
      <c r="Z392" s="1"/>
    </row>
    <row r="393" spans="2:26" customFormat="1" ht="26"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t="s">
        <v>432</v>
      </c>
      <c r="F400" s="18">
        <v>12</v>
      </c>
      <c r="G400" s="18">
        <f>IFERROR(VLOOKUP(E400,AnswerFTBL,2,FALSE),0)</f>
        <v>1</v>
      </c>
      <c r="H400" s="109">
        <f>IFERROR(AVERAGE(G400,G404),0)</f>
        <v>0.6</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t="s">
        <v>442</v>
      </c>
      <c r="F404" s="18">
        <v>13</v>
      </c>
      <c r="G404" s="18">
        <f>IFERROR(VLOOKUP(E404,AnswerGTBL,2,FALSE),0)</f>
        <v>0.2</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t="s">
        <v>494</v>
      </c>
      <c r="F411" s="18">
        <v>14</v>
      </c>
      <c r="G411" s="18">
        <f>IFERROR(VLOOKUP(E411,AnswerCTBL,2,FALSE),0)</f>
        <v>0.5</v>
      </c>
      <c r="H411" s="109">
        <f>IFERROR(AVERAGE(G411,G417),0)</f>
        <v>0.5</v>
      </c>
      <c r="I411" s="257"/>
      <c r="J411" s="321">
        <f>SUM(H411,H424,H439)</f>
        <v>0.95</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6"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3"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t="s">
        <v>494</v>
      </c>
      <c r="F417" s="18">
        <v>15</v>
      </c>
      <c r="G417" s="18">
        <f>IFERROR(VLOOKUP(E417,AnswerCTBL,2,FALSE),0)</f>
        <v>0.5</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t="s">
        <v>366</v>
      </c>
      <c r="F424" s="18">
        <v>16</v>
      </c>
      <c r="G424" s="18">
        <f>IFERROR(VLOOKUP(E424,AnswerCTBL,2,FALSE),0)</f>
        <v>0</v>
      </c>
      <c r="H424" s="109">
        <f>IFERROR(AVERAGE(G424,G431),0)</f>
        <v>0.1</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t="s">
        <v>493</v>
      </c>
      <c r="F431" s="18">
        <v>17</v>
      </c>
      <c r="G431" s="18">
        <f>IFERROR(VLOOKUP(E431,AnswerCTBL,2,FALSE),0)</f>
        <v>0.2</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6"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t="s">
        <v>426</v>
      </c>
      <c r="F439" s="18">
        <v>18</v>
      </c>
      <c r="G439" s="18">
        <f>IFERROR(VLOOKUP(E439,AnswerDTBL,2,FALSE),0)</f>
        <v>0.2</v>
      </c>
      <c r="H439" s="109">
        <f>IFERROR(AVERAGE(G439,G443),0)</f>
        <v>0.35</v>
      </c>
      <c r="I439" s="257"/>
      <c r="J439" s="11"/>
      <c r="K439" s="1"/>
      <c r="L439" s="141"/>
      <c r="M439" s="141"/>
      <c r="N439" s="141"/>
      <c r="O439" s="141"/>
      <c r="P439" s="141"/>
      <c r="Q439" s="1"/>
      <c r="R439" s="1"/>
      <c r="S439" s="1"/>
      <c r="T439" s="1"/>
      <c r="U439" s="1"/>
      <c r="V439" s="1"/>
      <c r="W439" s="1"/>
      <c r="X439" s="1"/>
      <c r="Y439" s="1"/>
      <c r="Z439" s="1"/>
    </row>
    <row r="440" spans="2:26" customFormat="1" ht="26"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t="s">
        <v>430</v>
      </c>
      <c r="F443" s="18">
        <v>19</v>
      </c>
      <c r="G443" s="18">
        <f>IFERROR(VLOOKUP(E443,AnswerETBL,2,FALSE),0)</f>
        <v>0.5</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M23:P23 M28:P28">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259 E314 E338 E346 E360">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443">
      <formula1>AnswerE</formula1>
    </dataValidation>
    <dataValidation type="list" allowBlank="1" showInputMessage="1" showErrorMessage="1" sqref="E73 E124 E206 E223 E179 E400 E270 E299 E332 E287">
      <formula1>AnswerF</formula1>
    </dataValidation>
    <dataValidation type="list" allowBlank="1" showInputMessage="1" showErrorMessage="1" sqref="E216 E404 E350 E277 E387 E296 E9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SAMM Assessment Scorecard: Brick Builder For Acme Brick Co</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Acme Brick Co</v>
      </c>
      <c r="D5" s="352"/>
      <c r="E5" s="352"/>
      <c r="F5" s="352"/>
      <c r="G5" s="1"/>
      <c r="H5" s="1"/>
      <c r="I5" s="1"/>
      <c r="J5" s="1"/>
      <c r="K5" s="1"/>
      <c r="L5" s="1"/>
      <c r="M5" s="1"/>
      <c r="N5" s="1"/>
    </row>
    <row r="6" spans="1:25" ht="12.75" customHeight="1" x14ac:dyDescent="0.15">
      <c r="A6" s="351" t="str">
        <f>Interview!B11</f>
        <v>Project:</v>
      </c>
      <c r="B6" s="352"/>
      <c r="C6" s="352" t="str">
        <f>IF(ISBLANK(Interview!D11),"",Interview!D11)</f>
        <v>Brick Builder</v>
      </c>
      <c r="D6" s="352"/>
      <c r="E6" s="352"/>
      <c r="F6" s="352"/>
      <c r="G6" s="1"/>
      <c r="H6" s="1"/>
      <c r="I6" s="1"/>
      <c r="J6" s="1"/>
      <c r="K6" s="1"/>
      <c r="L6" s="1"/>
      <c r="M6" s="1"/>
      <c r="N6" s="1"/>
    </row>
    <row r="7" spans="1:25" ht="12.75" customHeight="1" x14ac:dyDescent="0.15">
      <c r="A7" s="351" t="str">
        <f>Interview!B12</f>
        <v>Interview Date:</v>
      </c>
      <c r="B7" s="352"/>
      <c r="C7" s="353">
        <f>IF(ISBLANK(Interview!D12),"",Interview!D12)</f>
        <v>42794</v>
      </c>
      <c r="D7" s="353"/>
      <c r="E7" s="353"/>
      <c r="F7" s="353"/>
      <c r="G7" s="1"/>
      <c r="H7" s="1"/>
      <c r="I7" s="1"/>
      <c r="J7" s="1"/>
      <c r="K7" s="1"/>
      <c r="L7" s="1"/>
      <c r="M7" s="1"/>
      <c r="N7" s="1"/>
    </row>
    <row r="8" spans="1:25" ht="12.75" customHeight="1" x14ac:dyDescent="0.15">
      <c r="A8" s="351" t="str">
        <f>Interview!B13</f>
        <v>Interviewer:</v>
      </c>
      <c r="B8" s="352"/>
      <c r="C8" s="352" t="str">
        <f>IF(ISBLANK(Interview!D13),"",Interview!D13)</f>
        <v>Steve</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Willy Thomas, Kate Smith, Joe Kats, Ars Hickory, Rick Links</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1.4833333333333334</v>
      </c>
      <c r="W13" s="107">
        <v>0</v>
      </c>
      <c r="X13" s="107">
        <v>0</v>
      </c>
      <c r="Y13" s="107">
        <v>0</v>
      </c>
    </row>
    <row r="14" spans="1:25" ht="25" customHeight="1" x14ac:dyDescent="0.15">
      <c r="A14" s="72" t="s">
        <v>58</v>
      </c>
      <c r="B14" s="76" t="s">
        <v>59</v>
      </c>
      <c r="C14" s="107">
        <f>Interview!$J$18</f>
        <v>1.4833333333333334</v>
      </c>
      <c r="D14" s="107">
        <f>Interview!H18</f>
        <v>0.46666666666666662</v>
      </c>
      <c r="E14" s="107">
        <f>Interview!H35</f>
        <v>0.66666666666666663</v>
      </c>
      <c r="F14" s="107">
        <f>Interview!H48</f>
        <v>0.35</v>
      </c>
      <c r="G14" s="6">
        <f t="shared" ref="G14:G25" si="0">(((((IF((C14="0+"),0.5,0)+IF((C14=1),1,0))+IF((C14="1+"),1.5,0))+IF((C14=2),2,0))+IF((C14="2+"),2.5,0))+IF((C14=3),3,0))+IF((C14="3+"),3.5,0)</f>
        <v>0</v>
      </c>
      <c r="H14" s="3"/>
      <c r="I14" s="72" t="s">
        <v>58</v>
      </c>
      <c r="J14" s="107">
        <f>AVERAGE(C14:C16)</f>
        <v>1.1444444444444446</v>
      </c>
      <c r="L14" s="1"/>
      <c r="M14" s="1"/>
      <c r="N14" s="1"/>
      <c r="T14" s="72" t="s">
        <v>58</v>
      </c>
      <c r="U14" s="76" t="s">
        <v>90</v>
      </c>
      <c r="V14" s="107">
        <f>Interview!$J$62</f>
        <v>0.89999999999999991</v>
      </c>
      <c r="W14" s="107">
        <v>0</v>
      </c>
      <c r="X14" s="107">
        <v>0</v>
      </c>
      <c r="Y14" s="107">
        <v>0</v>
      </c>
    </row>
    <row r="15" spans="1:25" ht="25" customHeight="1" x14ac:dyDescent="0.15">
      <c r="A15" s="72" t="s">
        <v>58</v>
      </c>
      <c r="B15" s="76" t="s">
        <v>90</v>
      </c>
      <c r="C15" s="107">
        <f>Interview!$J$62</f>
        <v>0.89999999999999991</v>
      </c>
      <c r="D15" s="107">
        <f>Interview!H62</f>
        <v>0.35</v>
      </c>
      <c r="E15" s="107">
        <f>Interview!H73</f>
        <v>0.35</v>
      </c>
      <c r="F15" s="107">
        <f>Interview!H89</f>
        <v>0.2</v>
      </c>
      <c r="G15" s="6">
        <f t="shared" si="0"/>
        <v>0</v>
      </c>
      <c r="H15" s="3"/>
      <c r="I15" s="77" t="s">
        <v>149</v>
      </c>
      <c r="J15" s="107">
        <f>AVERAGE(C17:C19)</f>
        <v>1.3666666666666669</v>
      </c>
      <c r="L15" s="1"/>
      <c r="M15" s="1"/>
      <c r="N15" s="1"/>
      <c r="T15" s="72" t="s">
        <v>58</v>
      </c>
      <c r="U15" s="76" t="s">
        <v>122</v>
      </c>
      <c r="V15" s="107">
        <f>Interview!$J$100</f>
        <v>1.05</v>
      </c>
      <c r="W15" s="107">
        <v>0</v>
      </c>
      <c r="X15" s="107">
        <v>0</v>
      </c>
      <c r="Y15" s="107">
        <v>0</v>
      </c>
    </row>
    <row r="16" spans="1:25" ht="25" customHeight="1" x14ac:dyDescent="0.15">
      <c r="A16" s="72" t="s">
        <v>58</v>
      </c>
      <c r="B16" s="76" t="s">
        <v>122</v>
      </c>
      <c r="C16" s="107">
        <f>Interview!$J$100</f>
        <v>1.05</v>
      </c>
      <c r="D16" s="107">
        <f>Interview!H100</f>
        <v>0.5</v>
      </c>
      <c r="E16" s="107">
        <f>Interview!H111</f>
        <v>0.35</v>
      </c>
      <c r="F16" s="107">
        <f>Interview!H124</f>
        <v>0.2</v>
      </c>
      <c r="G16" s="6">
        <f t="shared" si="0"/>
        <v>0</v>
      </c>
      <c r="H16" s="3"/>
      <c r="I16" s="82" t="s">
        <v>222</v>
      </c>
      <c r="J16" s="107">
        <f>AVERAGE(C20:C22)</f>
        <v>1.3388888888888888</v>
      </c>
      <c r="L16" s="1"/>
      <c r="M16" s="1"/>
      <c r="N16" s="1"/>
      <c r="T16" s="77" t="s">
        <v>149</v>
      </c>
      <c r="U16" s="81" t="s">
        <v>150</v>
      </c>
      <c r="V16" s="107">
        <v>0</v>
      </c>
      <c r="W16" s="107">
        <f>Interview!$J$138</f>
        <v>1.1000000000000001</v>
      </c>
      <c r="X16" s="107">
        <v>0</v>
      </c>
      <c r="Y16" s="107">
        <v>0</v>
      </c>
    </row>
    <row r="17" spans="1:25" ht="25" customHeight="1" x14ac:dyDescent="0.15">
      <c r="A17" s="77" t="s">
        <v>149</v>
      </c>
      <c r="B17" s="81" t="s">
        <v>150</v>
      </c>
      <c r="C17" s="107">
        <f>Interview!$J$138</f>
        <v>1.1000000000000001</v>
      </c>
      <c r="D17" s="107">
        <f>Interview!H138</f>
        <v>0.2</v>
      </c>
      <c r="E17" s="107">
        <f>Interview!H150</f>
        <v>0.3</v>
      </c>
      <c r="F17" s="107">
        <f>Interview!H162</f>
        <v>0.6</v>
      </c>
      <c r="G17" s="6">
        <f t="shared" si="0"/>
        <v>0</v>
      </c>
      <c r="H17" s="3"/>
      <c r="I17" s="87" t="s">
        <v>373</v>
      </c>
      <c r="J17" s="107">
        <f>AVERAGE(C23:C25)</f>
        <v>1.5277777777777779</v>
      </c>
      <c r="L17" s="1"/>
      <c r="M17" s="1"/>
      <c r="N17" s="1"/>
      <c r="T17" s="77" t="s">
        <v>149</v>
      </c>
      <c r="U17" s="81" t="s">
        <v>176</v>
      </c>
      <c r="V17" s="107">
        <v>0</v>
      </c>
      <c r="W17" s="107">
        <f>Interview!$J$173</f>
        <v>1.55</v>
      </c>
      <c r="X17" s="107">
        <v>0</v>
      </c>
      <c r="Y17" s="107">
        <v>0</v>
      </c>
    </row>
    <row r="18" spans="1:25" ht="25" customHeight="1" x14ac:dyDescent="0.15">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1.4500000000000002</v>
      </c>
      <c r="X18" s="107">
        <v>0</v>
      </c>
      <c r="Y18" s="107">
        <v>0</v>
      </c>
    </row>
    <row r="19" spans="1:25" ht="25" customHeight="1" x14ac:dyDescent="0.15">
      <c r="A19" s="77" t="s">
        <v>149</v>
      </c>
      <c r="B19" s="81" t="s">
        <v>199</v>
      </c>
      <c r="C19" s="107">
        <f>Interview!$J$206</f>
        <v>1.4500000000000002</v>
      </c>
      <c r="D19" s="107">
        <f>Interview!H206</f>
        <v>0.35</v>
      </c>
      <c r="E19" s="107">
        <f>Interview!H216</f>
        <v>0.75</v>
      </c>
      <c r="F19" s="107">
        <f>Interview!H229</f>
        <v>0.35</v>
      </c>
      <c r="G19" s="6">
        <f t="shared" si="0"/>
        <v>0</v>
      </c>
      <c r="H19" s="3"/>
      <c r="I19" s="1"/>
      <c r="J19" s="1"/>
      <c r="K19" s="1"/>
      <c r="L19" s="1"/>
      <c r="M19" s="1"/>
      <c r="N19" s="1"/>
      <c r="T19" s="82" t="s">
        <v>222</v>
      </c>
      <c r="U19" s="86" t="s">
        <v>43</v>
      </c>
      <c r="V19" s="107">
        <v>0</v>
      </c>
      <c r="W19" s="107">
        <v>0</v>
      </c>
      <c r="X19" s="107">
        <f>Interview!$J$239</f>
        <v>1.85</v>
      </c>
      <c r="Y19" s="107">
        <v>0</v>
      </c>
    </row>
    <row r="20" spans="1:25" ht="25" customHeight="1" x14ac:dyDescent="0.15">
      <c r="A20" s="82" t="s">
        <v>222</v>
      </c>
      <c r="B20" s="86" t="s">
        <v>43</v>
      </c>
      <c r="C20" s="107">
        <f>Interview!$J$239</f>
        <v>1.85</v>
      </c>
      <c r="D20" s="107">
        <f>Interview!H239</f>
        <v>0.75</v>
      </c>
      <c r="E20" s="107">
        <f>Interview!H254</f>
        <v>0.5</v>
      </c>
      <c r="F20" s="107">
        <f>Interview!H265</f>
        <v>0.6</v>
      </c>
      <c r="G20" s="6">
        <f t="shared" si="0"/>
        <v>0</v>
      </c>
      <c r="H20" s="3"/>
      <c r="I20" s="1"/>
      <c r="J20" s="1"/>
      <c r="K20" s="1"/>
      <c r="L20" s="1"/>
      <c r="M20" s="1"/>
      <c r="N20" s="1"/>
      <c r="T20" s="82" t="s">
        <v>222</v>
      </c>
      <c r="U20" s="86" t="s">
        <v>381</v>
      </c>
      <c r="V20" s="107">
        <v>0</v>
      </c>
      <c r="W20" s="107">
        <v>0</v>
      </c>
      <c r="X20" s="107">
        <f>Interview!$J$277</f>
        <v>1.0499999999999998</v>
      </c>
      <c r="Y20" s="107">
        <v>0</v>
      </c>
    </row>
    <row r="21" spans="1:25" ht="25" customHeight="1" x14ac:dyDescent="0.15">
      <c r="A21" s="82" t="s">
        <v>222</v>
      </c>
      <c r="B21" s="86" t="s">
        <v>381</v>
      </c>
      <c r="C21" s="107">
        <f>Interview!$J$277</f>
        <v>1.0499999999999998</v>
      </c>
      <c r="D21" s="107">
        <f>Interview!H277</f>
        <v>0.35</v>
      </c>
      <c r="E21" s="107">
        <f>Interview!H287</f>
        <v>0.35</v>
      </c>
      <c r="F21" s="107">
        <f>Interview!H296</f>
        <v>0.35</v>
      </c>
      <c r="G21" s="6">
        <f t="shared" si="0"/>
        <v>0</v>
      </c>
      <c r="H21" s="3"/>
      <c r="I21" s="1"/>
      <c r="J21" s="1"/>
      <c r="K21" s="1"/>
      <c r="L21" s="1"/>
      <c r="M21" s="1"/>
      <c r="N21" s="1"/>
      <c r="T21" s="82" t="s">
        <v>222</v>
      </c>
      <c r="U21" s="86" t="s">
        <v>265</v>
      </c>
      <c r="V21" s="107">
        <v>0</v>
      </c>
      <c r="W21" s="107">
        <v>0</v>
      </c>
      <c r="X21" s="107">
        <f>Interview!$J$304</f>
        <v>1.1166666666666667</v>
      </c>
      <c r="Y21" s="107">
        <v>0</v>
      </c>
    </row>
    <row r="22" spans="1:25" ht="25" customHeight="1" x14ac:dyDescent="0.15">
      <c r="A22" s="82" t="s">
        <v>222</v>
      </c>
      <c r="B22" s="86" t="s">
        <v>265</v>
      </c>
      <c r="C22" s="107">
        <f>Interview!$J$304</f>
        <v>1.1166666666666667</v>
      </c>
      <c r="D22" s="107">
        <f>Interview!H304</f>
        <v>0.56666666666666665</v>
      </c>
      <c r="E22" s="107">
        <f>Interview!H320</f>
        <v>0.35</v>
      </c>
      <c r="F22" s="107">
        <f>Interview!H329</f>
        <v>0.2</v>
      </c>
      <c r="G22" s="6">
        <f t="shared" si="0"/>
        <v>0</v>
      </c>
      <c r="H22" s="3"/>
      <c r="I22" s="1"/>
      <c r="J22" s="1"/>
      <c r="K22" s="1"/>
      <c r="L22" s="1"/>
      <c r="M22" s="1"/>
      <c r="N22" s="1"/>
      <c r="T22" s="87" t="s">
        <v>373</v>
      </c>
      <c r="U22" s="91" t="s">
        <v>374</v>
      </c>
      <c r="V22" s="107">
        <v>0</v>
      </c>
      <c r="W22" s="107">
        <v>0</v>
      </c>
      <c r="X22" s="107">
        <v>0</v>
      </c>
      <c r="Y22" s="107">
        <f>Interview!$J$338</f>
        <v>1.9333333333333336</v>
      </c>
    </row>
    <row r="23" spans="1:25" ht="25" customHeight="1" x14ac:dyDescent="0.15">
      <c r="A23" s="87" t="s">
        <v>373</v>
      </c>
      <c r="B23" s="91" t="s">
        <v>374</v>
      </c>
      <c r="C23" s="107">
        <f>Interview!$J$338</f>
        <v>1.9333333333333336</v>
      </c>
      <c r="D23" s="107">
        <f>Interview!H338</f>
        <v>0.83333333333333337</v>
      </c>
      <c r="E23" s="107">
        <f>Interview!H350</f>
        <v>0.75</v>
      </c>
      <c r="F23" s="107">
        <f>Interview!H364</f>
        <v>0.35</v>
      </c>
      <c r="G23" s="6">
        <f t="shared" si="0"/>
        <v>0</v>
      </c>
      <c r="H23" s="3"/>
      <c r="I23" s="1"/>
      <c r="J23" s="1"/>
      <c r="K23" s="1"/>
      <c r="L23" s="1"/>
      <c r="M23" s="1"/>
      <c r="N23" s="1"/>
      <c r="T23" s="87" t="s">
        <v>373</v>
      </c>
      <c r="U23" s="91" t="s">
        <v>309</v>
      </c>
      <c r="V23" s="107">
        <v>0</v>
      </c>
      <c r="W23" s="107">
        <v>0</v>
      </c>
      <c r="X23" s="107">
        <v>0</v>
      </c>
      <c r="Y23" s="107">
        <f>Interview!$J$376</f>
        <v>1.7000000000000002</v>
      </c>
    </row>
    <row r="24" spans="1:25" ht="25" customHeight="1" x14ac:dyDescent="0.15">
      <c r="A24" s="87" t="s">
        <v>373</v>
      </c>
      <c r="B24" s="91" t="s">
        <v>309</v>
      </c>
      <c r="C24" s="107">
        <f>Interview!$J$376</f>
        <v>1.7000000000000002</v>
      </c>
      <c r="D24" s="107">
        <f>Interview!H376</f>
        <v>0.75</v>
      </c>
      <c r="E24" s="107">
        <f>Interview!H387</f>
        <v>0.35</v>
      </c>
      <c r="F24" s="107">
        <f>Interview!H400</f>
        <v>0.6</v>
      </c>
      <c r="G24" s="6">
        <f t="shared" si="0"/>
        <v>0</v>
      </c>
      <c r="H24" s="3"/>
      <c r="I24" s="1"/>
      <c r="J24" s="1"/>
      <c r="K24" s="1"/>
      <c r="L24" s="1"/>
      <c r="M24" s="1"/>
      <c r="N24" s="1"/>
      <c r="T24" s="87" t="s">
        <v>373</v>
      </c>
      <c r="U24" s="91" t="s">
        <v>7</v>
      </c>
      <c r="V24" s="107">
        <v>0</v>
      </c>
      <c r="W24" s="107">
        <v>0</v>
      </c>
      <c r="X24" s="107">
        <v>0</v>
      </c>
      <c r="Y24" s="107">
        <f>Interview!$J$411</f>
        <v>0.95</v>
      </c>
    </row>
    <row r="25" spans="1:25" ht="25" customHeight="1" x14ac:dyDescent="0.15">
      <c r="A25" s="87" t="s">
        <v>373</v>
      </c>
      <c r="B25" s="91" t="s">
        <v>7</v>
      </c>
      <c r="C25" s="107">
        <f>Interview!$J$411</f>
        <v>0.95</v>
      </c>
      <c r="D25" s="107">
        <f>Interview!H411</f>
        <v>0.5</v>
      </c>
      <c r="E25" s="107">
        <f>Interview!H424</f>
        <v>0.1</v>
      </c>
      <c r="F25" s="107">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2.3333333333333335</v>
      </c>
      <c r="W31" s="107">
        <v>0</v>
      </c>
      <c r="X31" s="107">
        <v>0</v>
      </c>
      <c r="Y31" s="107">
        <v>0</v>
      </c>
    </row>
    <row r="32" spans="1:25" ht="25" customHeight="1" x14ac:dyDescent="0.15">
      <c r="A32" s="72" t="s">
        <v>58</v>
      </c>
      <c r="B32" s="76" t="s">
        <v>59</v>
      </c>
      <c r="C32" s="107">
        <f>Roadmap!Y20</f>
        <v>2.3333333333333335</v>
      </c>
      <c r="D32" s="107">
        <f>Roadmap!X20</f>
        <v>1</v>
      </c>
      <c r="E32" s="107">
        <f>Roadmap!X24</f>
        <v>0.83333333333333337</v>
      </c>
      <c r="F32" s="107">
        <f>Roadmap!X28</f>
        <v>0.5</v>
      </c>
      <c r="G32" s="6">
        <f t="shared" ref="G32:G43" si="1">(((((IF((C32="0+"),0.5,0)+IF((C32=1),1,0))+IF((C32="1+"),1.5,0))+IF((C32=2),2,0))+IF((C32="2+"),2.5,0))+IF((C32=3),3,0))+IF((C32="3+"),3.5,0)</f>
        <v>0</v>
      </c>
      <c r="H32" s="3"/>
      <c r="I32" s="72" t="s">
        <v>58</v>
      </c>
      <c r="J32" s="107">
        <f>AVERAGE(C32:C34)</f>
        <v>2.3444444444444446</v>
      </c>
      <c r="K32" s="1"/>
      <c r="L32" s="1"/>
      <c r="M32" s="1"/>
      <c r="N32" s="1"/>
      <c r="T32" s="72" t="s">
        <v>58</v>
      </c>
      <c r="U32" s="76" t="s">
        <v>90</v>
      </c>
      <c r="V32" s="107">
        <f>'Roadmap Chart'!I13</f>
        <v>2.5</v>
      </c>
      <c r="W32" s="107">
        <v>0</v>
      </c>
      <c r="X32" s="107">
        <v>0</v>
      </c>
      <c r="Y32" s="107">
        <v>0</v>
      </c>
    </row>
    <row r="33" spans="1:25" ht="25" customHeight="1" x14ac:dyDescent="0.15">
      <c r="A33" s="72" t="s">
        <v>58</v>
      </c>
      <c r="B33" s="76" t="s">
        <v>90</v>
      </c>
      <c r="C33" s="107">
        <f>Roadmap!Y31</f>
        <v>2.5</v>
      </c>
      <c r="D33" s="107">
        <f>Roadmap!X31</f>
        <v>0.75</v>
      </c>
      <c r="E33" s="107">
        <f>Roadmap!X34</f>
        <v>1</v>
      </c>
      <c r="F33" s="107">
        <f>Roadmap!X37</f>
        <v>0.75</v>
      </c>
      <c r="G33" s="6">
        <f t="shared" si="1"/>
        <v>0</v>
      </c>
      <c r="H33" s="3"/>
      <c r="I33" s="77" t="s">
        <v>149</v>
      </c>
      <c r="J33" s="107">
        <f>AVERAGE(C35:C37)</f>
        <v>1.8555555555555554</v>
      </c>
      <c r="K33" s="1"/>
      <c r="L33" s="1"/>
      <c r="M33" s="1"/>
      <c r="N33" s="1"/>
      <c r="T33" s="72" t="s">
        <v>58</v>
      </c>
      <c r="U33" s="76" t="s">
        <v>122</v>
      </c>
      <c r="V33" s="107">
        <f>'Roadmap Chart'!I14</f>
        <v>2.2000000000000002</v>
      </c>
      <c r="W33" s="107">
        <v>0</v>
      </c>
      <c r="X33" s="107">
        <v>0</v>
      </c>
      <c r="Y33" s="107">
        <v>0</v>
      </c>
    </row>
    <row r="34" spans="1:25" ht="25" customHeight="1" x14ac:dyDescent="0.15">
      <c r="A34" s="72" t="s">
        <v>58</v>
      </c>
      <c r="B34" s="76" t="s">
        <v>122</v>
      </c>
      <c r="C34" s="107">
        <f>Roadmap!Y40</f>
        <v>2.2000000000000002</v>
      </c>
      <c r="D34" s="107">
        <f>Roadmap!X40</f>
        <v>1</v>
      </c>
      <c r="E34" s="107">
        <f>Roadmap!X43</f>
        <v>0.6</v>
      </c>
      <c r="F34" s="107">
        <f>Roadmap!X46</f>
        <v>0.6</v>
      </c>
      <c r="G34" s="6">
        <f t="shared" si="1"/>
        <v>0</v>
      </c>
      <c r="H34" s="3"/>
      <c r="I34" s="82" t="s">
        <v>222</v>
      </c>
      <c r="J34" s="107">
        <f>AVERAGE(C38:C40)</f>
        <v>1.9222222222222223</v>
      </c>
      <c r="K34" s="1"/>
      <c r="L34" s="1"/>
      <c r="M34" s="1"/>
      <c r="N34" s="1"/>
      <c r="T34" s="77" t="s">
        <v>149</v>
      </c>
      <c r="U34" s="81" t="s">
        <v>150</v>
      </c>
      <c r="V34" s="107">
        <v>0</v>
      </c>
      <c r="W34" s="107">
        <f>'Roadmap Chart'!I15</f>
        <v>1.9166666666666665</v>
      </c>
      <c r="X34" s="107">
        <v>0</v>
      </c>
      <c r="Y34" s="107">
        <v>0</v>
      </c>
    </row>
    <row r="35" spans="1:25" ht="25" customHeight="1" x14ac:dyDescent="0.15">
      <c r="A35" s="77" t="s">
        <v>149</v>
      </c>
      <c r="B35" s="81" t="s">
        <v>150</v>
      </c>
      <c r="C35" s="107">
        <f>Roadmap!Y50</f>
        <v>1.9166666666666665</v>
      </c>
      <c r="D35" s="107">
        <f>Roadmap!X50</f>
        <v>0.75</v>
      </c>
      <c r="E35" s="107">
        <f>Roadmap!X53</f>
        <v>0.56666666666666665</v>
      </c>
      <c r="F35" s="107">
        <f>Roadmap!X57</f>
        <v>0.6</v>
      </c>
      <c r="G35" s="6">
        <f t="shared" si="1"/>
        <v>0</v>
      </c>
      <c r="H35" s="3"/>
      <c r="I35" s="87" t="s">
        <v>373</v>
      </c>
      <c r="J35" s="107">
        <f>AVERAGE(C41:C43)</f>
        <v>1.9277777777777778</v>
      </c>
      <c r="K35" s="1"/>
      <c r="L35" s="1"/>
      <c r="M35" s="1"/>
      <c r="N35" s="1"/>
      <c r="T35" s="77" t="s">
        <v>149</v>
      </c>
      <c r="U35" s="81" t="s">
        <v>176</v>
      </c>
      <c r="V35" s="107">
        <v>0</v>
      </c>
      <c r="W35" s="107">
        <f>'Roadmap Chart'!I16</f>
        <v>1.9500000000000002</v>
      </c>
      <c r="X35" s="107">
        <v>0</v>
      </c>
      <c r="Y35" s="107">
        <v>0</v>
      </c>
    </row>
    <row r="36" spans="1:25" ht="25" customHeight="1" x14ac:dyDescent="0.15">
      <c r="A36" s="77" t="s">
        <v>149</v>
      </c>
      <c r="B36" s="81" t="s">
        <v>176</v>
      </c>
      <c r="C36" s="107">
        <f>Roadmap!Y60</f>
        <v>1.9500000000000002</v>
      </c>
      <c r="D36" s="107">
        <f>Roadmap!X60</f>
        <v>1</v>
      </c>
      <c r="E36" s="107">
        <f>Roadmap!X63</f>
        <v>0.35</v>
      </c>
      <c r="F36" s="107">
        <f>Roadmap!X66</f>
        <v>0.6</v>
      </c>
      <c r="G36" s="6">
        <f t="shared" si="1"/>
        <v>0</v>
      </c>
      <c r="H36" s="3"/>
      <c r="I36" s="139"/>
      <c r="J36" s="139"/>
      <c r="K36" s="1"/>
      <c r="L36" s="1"/>
      <c r="M36" s="1"/>
      <c r="N36" s="1"/>
      <c r="T36" s="77" t="s">
        <v>149</v>
      </c>
      <c r="U36" s="81" t="s">
        <v>199</v>
      </c>
      <c r="V36" s="107">
        <v>0</v>
      </c>
      <c r="W36" s="107">
        <f>'Roadmap Chart'!I17</f>
        <v>1.7000000000000002</v>
      </c>
      <c r="X36" s="107">
        <v>0</v>
      </c>
      <c r="Y36" s="107">
        <v>0</v>
      </c>
    </row>
    <row r="37" spans="1:25" ht="25" customHeight="1" x14ac:dyDescent="0.15">
      <c r="A37" s="77" t="s">
        <v>149</v>
      </c>
      <c r="B37" s="81" t="s">
        <v>199</v>
      </c>
      <c r="C37" s="107">
        <f>Roadmap!Y69</f>
        <v>1.7000000000000002</v>
      </c>
      <c r="D37" s="107">
        <f>Roadmap!X69</f>
        <v>0.35</v>
      </c>
      <c r="E37" s="107">
        <f>Roadmap!X72</f>
        <v>1</v>
      </c>
      <c r="F37" s="107">
        <f>Roadmap!X75</f>
        <v>0.35</v>
      </c>
      <c r="G37" s="6">
        <f t="shared" si="1"/>
        <v>0</v>
      </c>
      <c r="H37" s="3"/>
      <c r="I37" s="139"/>
      <c r="J37" s="139"/>
      <c r="K37" s="1"/>
      <c r="L37" s="1"/>
      <c r="M37" s="1"/>
      <c r="N37" s="1"/>
      <c r="T37" s="82" t="s">
        <v>222</v>
      </c>
      <c r="U37" s="86" t="s">
        <v>43</v>
      </c>
      <c r="V37" s="107">
        <v>0</v>
      </c>
      <c r="W37" s="107">
        <v>0</v>
      </c>
      <c r="X37" s="107">
        <f>'Roadmap Chart'!I18</f>
        <v>2</v>
      </c>
      <c r="Y37" s="107">
        <v>0</v>
      </c>
    </row>
    <row r="38" spans="1:25" ht="25" customHeight="1" x14ac:dyDescent="0.15">
      <c r="A38" s="82" t="s">
        <v>222</v>
      </c>
      <c r="B38" s="86" t="s">
        <v>43</v>
      </c>
      <c r="C38" s="107">
        <f>Roadmap!Y79</f>
        <v>2</v>
      </c>
      <c r="D38" s="107">
        <f>Roadmap!X79</f>
        <v>0.75</v>
      </c>
      <c r="E38" s="107">
        <f>Roadmap!X82</f>
        <v>0.5</v>
      </c>
      <c r="F38" s="107">
        <f>Roadmap!X85</f>
        <v>0.75</v>
      </c>
      <c r="G38" s="6">
        <f t="shared" si="1"/>
        <v>2</v>
      </c>
      <c r="H38" s="3"/>
      <c r="I38" s="139"/>
      <c r="J38" s="139"/>
      <c r="K38" s="1"/>
      <c r="L38" s="1"/>
      <c r="M38" s="1"/>
      <c r="N38" s="1"/>
      <c r="T38" s="82" t="s">
        <v>222</v>
      </c>
      <c r="U38" s="86" t="s">
        <v>381</v>
      </c>
      <c r="V38" s="107">
        <v>0</v>
      </c>
      <c r="W38" s="107">
        <v>0</v>
      </c>
      <c r="X38" s="107">
        <f>'Roadmap Chart'!I19</f>
        <v>2.25</v>
      </c>
      <c r="Y38" s="107">
        <v>0</v>
      </c>
    </row>
    <row r="39" spans="1:25" ht="25" customHeight="1" x14ac:dyDescent="0.15">
      <c r="A39" s="82" t="s">
        <v>222</v>
      </c>
      <c r="B39" s="86" t="s">
        <v>381</v>
      </c>
      <c r="C39" s="107">
        <f>Roadmap!Y88</f>
        <v>2.25</v>
      </c>
      <c r="D39" s="107">
        <f>Roadmap!X88</f>
        <v>0.75</v>
      </c>
      <c r="E39" s="107">
        <f>Roadmap!X91</f>
        <v>1</v>
      </c>
      <c r="F39" s="107">
        <f>Roadmap!X94</f>
        <v>0.5</v>
      </c>
      <c r="G39" s="6">
        <f t="shared" si="1"/>
        <v>0</v>
      </c>
      <c r="H39" s="3"/>
      <c r="I39" s="139"/>
      <c r="J39" s="139"/>
      <c r="K39" s="1"/>
      <c r="L39" s="1"/>
      <c r="M39" s="1"/>
      <c r="N39" s="1"/>
      <c r="T39" s="82" t="s">
        <v>222</v>
      </c>
      <c r="U39" s="86" t="s">
        <v>265</v>
      </c>
      <c r="V39" s="107">
        <v>0</v>
      </c>
      <c r="W39" s="107">
        <v>0</v>
      </c>
      <c r="X39" s="107">
        <f>'Roadmap Chart'!I20</f>
        <v>1.5166666666666666</v>
      </c>
      <c r="Y39" s="107">
        <v>0</v>
      </c>
    </row>
    <row r="40" spans="1:25" ht="25" customHeight="1" x14ac:dyDescent="0.15">
      <c r="A40" s="82" t="s">
        <v>222</v>
      </c>
      <c r="B40" s="86" t="s">
        <v>265</v>
      </c>
      <c r="C40" s="107">
        <f>Roadmap!Y97</f>
        <v>1.5166666666666666</v>
      </c>
      <c r="D40" s="107">
        <f>Roadmap!X97</f>
        <v>0.66666666666666663</v>
      </c>
      <c r="E40" s="107">
        <f>Roadmap!X101</f>
        <v>0.35</v>
      </c>
      <c r="F40" s="107">
        <f>Roadmap!X104</f>
        <v>0.5</v>
      </c>
      <c r="G40" s="6">
        <f t="shared" si="1"/>
        <v>0</v>
      </c>
      <c r="H40" s="3"/>
      <c r="I40" s="139"/>
      <c r="J40" s="139"/>
      <c r="K40" s="1"/>
      <c r="L40" s="1"/>
      <c r="M40" s="1"/>
      <c r="N40" s="1"/>
      <c r="T40" s="87" t="s">
        <v>373</v>
      </c>
      <c r="U40" s="91" t="s">
        <v>374</v>
      </c>
      <c r="V40" s="107">
        <v>0</v>
      </c>
      <c r="W40" s="107">
        <v>0</v>
      </c>
      <c r="X40" s="107">
        <v>0</v>
      </c>
      <c r="Y40" s="107">
        <f>'Roadmap Chart'!I21</f>
        <v>2.3333333333333335</v>
      </c>
    </row>
    <row r="41" spans="1:25" ht="25" customHeight="1" x14ac:dyDescent="0.15">
      <c r="A41" s="87" t="s">
        <v>373</v>
      </c>
      <c r="B41" s="91" t="s">
        <v>374</v>
      </c>
      <c r="C41" s="107">
        <f>Roadmap!Y108</f>
        <v>2.3333333333333335</v>
      </c>
      <c r="D41" s="107">
        <f>Roadmap!X108</f>
        <v>0.83333333333333337</v>
      </c>
      <c r="E41" s="107">
        <f>Roadmap!X112</f>
        <v>0.75</v>
      </c>
      <c r="F41" s="107">
        <f>Roadmap!X115</f>
        <v>0.75</v>
      </c>
      <c r="G41" s="6">
        <f t="shared" si="1"/>
        <v>0</v>
      </c>
      <c r="H41" s="3"/>
      <c r="I41" s="139"/>
      <c r="J41" s="139"/>
      <c r="K41" s="1"/>
      <c r="L41" s="1"/>
      <c r="M41" s="1"/>
      <c r="N41" s="1"/>
      <c r="T41" s="87" t="s">
        <v>373</v>
      </c>
      <c r="U41" s="91" t="s">
        <v>309</v>
      </c>
      <c r="V41" s="107">
        <v>0</v>
      </c>
      <c r="W41" s="107">
        <v>0</v>
      </c>
      <c r="X41" s="107">
        <v>0</v>
      </c>
      <c r="Y41" s="107">
        <f>'Roadmap Chart'!I22</f>
        <v>1.85</v>
      </c>
    </row>
    <row r="42" spans="1:25" ht="25" customHeight="1" x14ac:dyDescent="0.15">
      <c r="A42" s="87" t="s">
        <v>373</v>
      </c>
      <c r="B42" s="91" t="s">
        <v>309</v>
      </c>
      <c r="C42" s="107">
        <f>Roadmap!Y118</f>
        <v>1.85</v>
      </c>
      <c r="D42" s="107">
        <f>Roadmap!X118</f>
        <v>0.75</v>
      </c>
      <c r="E42" s="107">
        <f>Roadmap!X121</f>
        <v>0.35</v>
      </c>
      <c r="F42" s="107">
        <f>Roadmap!X124</f>
        <v>0.75</v>
      </c>
      <c r="G42" s="6">
        <f t="shared" si="1"/>
        <v>0</v>
      </c>
      <c r="H42" s="3"/>
      <c r="I42" s="139"/>
      <c r="J42" s="139"/>
      <c r="K42" s="1"/>
      <c r="L42" s="1"/>
      <c r="M42" s="1"/>
      <c r="N42" s="1"/>
      <c r="T42" s="87" t="s">
        <v>373</v>
      </c>
      <c r="U42" s="91" t="s">
        <v>7</v>
      </c>
      <c r="V42" s="107">
        <v>0</v>
      </c>
      <c r="W42" s="107">
        <v>0</v>
      </c>
      <c r="X42" s="107">
        <v>0</v>
      </c>
      <c r="Y42" s="107">
        <f>'Roadmap Chart'!I23</f>
        <v>1.6</v>
      </c>
    </row>
    <row r="43" spans="1:25" ht="25" customHeight="1" x14ac:dyDescent="0.15">
      <c r="A43" s="87" t="s">
        <v>373</v>
      </c>
      <c r="B43" s="91" t="s">
        <v>7</v>
      </c>
      <c r="C43" s="107">
        <f>Roadmap!Y127</f>
        <v>1.6</v>
      </c>
      <c r="D43" s="107">
        <f>Roadmap!X127</f>
        <v>0.5</v>
      </c>
      <c r="E43" s="107">
        <f>Roadmap!X130</f>
        <v>0.6</v>
      </c>
      <c r="F43" s="107">
        <f>Roadmap!X133</f>
        <v>0.5</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D12" sqref="D12"/>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Brick Builder For Acme Brick Co</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t="str">
        <f>Interview!D10</f>
        <v>Acme Brick Co</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t="str">
        <f>Interview!D11</f>
        <v>Brick Builder</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42794</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t="str">
        <f>Interview!D13</f>
        <v>Steve</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t="str">
        <f>Interview!D14</f>
        <v>Willy Thomas, Kate Smith, Joe Kats, Ars Hickory, Rick Links</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0.46666666666666662</v>
      </c>
      <c r="I20" s="380">
        <f>SUM(H20,H24,H28)</f>
        <v>1.4833333333333334</v>
      </c>
      <c r="J20" s="176" t="s">
        <v>423</v>
      </c>
      <c r="K20" s="159">
        <f>IFERROR(VLOOKUP(J20,AnswerATBL,2,FALSE),0)</f>
        <v>0.2</v>
      </c>
      <c r="L20" s="160">
        <f>IFERROR(AVERAGE(K20,K21,K22),0)</f>
        <v>0.56666666666666665</v>
      </c>
      <c r="M20" s="372">
        <f>SUM(L20,L24,L28)</f>
        <v>1.5833333333333335</v>
      </c>
      <c r="N20" s="176" t="s">
        <v>454</v>
      </c>
      <c r="O20" s="159">
        <f>IFERROR(VLOOKUP(N20,AnswerATBL,2,FALSE),0)</f>
        <v>0.5</v>
      </c>
      <c r="P20" s="160">
        <f>IFERROR(AVERAGE(O20,O21,O22),0)</f>
        <v>0.66666666666666663</v>
      </c>
      <c r="Q20" s="372">
        <f>SUM(P20,P24,P28)</f>
        <v>2</v>
      </c>
      <c r="R20" s="176" t="s">
        <v>454</v>
      </c>
      <c r="S20" s="159">
        <f>IFERROR(VLOOKUP(R20,AnswerATBL,2,FALSE),0)</f>
        <v>0.5</v>
      </c>
      <c r="T20" s="160">
        <f>IFERROR(AVERAGE(S20,S21,S22),0)</f>
        <v>0.83333333333333337</v>
      </c>
      <c r="U20" s="372">
        <f>SUM(T20,T24,T28)</f>
        <v>2.166666666666667</v>
      </c>
      <c r="V20" s="176" t="s">
        <v>455</v>
      </c>
      <c r="W20" s="159">
        <f>IFERROR(VLOOKUP(V20,AnswerATBL,2,FALSE),0)</f>
        <v>1</v>
      </c>
      <c r="X20" s="160">
        <f>IFERROR(AVERAGE(W20,W21,W22),0)</f>
        <v>1</v>
      </c>
      <c r="Y20" s="372">
        <f>SUM(X20,X24,X28)</f>
        <v>2.3333333333333335</v>
      </c>
    </row>
    <row r="21" spans="1:25" ht="12.75" customHeight="1" x14ac:dyDescent="0.15">
      <c r="A21" s="27">
        <v>2</v>
      </c>
      <c r="B21" s="387"/>
      <c r="C21" s="382" t="str">
        <f>Interview!C23</f>
        <v>Are development staff aware of future plans for the assurance program?</v>
      </c>
      <c r="D21" s="383"/>
      <c r="E21" s="30" t="str">
        <f>Interview!E23</f>
        <v>Yes, a small percentage are/do</v>
      </c>
      <c r="F21" s="156">
        <v>2</v>
      </c>
      <c r="G21" s="156">
        <f>IFERROR(VLOOKUP(E21,AnswerCTBL,2,FALSE),0)</f>
        <v>0.2</v>
      </c>
      <c r="H21" s="201"/>
      <c r="I21" s="381"/>
      <c r="J21" s="177" t="s">
        <v>494</v>
      </c>
      <c r="K21" s="156">
        <f>IFERROR(VLOOKUP(J21,AnswerCTBL,2,FALSE),0)</f>
        <v>0.5</v>
      </c>
      <c r="L21" s="158"/>
      <c r="M21" s="373"/>
      <c r="N21" s="177" t="s">
        <v>494</v>
      </c>
      <c r="O21" s="156">
        <f>IFERROR(VLOOKUP(N21,AnswerCTBL,2,FALSE),0)</f>
        <v>0.5</v>
      </c>
      <c r="P21" s="158"/>
      <c r="Q21" s="373"/>
      <c r="R21" s="177" t="s">
        <v>495</v>
      </c>
      <c r="S21" s="156">
        <f>IFERROR(VLOOKUP(R21,AnswerCTBL,2,FALSE),0)</f>
        <v>1</v>
      </c>
      <c r="T21" s="158"/>
      <c r="U21" s="373"/>
      <c r="V21" s="177" t="s">
        <v>495</v>
      </c>
      <c r="W21" s="156">
        <f>IFERROR(VLOOKUP(V21,AnswerCTBL,2,FALSE),0)</f>
        <v>1</v>
      </c>
      <c r="X21" s="158"/>
      <c r="Y21" s="373"/>
    </row>
    <row r="22" spans="1:25" ht="12.75" customHeight="1" x14ac:dyDescent="0.15">
      <c r="A22" s="27">
        <v>3</v>
      </c>
      <c r="B22" s="388"/>
      <c r="C22" s="384" t="str">
        <f>Interview!C28</f>
        <v>Do the business stakeholders understand your organization’s risk profile?</v>
      </c>
      <c r="D22" s="385"/>
      <c r="E22" s="30" t="str">
        <f>Interview!E28</f>
        <v>Yes, the majority of them are/do</v>
      </c>
      <c r="F22" s="18">
        <v>3</v>
      </c>
      <c r="G22" s="18">
        <f>IFERROR(VLOOKUP(E22,AnswerCTBL,2,FALSE),0)</f>
        <v>1</v>
      </c>
      <c r="H22" s="202"/>
      <c r="I22" s="212"/>
      <c r="J22" s="177" t="s">
        <v>495</v>
      </c>
      <c r="K22" s="18">
        <f>IFERROR(VLOOKUP(J22,AnswerCTBL,2,FALSE),0)</f>
        <v>1</v>
      </c>
      <c r="L22" s="109"/>
      <c r="M22" s="373"/>
      <c r="N22" s="177" t="s">
        <v>495</v>
      </c>
      <c r="O22" s="18">
        <f>IFERROR(VLOOKUP(N22,AnswerCTBL,2,FALSE),0)</f>
        <v>1</v>
      </c>
      <c r="P22" s="109"/>
      <c r="Q22" s="373"/>
      <c r="R22" s="177" t="s">
        <v>495</v>
      </c>
      <c r="S22" s="18">
        <f>IFERROR(VLOOKUP(R22,AnswerCTBL,2,FALSE),0)</f>
        <v>1</v>
      </c>
      <c r="T22" s="109"/>
      <c r="U22" s="373"/>
      <c r="V22" s="177" t="s">
        <v>495</v>
      </c>
      <c r="W22" s="18">
        <f>IFERROR(VLOOKUP(V22,AnswerCTBL,2,FALSE),0)</f>
        <v>1</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t="str">
        <f>Interview!E35</f>
        <v>Yes, at least half of them are/do</v>
      </c>
      <c r="F24" s="156">
        <v>4</v>
      </c>
      <c r="G24" s="156">
        <f>IFERROR(VLOOKUP(E24,AnswerCTBL,2,FALSE),0)</f>
        <v>0.5</v>
      </c>
      <c r="H24" s="203">
        <f>IFERROR(AVERAGE(G24,G25,G26),0)</f>
        <v>0.66666666666666663</v>
      </c>
      <c r="I24" s="212"/>
      <c r="J24" s="176" t="s">
        <v>494</v>
      </c>
      <c r="K24" s="156">
        <f>IFERROR(VLOOKUP(J24,AnswerCTBL,2,FALSE),0)</f>
        <v>0.5</v>
      </c>
      <c r="L24" s="157">
        <f>IFERROR(AVERAGE(K24,K25,K26),0)</f>
        <v>0.66666666666666663</v>
      </c>
      <c r="M24" s="180"/>
      <c r="N24" s="176" t="s">
        <v>494</v>
      </c>
      <c r="O24" s="156">
        <f>IFERROR(VLOOKUP(N24,AnswerCTBL,2,FALSE),0)</f>
        <v>0.5</v>
      </c>
      <c r="P24" s="157">
        <f>IFERROR(AVERAGE(O24,O25,O26),0)</f>
        <v>0.83333333333333337</v>
      </c>
      <c r="Q24" s="180"/>
      <c r="R24" s="176" t="s">
        <v>494</v>
      </c>
      <c r="S24" s="156">
        <f>IFERROR(VLOOKUP(R24,AnswerCTBL,2,FALSE),0)</f>
        <v>0.5</v>
      </c>
      <c r="T24" s="157">
        <f>IFERROR(AVERAGE(S24,S25,S26),0)</f>
        <v>0.83333333333333337</v>
      </c>
      <c r="U24" s="180"/>
      <c r="V24" s="176" t="s">
        <v>494</v>
      </c>
      <c r="W24" s="156">
        <f>IFERROR(VLOOKUP(V24,AnswerCTBL,2,FALSE),0)</f>
        <v>0.5</v>
      </c>
      <c r="X24" s="157">
        <f>IFERROR(AVERAGE(W24,W25,W26),0)</f>
        <v>0.83333333333333337</v>
      </c>
      <c r="Y24" s="180"/>
    </row>
    <row r="25" spans="1:25" ht="12.75" customHeight="1" x14ac:dyDescent="0.15">
      <c r="A25" s="27">
        <v>5</v>
      </c>
      <c r="B25" s="387"/>
      <c r="C25" s="382" t="str">
        <f>Interview!C41</f>
        <v>Are risk ratings used to tailor the required assurance activities?</v>
      </c>
      <c r="D25" s="383"/>
      <c r="E25" s="30" t="str">
        <f>Interview!E41</f>
        <v>Yes, the majority of them are/do</v>
      </c>
      <c r="F25" s="156">
        <v>5</v>
      </c>
      <c r="G25" s="156">
        <f>IFERROR(VLOOKUP(E25,AnswerCTBL,2,FALSE),0)</f>
        <v>1</v>
      </c>
      <c r="H25" s="201"/>
      <c r="I25" s="212"/>
      <c r="J25" s="177" t="s">
        <v>495</v>
      </c>
      <c r="K25" s="156">
        <f>IFERROR(VLOOKUP(J25,AnswerCTBL,2,FALSE),0)</f>
        <v>1</v>
      </c>
      <c r="L25" s="158"/>
      <c r="M25" s="180"/>
      <c r="N25" s="177" t="s">
        <v>495</v>
      </c>
      <c r="O25" s="156">
        <f>IFERROR(VLOOKUP(N25,AnswerCTBL,2,FALSE),0)</f>
        <v>1</v>
      </c>
      <c r="P25" s="158"/>
      <c r="Q25" s="180"/>
      <c r="R25" s="177" t="s">
        <v>495</v>
      </c>
      <c r="S25" s="156">
        <f>IFERROR(VLOOKUP(R25,AnswerCTBL,2,FALSE),0)</f>
        <v>1</v>
      </c>
      <c r="T25" s="158"/>
      <c r="U25" s="180"/>
      <c r="V25" s="177" t="s">
        <v>495</v>
      </c>
      <c r="W25" s="156">
        <f>IFERROR(VLOOKUP(V25,AnswerCTBL,2,FALSE),0)</f>
        <v>1</v>
      </c>
      <c r="X25" s="158"/>
      <c r="Y25" s="180"/>
    </row>
    <row r="26" spans="1:25" ht="12" customHeight="1" x14ac:dyDescent="0.15">
      <c r="A26" s="27">
        <v>6</v>
      </c>
      <c r="B26" s="388"/>
      <c r="C26" s="391" t="str">
        <f>Interview!C44</f>
        <v>Does the organization know about what’s required based on risk ratings?</v>
      </c>
      <c r="D26" s="392"/>
      <c r="E26" s="30" t="str">
        <f>Interview!E44</f>
        <v>Yes, at least half of them are/do</v>
      </c>
      <c r="F26" s="18">
        <v>6</v>
      </c>
      <c r="G26" s="18">
        <f>IFERROR(VLOOKUP(E26,AnswerCTBL,2,FALSE),0)</f>
        <v>0.5</v>
      </c>
      <c r="H26" s="202"/>
      <c r="I26" s="212"/>
      <c r="J26" s="177" t="s">
        <v>494</v>
      </c>
      <c r="K26" s="18">
        <f>IFERROR(VLOOKUP(J26,AnswerCTBL,2,FALSE),0)</f>
        <v>0.5</v>
      </c>
      <c r="L26" s="109"/>
      <c r="M26" s="180"/>
      <c r="N26" s="177" t="s">
        <v>495</v>
      </c>
      <c r="O26" s="18">
        <f>IFERROR(VLOOKUP(N26,AnswerCTBL,2,FALSE),0)</f>
        <v>1</v>
      </c>
      <c r="P26" s="109"/>
      <c r="Q26" s="180"/>
      <c r="R26" s="177" t="s">
        <v>495</v>
      </c>
      <c r="S26" s="18">
        <f>IFERROR(VLOOKUP(R26,AnswerCTBL,2,FALSE),0)</f>
        <v>1</v>
      </c>
      <c r="T26" s="109"/>
      <c r="U26" s="180"/>
      <c r="V26" s="177" t="s">
        <v>495</v>
      </c>
      <c r="W26" s="18">
        <f>IFERROR(VLOOKUP(V26,AnswerCTBL,2,FALSE),0)</f>
        <v>1</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t="str">
        <f>Interview!E48</f>
        <v>Yes, at least half of them are/do</v>
      </c>
      <c r="F28" s="156">
        <v>7</v>
      </c>
      <c r="G28" s="156">
        <f>IFERROR(VLOOKUP(E28,AnswerCTBL,2,FALSE),0)</f>
        <v>0.5</v>
      </c>
      <c r="H28" s="203">
        <f>IFERROR(AVERAGE(G28,G29),0)</f>
        <v>0.35</v>
      </c>
      <c r="I28" s="212"/>
      <c r="J28" s="176" t="s">
        <v>494</v>
      </c>
      <c r="K28" s="156">
        <f>IFERROR(VLOOKUP(J28,AnswerCTBL,2,FALSE),0)</f>
        <v>0.5</v>
      </c>
      <c r="L28" s="157">
        <f>IFERROR(AVERAGE(K28,K29),0)</f>
        <v>0.35</v>
      </c>
      <c r="M28" s="180"/>
      <c r="N28" s="176" t="s">
        <v>494</v>
      </c>
      <c r="O28" s="156">
        <f>IFERROR(VLOOKUP(N28,AnswerCTBL,2,FALSE),0)</f>
        <v>0.5</v>
      </c>
      <c r="P28" s="157">
        <f>IFERROR(AVERAGE(O28,O29),0)</f>
        <v>0.5</v>
      </c>
      <c r="Q28" s="180"/>
      <c r="R28" s="176" t="s">
        <v>494</v>
      </c>
      <c r="S28" s="156">
        <f>IFERROR(VLOOKUP(R28,AnswerCTBL,2,FALSE),0)</f>
        <v>0.5</v>
      </c>
      <c r="T28" s="157">
        <f>IFERROR(AVERAGE(S28,S29),0)</f>
        <v>0.5</v>
      </c>
      <c r="U28" s="180"/>
      <c r="V28" s="176" t="s">
        <v>494</v>
      </c>
      <c r="W28" s="156">
        <f>IFERROR(VLOOKUP(V28,AnswerCTBL,2,FALSE),0)</f>
        <v>0.5</v>
      </c>
      <c r="X28" s="157">
        <f>IFERROR(AVERAGE(W28,W29),0)</f>
        <v>0.5</v>
      </c>
      <c r="Y28" s="180"/>
    </row>
    <row r="29" spans="1:25" ht="12.75" customHeight="1" x14ac:dyDescent="0.1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t="s">
        <v>426</v>
      </c>
      <c r="K29" s="18">
        <f>IFERROR(VLOOKUP(J29,AnswerDTBL,2,FALSE),0)</f>
        <v>0.2</v>
      </c>
      <c r="L29" s="109"/>
      <c r="M29" s="180"/>
      <c r="N29" s="177" t="s">
        <v>427</v>
      </c>
      <c r="O29" s="18">
        <f>IFERROR(VLOOKUP(N29,AnswerDTBL,2,FALSE),0)</f>
        <v>0.5</v>
      </c>
      <c r="P29" s="109"/>
      <c r="Q29" s="180"/>
      <c r="R29" s="177" t="s">
        <v>427</v>
      </c>
      <c r="S29" s="18">
        <f>IFERROR(VLOOKUP(R29,AnswerDTBL,2,FALSE),0)</f>
        <v>0.5</v>
      </c>
      <c r="T29" s="109"/>
      <c r="U29" s="180"/>
      <c r="V29" s="177" t="s">
        <v>427</v>
      </c>
      <c r="W29" s="18">
        <f>IFERROR(VLOOKUP(V29,AnswerDTBL,2,FALSE),0)</f>
        <v>0.5</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t="str">
        <f>Interview!E62</f>
        <v>Yes, a small percentage are/do</v>
      </c>
      <c r="F31" s="156">
        <v>9</v>
      </c>
      <c r="G31" s="156">
        <f>IFERROR(VLOOKUP(E31,AnswerCTBL,2,FALSE),0)</f>
        <v>0.2</v>
      </c>
      <c r="H31" s="204">
        <f>IFERROR(AVERAGE(G31,G32),0)</f>
        <v>0.35</v>
      </c>
      <c r="I31" s="380">
        <f>SUM(H31,H34,H37)</f>
        <v>0.89999999999999991</v>
      </c>
      <c r="J31" s="177" t="s">
        <v>494</v>
      </c>
      <c r="K31" s="156">
        <f>IFERROR(VLOOKUP(J31,AnswerCTBL,2,FALSE),0)</f>
        <v>0.5</v>
      </c>
      <c r="L31" s="142">
        <f>IFERROR(AVERAGE(K31,K32),0)</f>
        <v>0.5</v>
      </c>
      <c r="M31" s="372">
        <f>SUM(L31,L34,L37)</f>
        <v>1.5</v>
      </c>
      <c r="N31" s="177" t="s">
        <v>495</v>
      </c>
      <c r="O31" s="156">
        <f>IFERROR(VLOOKUP(N31,AnswerCTBL,2,FALSE),0)</f>
        <v>1</v>
      </c>
      <c r="P31" s="142">
        <f>IFERROR(AVERAGE(O31,O32),0)</f>
        <v>0.75</v>
      </c>
      <c r="Q31" s="372">
        <f>SUM(P31,P34,P37)</f>
        <v>1.75</v>
      </c>
      <c r="R31" s="177" t="s">
        <v>495</v>
      </c>
      <c r="S31" s="156">
        <f>IFERROR(VLOOKUP(R31,AnswerCTBL,2,FALSE),0)</f>
        <v>1</v>
      </c>
      <c r="T31" s="142">
        <f>IFERROR(AVERAGE(S31,S32),0)</f>
        <v>0.75</v>
      </c>
      <c r="U31" s="372">
        <f>SUM(T31,T34,T37)</f>
        <v>2</v>
      </c>
      <c r="V31" s="177" t="s">
        <v>495</v>
      </c>
      <c r="W31" s="156">
        <f>IFERROR(VLOOKUP(V31,AnswerCTBL,2,FALSE),0)</f>
        <v>1</v>
      </c>
      <c r="X31" s="142">
        <f>IFERROR(AVERAGE(W31,W32),0)</f>
        <v>0.75</v>
      </c>
      <c r="Y31" s="372">
        <f>SUM(X31,X34,X37)</f>
        <v>2.5</v>
      </c>
    </row>
    <row r="32" spans="1:25" ht="12.75" customHeight="1" x14ac:dyDescent="0.15">
      <c r="A32" s="27">
        <v>10</v>
      </c>
      <c r="B32" s="388"/>
      <c r="C32" s="384" t="str">
        <f>Interview!C65</f>
        <v>Are compliance requirements specifically considered by project teams?</v>
      </c>
      <c r="D32" s="385"/>
      <c r="E32" s="30" t="str">
        <f>Interview!E65</f>
        <v>Yes, but on an adhoc basis</v>
      </c>
      <c r="F32" s="18">
        <v>10</v>
      </c>
      <c r="G32" s="18">
        <f>IFERROR(VLOOKUP(E32,AnswerETBL,2,FALSE),0)</f>
        <v>0.5</v>
      </c>
      <c r="H32" s="127"/>
      <c r="I32" s="381"/>
      <c r="J32" s="177" t="s">
        <v>430</v>
      </c>
      <c r="K32" s="18">
        <f>IFERROR(VLOOKUP(J32,AnswerETBL,2,FALSE),0)</f>
        <v>0.5</v>
      </c>
      <c r="L32" s="127"/>
      <c r="M32" s="374"/>
      <c r="N32" s="177" t="s">
        <v>430</v>
      </c>
      <c r="O32" s="18">
        <f>IFERROR(VLOOKUP(N32,AnswerETBL,2,FALSE),0)</f>
        <v>0.5</v>
      </c>
      <c r="P32" s="127"/>
      <c r="Q32" s="374"/>
      <c r="R32" s="177" t="s">
        <v>430</v>
      </c>
      <c r="S32" s="18">
        <f>IFERROR(VLOOKUP(R32,AnswerETBL,2,FALSE),0)</f>
        <v>0.5</v>
      </c>
      <c r="T32" s="127"/>
      <c r="U32" s="374"/>
      <c r="V32" s="177" t="s">
        <v>430</v>
      </c>
      <c r="W32" s="18">
        <f>IFERROR(VLOOKUP(V32,AnswerETBL,2,FALSE),0)</f>
        <v>0.5</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t="str">
        <f>Interview!E73</f>
        <v>Yes, there is a standard set</v>
      </c>
      <c r="F34" s="156">
        <v>11</v>
      </c>
      <c r="G34" s="156">
        <f>IFERROR(VLOOKUP(E34,AnswerFTBL,2,FALSE),0)</f>
        <v>0.5</v>
      </c>
      <c r="H34" s="201">
        <f>IFERROR(AVERAGE(G34,G35),0)</f>
        <v>0.35</v>
      </c>
      <c r="I34" s="212"/>
      <c r="J34" s="177" t="s">
        <v>431</v>
      </c>
      <c r="K34" s="156">
        <f>IFERROR(VLOOKUP(J34,AnswerFTBL,2,FALSE),0)</f>
        <v>0.5</v>
      </c>
      <c r="L34" s="158">
        <f>IFERROR(AVERAGE(K34,K35),0)</f>
        <v>0.5</v>
      </c>
      <c r="M34" s="180"/>
      <c r="N34" s="177" t="s">
        <v>431</v>
      </c>
      <c r="O34" s="156">
        <f>IFERROR(VLOOKUP(N34,AnswerFTBL,2,FALSE),0)</f>
        <v>0.5</v>
      </c>
      <c r="P34" s="158">
        <f>IFERROR(AVERAGE(O34,O35),0)</f>
        <v>0.5</v>
      </c>
      <c r="Q34" s="180"/>
      <c r="R34" s="177" t="s">
        <v>431</v>
      </c>
      <c r="S34" s="156">
        <f>IFERROR(VLOOKUP(R34,AnswerFTBL,2,FALSE),0)</f>
        <v>0.5</v>
      </c>
      <c r="T34" s="158">
        <f>IFERROR(AVERAGE(S34,S35),0)</f>
        <v>0.75</v>
      </c>
      <c r="U34" s="180"/>
      <c r="V34" s="177" t="s">
        <v>432</v>
      </c>
      <c r="W34" s="156">
        <f>IFERROR(VLOOKUP(V34,AnswerFTBL,2,FALSE),0)</f>
        <v>1</v>
      </c>
      <c r="X34" s="158">
        <f>IFERROR(AVERAGE(W34,W35),0)</f>
        <v>1</v>
      </c>
      <c r="Y34" s="180"/>
    </row>
    <row r="35" spans="1:25" ht="12.75" customHeight="1" x14ac:dyDescent="0.15">
      <c r="A35" s="27">
        <v>12</v>
      </c>
      <c r="B35" s="388"/>
      <c r="C35" s="384" t="str">
        <f>Interview!C81</f>
        <v>Are project teams able to request an audit for compliance with policies and standards?</v>
      </c>
      <c r="D35" s="385"/>
      <c r="E35" s="30" t="str">
        <f>Interview!E81</f>
        <v>Yes, a small percentage are/do</v>
      </c>
      <c r="F35" s="18">
        <v>12</v>
      </c>
      <c r="G35" s="18">
        <f>IFERROR(VLOOKUP(E35,AnswerCTBL,2,FALSE),0)</f>
        <v>0.2</v>
      </c>
      <c r="H35" s="202"/>
      <c r="I35" s="212"/>
      <c r="J35" s="177" t="s">
        <v>494</v>
      </c>
      <c r="K35" s="18">
        <f>IFERROR(VLOOKUP(J35,AnswerCTBL,2,FALSE),0)</f>
        <v>0.5</v>
      </c>
      <c r="L35" s="109"/>
      <c r="M35" s="180"/>
      <c r="N35" s="177" t="s">
        <v>494</v>
      </c>
      <c r="O35" s="18">
        <f>IFERROR(VLOOKUP(N35,AnswerCTBL,2,FALSE),0)</f>
        <v>0.5</v>
      </c>
      <c r="P35" s="109"/>
      <c r="Q35" s="180"/>
      <c r="R35" s="177" t="s">
        <v>495</v>
      </c>
      <c r="S35" s="18">
        <f>IFERROR(VLOOKUP(R35,AnswerCTBL,2,FALSE),0)</f>
        <v>1</v>
      </c>
      <c r="T35" s="109"/>
      <c r="U35" s="180"/>
      <c r="V35" s="177" t="s">
        <v>495</v>
      </c>
      <c r="W35" s="18">
        <f>IFERROR(VLOOKUP(V35,AnswerCTBL,2,FALSE),0)</f>
        <v>1</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t="str">
        <f>Interview!E89</f>
        <v>Yes, a small percentage are/do</v>
      </c>
      <c r="F37" s="156">
        <v>13</v>
      </c>
      <c r="G37" s="156">
        <f>IFERROR(VLOOKUP(E37,AnswerCTBL,2,FALSE),0)</f>
        <v>0.2</v>
      </c>
      <c r="H37" s="201">
        <f>IFERROR(AVERAGE(G37,G38),0)</f>
        <v>0.2</v>
      </c>
      <c r="I37" s="212"/>
      <c r="J37" s="176" t="s">
        <v>494</v>
      </c>
      <c r="K37" s="156">
        <f>IFERROR(VLOOKUP(J37,AnswerCTBL,2,FALSE),0)</f>
        <v>0.5</v>
      </c>
      <c r="L37" s="158">
        <f>IFERROR(AVERAGE(K37,K38),0)</f>
        <v>0.5</v>
      </c>
      <c r="M37" s="180"/>
      <c r="N37" s="176" t="s">
        <v>494</v>
      </c>
      <c r="O37" s="156">
        <f>IFERROR(VLOOKUP(N37,AnswerCTBL,2,FALSE),0)</f>
        <v>0.5</v>
      </c>
      <c r="P37" s="158">
        <f>IFERROR(AVERAGE(O37,O38),0)</f>
        <v>0.5</v>
      </c>
      <c r="Q37" s="180"/>
      <c r="R37" s="176" t="s">
        <v>494</v>
      </c>
      <c r="S37" s="156">
        <f>IFERROR(VLOOKUP(R37,AnswerCTBL,2,FALSE),0)</f>
        <v>0.5</v>
      </c>
      <c r="T37" s="158">
        <f>IFERROR(AVERAGE(S37,S38),0)</f>
        <v>0.5</v>
      </c>
      <c r="U37" s="180"/>
      <c r="V37" s="176" t="s">
        <v>494</v>
      </c>
      <c r="W37" s="156">
        <f>IFERROR(VLOOKUP(V37,AnswerCTBL,2,FALSE),0)</f>
        <v>0.5</v>
      </c>
      <c r="X37" s="158">
        <f>IFERROR(AVERAGE(W37,W38),0)</f>
        <v>0.75</v>
      </c>
      <c r="Y37" s="180"/>
    </row>
    <row r="38" spans="1:25" ht="12.75" customHeight="1" x14ac:dyDescent="0.15">
      <c r="A38" s="27">
        <v>14</v>
      </c>
      <c r="B38" s="388"/>
      <c r="C38" s="384" t="str">
        <f>Interview!C94</f>
        <v>Does the organization systematically use audits to collect and control compliance evidence?</v>
      </c>
      <c r="D38" s="385"/>
      <c r="E38" s="30" t="str">
        <f>Interview!E94</f>
        <v>Yes, localized to business areas</v>
      </c>
      <c r="F38" s="18">
        <v>14</v>
      </c>
      <c r="G38" s="18">
        <f>IFERROR(VLOOKUP(E38,AnswerGTBL,2,FALSE),0)</f>
        <v>0.2</v>
      </c>
      <c r="H38" s="202"/>
      <c r="I38" s="212"/>
      <c r="J38" s="177" t="s">
        <v>444</v>
      </c>
      <c r="K38" s="18">
        <f>IFERROR(VLOOKUP(J38,AnswerGTBL,2,FALSE),0)</f>
        <v>0.5</v>
      </c>
      <c r="L38" s="109"/>
      <c r="M38" s="180"/>
      <c r="N38" s="177" t="s">
        <v>444</v>
      </c>
      <c r="O38" s="18">
        <f>IFERROR(VLOOKUP(N38,AnswerGTBL,2,FALSE),0)</f>
        <v>0.5</v>
      </c>
      <c r="P38" s="109"/>
      <c r="Q38" s="180"/>
      <c r="R38" s="177" t="s">
        <v>444</v>
      </c>
      <c r="S38" s="18">
        <f>IFERROR(VLOOKUP(R38,AnswerGTBL,2,FALSE),0)</f>
        <v>0.5</v>
      </c>
      <c r="T38" s="109"/>
      <c r="U38" s="180"/>
      <c r="V38" s="177" t="s">
        <v>443</v>
      </c>
      <c r="W38" s="18">
        <f>IFERROR(VLOOKUP(V38,AnswerGTBL,2,FALSE),0)</f>
        <v>1</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0.5</v>
      </c>
      <c r="I40" s="380">
        <f>SUM(H40,H43,H46)</f>
        <v>1.05</v>
      </c>
      <c r="J40" s="177" t="s">
        <v>427</v>
      </c>
      <c r="K40" s="156">
        <f>IFERROR(VLOOKUP(J40,AnswerDTBL,2,FALSE),0)</f>
        <v>0.5</v>
      </c>
      <c r="L40" s="158">
        <f>IFERROR(AVERAGE(K40,K41),0)</f>
        <v>0.5</v>
      </c>
      <c r="M40" s="372">
        <f>SUM(L40,L43,L46)</f>
        <v>1.2</v>
      </c>
      <c r="N40" s="177" t="s">
        <v>428</v>
      </c>
      <c r="O40" s="156">
        <f>IFERROR(VLOOKUP(N40,AnswerDTBL,2,FALSE),0)</f>
        <v>1</v>
      </c>
      <c r="P40" s="158">
        <f>IFERROR(AVERAGE(O40,O41),0)</f>
        <v>0.75</v>
      </c>
      <c r="Q40" s="372">
        <f>SUM(P40,P43,P46)</f>
        <v>1.4500000000000002</v>
      </c>
      <c r="R40" s="177" t="s">
        <v>428</v>
      </c>
      <c r="S40" s="156">
        <f>IFERROR(VLOOKUP(R40,AnswerDTBL,2,FALSE),0)</f>
        <v>1</v>
      </c>
      <c r="T40" s="158">
        <f>IFERROR(AVERAGE(S40,S41),0)</f>
        <v>0.75</v>
      </c>
      <c r="U40" s="372">
        <f>SUM(T40,T43,T46)</f>
        <v>1.7000000000000002</v>
      </c>
      <c r="V40" s="177" t="s">
        <v>428</v>
      </c>
      <c r="W40" s="156">
        <f>IFERROR(VLOOKUP(V40,AnswerDTBL,2,FALSE),0)</f>
        <v>1</v>
      </c>
      <c r="X40" s="158">
        <f>IFERROR(AVERAGE(W40,W41),0)</f>
        <v>1</v>
      </c>
      <c r="Y40" s="372">
        <f>SUM(X40,X43,X46)</f>
        <v>2.2000000000000002</v>
      </c>
    </row>
    <row r="41" spans="1:25" ht="12.75" customHeight="1" x14ac:dyDescent="0.15">
      <c r="A41" s="27">
        <v>16</v>
      </c>
      <c r="B41" s="388"/>
      <c r="C41" s="384" t="str">
        <f>Interview!C105</f>
        <v>Does each project team understand where to find secure development best-practices and guidance?</v>
      </c>
      <c r="D41" s="385"/>
      <c r="E41" s="30" t="str">
        <f>Interview!E105</f>
        <v>Yes, at least half of them are/do</v>
      </c>
      <c r="F41" s="18">
        <v>16</v>
      </c>
      <c r="G41" s="18">
        <f>IFERROR(VLOOKUP(E41,AnswerCTBL,2,FALSE),0)</f>
        <v>0.5</v>
      </c>
      <c r="H41" s="202"/>
      <c r="I41" s="381"/>
      <c r="J41" s="177" t="s">
        <v>494</v>
      </c>
      <c r="K41" s="18">
        <f>IFERROR(VLOOKUP(J41,AnswerCTBL,2,FALSE),0)</f>
        <v>0.5</v>
      </c>
      <c r="L41" s="109"/>
      <c r="M41" s="374"/>
      <c r="N41" s="177" t="s">
        <v>494</v>
      </c>
      <c r="O41" s="18">
        <f>IFERROR(VLOOKUP(N41,AnswerCTBL,2,FALSE),0)</f>
        <v>0.5</v>
      </c>
      <c r="P41" s="109"/>
      <c r="Q41" s="374"/>
      <c r="R41" s="177" t="s">
        <v>494</v>
      </c>
      <c r="S41" s="18">
        <f>IFERROR(VLOOKUP(R41,AnswerCTBL,2,FALSE),0)</f>
        <v>0.5</v>
      </c>
      <c r="T41" s="109"/>
      <c r="U41" s="374"/>
      <c r="V41" s="177" t="s">
        <v>495</v>
      </c>
      <c r="W41" s="18">
        <f>IFERROR(VLOOKUP(V41,AnswerCTBL,2,FALSE),0)</f>
        <v>1</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t="str">
        <f>Interview!E111</f>
        <v>Yes, at least half of them are/do</v>
      </c>
      <c r="F43" s="156">
        <v>17</v>
      </c>
      <c r="G43" s="156">
        <f>IFERROR(VLOOKUP(E43,AnswerCTBL,2,FALSE),0)</f>
        <v>0.5</v>
      </c>
      <c r="H43" s="201">
        <f>IFERROR(AVERAGE(G43,G44),0)</f>
        <v>0.35</v>
      </c>
      <c r="I43" s="212"/>
      <c r="J43" s="176" t="s">
        <v>494</v>
      </c>
      <c r="K43" s="156">
        <f>IFERROR(VLOOKUP(J43,AnswerCTBL,2,FALSE),0)</f>
        <v>0.5</v>
      </c>
      <c r="L43" s="158">
        <f>IFERROR(AVERAGE(K43,K44),0)</f>
        <v>0.35</v>
      </c>
      <c r="M43" s="180"/>
      <c r="N43" s="176" t="s">
        <v>494</v>
      </c>
      <c r="O43" s="156">
        <f>IFERROR(VLOOKUP(N43,AnswerCTBL,2,FALSE),0)</f>
        <v>0.5</v>
      </c>
      <c r="P43" s="158">
        <f>IFERROR(AVERAGE(O43,O44),0)</f>
        <v>0.35</v>
      </c>
      <c r="Q43" s="180"/>
      <c r="R43" s="176" t="s">
        <v>495</v>
      </c>
      <c r="S43" s="156">
        <f>IFERROR(VLOOKUP(R43,AnswerCTBL,2,FALSE),0)</f>
        <v>1</v>
      </c>
      <c r="T43" s="158">
        <f>IFERROR(AVERAGE(S43,S44),0)</f>
        <v>0.6</v>
      </c>
      <c r="U43" s="180"/>
      <c r="V43" s="176" t="s">
        <v>495</v>
      </c>
      <c r="W43" s="156">
        <f>IFERROR(VLOOKUP(V43,AnswerCTBL,2,FALSE),0)</f>
        <v>1</v>
      </c>
      <c r="X43" s="158">
        <f>IFERROR(AVERAGE(W43,W44),0)</f>
        <v>0.6</v>
      </c>
      <c r="Y43" s="180"/>
    </row>
    <row r="44" spans="1:25" ht="12.75" customHeight="1" x14ac:dyDescent="0.15">
      <c r="A44" s="27">
        <v>18</v>
      </c>
      <c r="B44" s="388"/>
      <c r="C44" s="384" t="str">
        <f>Interview!C118</f>
        <v>Are stakeholders able to pull in security coaches for use on projects?</v>
      </c>
      <c r="D44" s="385"/>
      <c r="E44" s="30" t="str">
        <f>Interview!E118</f>
        <v>Yes, a small percentage are/do</v>
      </c>
      <c r="F44" s="18">
        <v>18</v>
      </c>
      <c r="G44" s="18">
        <f>IFERROR(VLOOKUP(E44,AnswerCTBL,2,FALSE),0)</f>
        <v>0.2</v>
      </c>
      <c r="H44" s="202"/>
      <c r="I44" s="212"/>
      <c r="J44" s="177" t="s">
        <v>493</v>
      </c>
      <c r="K44" s="18">
        <f>IFERROR(VLOOKUP(J44,AnswerCTBL,2,FALSE),0)</f>
        <v>0.2</v>
      </c>
      <c r="L44" s="109"/>
      <c r="M44" s="180"/>
      <c r="N44" s="177" t="s">
        <v>493</v>
      </c>
      <c r="O44" s="18">
        <f>IFERROR(VLOOKUP(N44,AnswerCTBL,2,FALSE),0)</f>
        <v>0.2</v>
      </c>
      <c r="P44" s="109"/>
      <c r="Q44" s="180"/>
      <c r="R44" s="177" t="s">
        <v>493</v>
      </c>
      <c r="S44" s="18">
        <f>IFERROR(VLOOKUP(R44,AnswerCTBL,2,FALSE),0)</f>
        <v>0.2</v>
      </c>
      <c r="T44" s="109"/>
      <c r="U44" s="180"/>
      <c r="V44" s="177" t="s">
        <v>493</v>
      </c>
      <c r="W44" s="18">
        <f>IFERROR(VLOOKUP(V44,AnswerCTBL,2,FALSE),0)</f>
        <v>0.2</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t="str">
        <f>Interview!E124</f>
        <v>Yes, teams write/run their own</v>
      </c>
      <c r="F46" s="156">
        <v>19</v>
      </c>
      <c r="G46" s="156">
        <f>IFERROR(VLOOKUP(E46,AnswerFTBL,2,FALSE),0)</f>
        <v>0.2</v>
      </c>
      <c r="H46" s="201">
        <f>IFERROR(AVERAGE(G46,G47),0)</f>
        <v>0.2</v>
      </c>
      <c r="I46" s="212"/>
      <c r="J46" s="176" t="s">
        <v>497</v>
      </c>
      <c r="K46" s="156">
        <f>IFERROR(VLOOKUP(J46,AnswerFTBL,2,FALSE),0)</f>
        <v>0.2</v>
      </c>
      <c r="L46" s="158">
        <f>IFERROR(AVERAGE(K46,K47),0)</f>
        <v>0.35</v>
      </c>
      <c r="M46" s="180"/>
      <c r="N46" s="176" t="s">
        <v>497</v>
      </c>
      <c r="O46" s="156">
        <f>IFERROR(VLOOKUP(N46,AnswerFTBL,2,FALSE),0)</f>
        <v>0.2</v>
      </c>
      <c r="P46" s="158">
        <f>IFERROR(AVERAGE(O46,O47),0)</f>
        <v>0.35</v>
      </c>
      <c r="Q46" s="180"/>
      <c r="R46" s="176" t="s">
        <v>497</v>
      </c>
      <c r="S46" s="156">
        <f>IFERROR(VLOOKUP(R46,AnswerFTBL,2,FALSE),0)</f>
        <v>0.2</v>
      </c>
      <c r="T46" s="158">
        <f>IFERROR(AVERAGE(S46,S47),0)</f>
        <v>0.35</v>
      </c>
      <c r="U46" s="180"/>
      <c r="V46" s="176" t="s">
        <v>497</v>
      </c>
      <c r="W46" s="156">
        <f>IFERROR(VLOOKUP(V46,AnswerFTBL,2,FALSE),0)</f>
        <v>0.2</v>
      </c>
      <c r="X46" s="158">
        <f>IFERROR(AVERAGE(W46,W47),0)</f>
        <v>0.6</v>
      </c>
      <c r="Y46" s="180"/>
    </row>
    <row r="47" spans="1:25" ht="12.75" customHeight="1" x14ac:dyDescent="0.15">
      <c r="A47" s="27">
        <v>20</v>
      </c>
      <c r="B47" s="388"/>
      <c r="C47" s="384" t="str">
        <f>Interview!C130</f>
        <v>Are developers tested to ensure a baseline skill-set for secure development practices?</v>
      </c>
      <c r="D47" s="385"/>
      <c r="E47" s="31" t="str">
        <f>Interview!E130</f>
        <v>Yes, we did it once</v>
      </c>
      <c r="F47" s="154">
        <v>20</v>
      </c>
      <c r="G47" s="154">
        <f>IFERROR(VLOOKUP(E47,AnswerDTBL,2,FALSE),0)</f>
        <v>0.2</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428</v>
      </c>
      <c r="W47" s="18">
        <f>IFERROR(VLOOKUP(V47,AnswerDTBL,2,FALSE),0)</f>
        <v>1</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t="str">
        <f>Interview!E138</f>
        <v>Yes, a small percentage are/do</v>
      </c>
      <c r="F50" s="18">
        <v>1</v>
      </c>
      <c r="G50" s="18">
        <f>IFERROR(VLOOKUP(E50,AnswerCTBL,2,FALSE),0)</f>
        <v>0.2</v>
      </c>
      <c r="H50" s="166">
        <f>IFERROR(AVERAGE(G50,G51),0)</f>
        <v>0.2</v>
      </c>
      <c r="I50" s="396">
        <f>SUM(H50,H53,H57)</f>
        <v>1.1000000000000001</v>
      </c>
      <c r="J50" s="176" t="s">
        <v>493</v>
      </c>
      <c r="K50" s="18">
        <f>IFERROR(VLOOKUP(J50,AnswerCTBL,2,FALSE),0)</f>
        <v>0.2</v>
      </c>
      <c r="L50" s="109">
        <f>IFERROR(AVERAGE(K50,K51),0)</f>
        <v>0.2</v>
      </c>
      <c r="M50" s="378">
        <f>SUM(L50,L53,L57)</f>
        <v>1.2</v>
      </c>
      <c r="N50" s="176" t="s">
        <v>494</v>
      </c>
      <c r="O50" s="18">
        <f>IFERROR(VLOOKUP(N50,AnswerCTBL,2,FALSE),0)</f>
        <v>0.5</v>
      </c>
      <c r="P50" s="109">
        <f>IFERROR(AVERAGE(O50,O51),0)</f>
        <v>0.35</v>
      </c>
      <c r="Q50" s="378">
        <f>SUM(P50,P53,P57)</f>
        <v>1.35</v>
      </c>
      <c r="R50" s="176" t="s">
        <v>495</v>
      </c>
      <c r="S50" s="18">
        <f>IFERROR(VLOOKUP(R50,AnswerCTBL,2,FALSE),0)</f>
        <v>1</v>
      </c>
      <c r="T50" s="109">
        <f>IFERROR(AVERAGE(S50,S51),0)</f>
        <v>0.75</v>
      </c>
      <c r="U50" s="378">
        <f>SUM(T50,T53,T57)</f>
        <v>1.9166666666666665</v>
      </c>
      <c r="V50" s="176" t="s">
        <v>495</v>
      </c>
      <c r="W50" s="18">
        <f>IFERROR(VLOOKUP(V50,AnswerCTBL,2,FALSE),0)</f>
        <v>1</v>
      </c>
      <c r="X50" s="109">
        <f>IFERROR(AVERAGE(W50,W51),0)</f>
        <v>0.75</v>
      </c>
      <c r="Y50" s="378">
        <f>SUM(X50,X53,X57)</f>
        <v>1.9166666666666665</v>
      </c>
    </row>
    <row r="51" spans="1:25" ht="12.75" customHeight="1" x14ac:dyDescent="0.15">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t="s">
        <v>493</v>
      </c>
      <c r="K51" s="18">
        <f>IFERROR(VLOOKUP(J51,AnswerCTBL,2,FALSE),0)</f>
        <v>0.2</v>
      </c>
      <c r="L51" s="109"/>
      <c r="M51" s="379"/>
      <c r="N51" s="177" t="s">
        <v>493</v>
      </c>
      <c r="O51" s="18">
        <f>IFERROR(VLOOKUP(N51,AnswerCTBL,2,FALSE),0)</f>
        <v>0.2</v>
      </c>
      <c r="P51" s="109"/>
      <c r="Q51" s="379"/>
      <c r="R51" s="177" t="s">
        <v>494</v>
      </c>
      <c r="S51" s="18">
        <f>IFERROR(VLOOKUP(R51,AnswerCTBL,2,FALSE),0)</f>
        <v>0.5</v>
      </c>
      <c r="T51" s="109"/>
      <c r="U51" s="379"/>
      <c r="V51" s="177" t="s">
        <v>494</v>
      </c>
      <c r="W51" s="18">
        <f>IFERROR(VLOOKUP(V51,AnswerCTBL,2,FALSE),0)</f>
        <v>0.5</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0.3</v>
      </c>
      <c r="I53" s="212"/>
      <c r="J53" s="176" t="s">
        <v>493</v>
      </c>
      <c r="K53" s="18">
        <f>IFERROR(VLOOKUP(J53,AnswerCTBL,2,FALSE),0)</f>
        <v>0.2</v>
      </c>
      <c r="L53" s="109">
        <f>IFERROR(AVERAGE(K53,K54,K55),0)</f>
        <v>0.39999999999999997</v>
      </c>
      <c r="M53" s="180"/>
      <c r="N53" s="176" t="s">
        <v>493</v>
      </c>
      <c r="O53" s="18">
        <f>IFERROR(VLOOKUP(N53,AnswerCTBL,2,FALSE),0)</f>
        <v>0.2</v>
      </c>
      <c r="P53" s="109">
        <f>IFERROR(AVERAGE(O53,O54,O55),0)</f>
        <v>0.39999999999999997</v>
      </c>
      <c r="Q53" s="180"/>
      <c r="R53" s="176" t="s">
        <v>493</v>
      </c>
      <c r="S53" s="18">
        <f>IFERROR(VLOOKUP(R53,AnswerCTBL,2,FALSE),0)</f>
        <v>0.2</v>
      </c>
      <c r="T53" s="109">
        <f>IFERROR(AVERAGE(S53,S54,S55),0)</f>
        <v>0.56666666666666665</v>
      </c>
      <c r="U53" s="180"/>
      <c r="V53" s="176" t="s">
        <v>493</v>
      </c>
      <c r="W53" s="18">
        <f>IFERROR(VLOOKUP(V53,AnswerCTBL,2,FALSE),0)</f>
        <v>0.2</v>
      </c>
      <c r="X53" s="109">
        <f>IFERROR(AVERAGE(W53,W54,W55),0)</f>
        <v>0.56666666666666665</v>
      </c>
      <c r="Y53" s="180"/>
    </row>
    <row r="54" spans="1:25" ht="12.75" customHeight="1" x14ac:dyDescent="0.15">
      <c r="A54"/>
      <c r="B54" s="427"/>
      <c r="C54" s="382" t="str">
        <f>Interview!C154</f>
        <v>Do project teams use a method of rating threats for relative comparison?</v>
      </c>
      <c r="D54" s="383"/>
      <c r="E54" s="30" t="str">
        <f>Interview!E154</f>
        <v>Yes, a small percentage are/do</v>
      </c>
      <c r="F54" s="18">
        <v>4</v>
      </c>
      <c r="G54" s="18">
        <f>IFERROR(VLOOKUP(E54,AnswerCTBL,2,FALSE),0)</f>
        <v>0.2</v>
      </c>
      <c r="H54" s="166"/>
      <c r="I54" s="212"/>
      <c r="J54" s="177" t="s">
        <v>494</v>
      </c>
      <c r="K54" s="18">
        <f>IFERROR(VLOOKUP(J54,AnswerCTBL,2,FALSE),0)</f>
        <v>0.5</v>
      </c>
      <c r="L54" s="109"/>
      <c r="M54" s="180"/>
      <c r="N54" s="177" t="s">
        <v>494</v>
      </c>
      <c r="O54" s="18">
        <f>IFERROR(VLOOKUP(N54,AnswerCTBL,2,FALSE),0)</f>
        <v>0.5</v>
      </c>
      <c r="P54" s="109"/>
      <c r="Q54" s="180"/>
      <c r="R54" s="177" t="s">
        <v>495</v>
      </c>
      <c r="S54" s="18">
        <f>IFERROR(VLOOKUP(R54,AnswerCTBL,2,FALSE),0)</f>
        <v>1</v>
      </c>
      <c r="T54" s="109"/>
      <c r="U54" s="180"/>
      <c r="V54" s="177" t="s">
        <v>495</v>
      </c>
      <c r="W54" s="18">
        <f>IFERROR(VLOOKUP(V54,AnswerCTBL,2,FALSE),0)</f>
        <v>1</v>
      </c>
      <c r="X54" s="109"/>
      <c r="Y54" s="180"/>
    </row>
    <row r="55" spans="1:25" ht="12.75" customHeight="1" x14ac:dyDescent="0.15">
      <c r="A55"/>
      <c r="B55" s="428"/>
      <c r="C55" s="384" t="str">
        <f>Interview!C158</f>
        <v>Are stakeholders aware of relevant threats and ratings?</v>
      </c>
      <c r="D55" s="385"/>
      <c r="E55" s="30" t="str">
        <f>Interview!E158</f>
        <v>Yes, at least half of them are/do</v>
      </c>
      <c r="F55" s="18">
        <v>5</v>
      </c>
      <c r="G55" s="18">
        <f>IFERROR(VLOOKUP(E55,AnswerCTBL,2,FALSE),0)</f>
        <v>0.5</v>
      </c>
      <c r="H55" s="166"/>
      <c r="I55" s="212"/>
      <c r="J55" s="177" t="s">
        <v>494</v>
      </c>
      <c r="K55" s="18">
        <f>IFERROR(VLOOKUP(J55,AnswerCTBL,2,FALSE),0)</f>
        <v>0.5</v>
      </c>
      <c r="L55" s="109"/>
      <c r="M55" s="180"/>
      <c r="N55" s="177" t="s">
        <v>494</v>
      </c>
      <c r="O55" s="18">
        <f>IFERROR(VLOOKUP(N55,AnswerCTBL,2,FALSE),0)</f>
        <v>0.5</v>
      </c>
      <c r="P55" s="109"/>
      <c r="Q55" s="180"/>
      <c r="R55" s="177" t="s">
        <v>494</v>
      </c>
      <c r="S55" s="18">
        <f>IFERROR(VLOOKUP(R55,AnswerCTBL,2,FALSE),0)</f>
        <v>0.5</v>
      </c>
      <c r="T55" s="109"/>
      <c r="U55" s="180"/>
      <c r="V55" s="177" t="s">
        <v>494</v>
      </c>
      <c r="W55" s="18">
        <f>IFERROR(VLOOKUP(V55,AnswerCTBL,2,FALSE),0)</f>
        <v>0.5</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t="str">
        <f>Interview!E162</f>
        <v>Yes, the majority of them are/do</v>
      </c>
      <c r="F57" s="18">
        <v>6</v>
      </c>
      <c r="G57" s="18">
        <f>IFERROR(VLOOKUP(E57,AnswerCTBL,2,FALSE),0)</f>
        <v>1</v>
      </c>
      <c r="H57" s="166">
        <f>IFERROR(AVERAGE(G57,G58),0)</f>
        <v>0.6</v>
      </c>
      <c r="I57" s="212"/>
      <c r="J57" s="176" t="s">
        <v>495</v>
      </c>
      <c r="K57" s="18">
        <f>IFERROR(VLOOKUP(J57,AnswerCTBL,2,FALSE),0)</f>
        <v>1</v>
      </c>
      <c r="L57" s="109">
        <f>IFERROR(AVERAGE(K57,K58),0)</f>
        <v>0.6</v>
      </c>
      <c r="M57" s="180"/>
      <c r="N57" s="176" t="s">
        <v>495</v>
      </c>
      <c r="O57" s="18">
        <f>IFERROR(VLOOKUP(N57,AnswerCTBL,2,FALSE),0)</f>
        <v>1</v>
      </c>
      <c r="P57" s="109">
        <f>IFERROR(AVERAGE(O57,O58),0)</f>
        <v>0.6</v>
      </c>
      <c r="Q57" s="180"/>
      <c r="R57" s="176" t="s">
        <v>495</v>
      </c>
      <c r="S57" s="18">
        <f>IFERROR(VLOOKUP(R57,AnswerCTBL,2,FALSE),0)</f>
        <v>1</v>
      </c>
      <c r="T57" s="109">
        <f>IFERROR(AVERAGE(S57,S58),0)</f>
        <v>0.6</v>
      </c>
      <c r="U57" s="180"/>
      <c r="V57" s="176" t="s">
        <v>495</v>
      </c>
      <c r="W57" s="18">
        <f>IFERROR(VLOOKUP(V57,AnswerCTBL,2,FALSE),0)</f>
        <v>1</v>
      </c>
      <c r="X57" s="109">
        <f>IFERROR(AVERAGE(W57,W58),0)</f>
        <v>0.6</v>
      </c>
      <c r="Y57" s="180"/>
    </row>
    <row r="58" spans="1:25" ht="12.75" customHeight="1" x14ac:dyDescent="0.1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t="s">
        <v>493</v>
      </c>
      <c r="K58" s="18">
        <f>IFERROR(VLOOKUP(J58,AnswerCTBL,2,FALSE),0)</f>
        <v>0.2</v>
      </c>
      <c r="L58" s="109"/>
      <c r="M58" s="180"/>
      <c r="N58" s="177" t="s">
        <v>493</v>
      </c>
      <c r="O58" s="18">
        <f>IFERROR(VLOOKUP(N58,AnswerCTBL,2,FALSE),0)</f>
        <v>0.2</v>
      </c>
      <c r="P58" s="109"/>
      <c r="Q58" s="180"/>
      <c r="R58" s="177" t="s">
        <v>493</v>
      </c>
      <c r="S58" s="18">
        <f>IFERROR(VLOOKUP(R58,AnswerCTBL,2,FALSE),0)</f>
        <v>0.2</v>
      </c>
      <c r="T58" s="109"/>
      <c r="U58" s="180"/>
      <c r="V58" s="177" t="s">
        <v>493</v>
      </c>
      <c r="W58" s="18">
        <f>IFERROR(VLOOKUP(V58,AnswerCTBL,2,FALSE),0)</f>
        <v>0.2</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1.55</v>
      </c>
      <c r="J60" s="176" t="s">
        <v>495</v>
      </c>
      <c r="K60" s="18">
        <f>IFERROR(VLOOKUP(J60,AnswerCTBL,2,FALSE),0)</f>
        <v>1</v>
      </c>
      <c r="L60" s="109">
        <f>IFERROR(AVERAGE(K60,K61),0)</f>
        <v>1</v>
      </c>
      <c r="M60" s="378">
        <f>SUM(L60,L63,L66)</f>
        <v>1.7000000000000002</v>
      </c>
      <c r="N60" s="176" t="s">
        <v>495</v>
      </c>
      <c r="O60" s="18">
        <f>IFERROR(VLOOKUP(N60,AnswerCTBL,2,FALSE),0)</f>
        <v>1</v>
      </c>
      <c r="P60" s="109">
        <f>IFERROR(AVERAGE(O60,O61),0)</f>
        <v>1</v>
      </c>
      <c r="Q60" s="378">
        <f>SUM(P60,P63,P66)</f>
        <v>1.7000000000000002</v>
      </c>
      <c r="R60" s="176" t="s">
        <v>495</v>
      </c>
      <c r="S60" s="18">
        <f>IFERROR(VLOOKUP(R60,AnswerCTBL,2,FALSE),0)</f>
        <v>1</v>
      </c>
      <c r="T60" s="109">
        <f>IFERROR(AVERAGE(S60,S61),0)</f>
        <v>1</v>
      </c>
      <c r="U60" s="378">
        <f>SUM(T60,T63,T66)</f>
        <v>1.9500000000000002</v>
      </c>
      <c r="V60" s="176" t="s">
        <v>495</v>
      </c>
      <c r="W60" s="18">
        <f>IFERROR(VLOOKUP(V60,AnswerCTBL,2,FALSE),0)</f>
        <v>1</v>
      </c>
      <c r="X60" s="109">
        <f>IFERROR(AVERAGE(W60,W61),0)</f>
        <v>1</v>
      </c>
      <c r="Y60" s="378">
        <f>SUM(X60,X63,X66)</f>
        <v>1.9500000000000002</v>
      </c>
    </row>
    <row r="61" spans="1:25" ht="12.75" customHeight="1" x14ac:dyDescent="0.15">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t="s">
        <v>432</v>
      </c>
      <c r="K61" s="18">
        <f>IFERROR(VLOOKUP(J61,AnswerFTBL,2,FALSE),0)</f>
        <v>1</v>
      </c>
      <c r="L61" s="109"/>
      <c r="M61" s="379"/>
      <c r="N61" s="177" t="s">
        <v>432</v>
      </c>
      <c r="O61" s="18">
        <f>IFERROR(VLOOKUP(N61,AnswerFTBL,2,FALSE),0)</f>
        <v>1</v>
      </c>
      <c r="P61" s="109"/>
      <c r="Q61" s="379"/>
      <c r="R61" s="177" t="s">
        <v>432</v>
      </c>
      <c r="S61" s="18">
        <f>IFERROR(VLOOKUP(R61,AnswerFTBL,2,FALSE),0)</f>
        <v>1</v>
      </c>
      <c r="T61" s="109"/>
      <c r="U61" s="379"/>
      <c r="V61" s="177" t="s">
        <v>432</v>
      </c>
      <c r="W61" s="18">
        <f>IFERROR(VLOOKUP(V61,AnswerFTBL,2,FALSE),0)</f>
        <v>1</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0.35</v>
      </c>
      <c r="I63" s="212"/>
      <c r="J63" s="176" t="s">
        <v>493</v>
      </c>
      <c r="K63" s="18">
        <f>IFERROR(VLOOKUP(J63,AnswerCTBL,2,FALSE),0)</f>
        <v>0.2</v>
      </c>
      <c r="L63" s="109">
        <f>IFERROR(AVERAGE(K63,K64),0)</f>
        <v>0.35</v>
      </c>
      <c r="M63" s="180"/>
      <c r="N63" s="176" t="s">
        <v>493</v>
      </c>
      <c r="O63" s="18">
        <f>IFERROR(VLOOKUP(N63,AnswerCTBL,2,FALSE),0)</f>
        <v>0.2</v>
      </c>
      <c r="P63" s="109">
        <f>IFERROR(AVERAGE(O63,O64),0)</f>
        <v>0.35</v>
      </c>
      <c r="Q63" s="180"/>
      <c r="R63" s="176" t="s">
        <v>493</v>
      </c>
      <c r="S63" s="18">
        <f>IFERROR(VLOOKUP(R63,AnswerCTBL,2,FALSE),0)</f>
        <v>0.2</v>
      </c>
      <c r="T63" s="109">
        <f>IFERROR(AVERAGE(S63,S64),0)</f>
        <v>0.35</v>
      </c>
      <c r="U63" s="180"/>
      <c r="V63" s="176" t="s">
        <v>493</v>
      </c>
      <c r="W63" s="18">
        <f>IFERROR(VLOOKUP(V63,AnswerCTBL,2,FALSE),0)</f>
        <v>0.2</v>
      </c>
      <c r="X63" s="109">
        <f>IFERROR(AVERAGE(W63,W64),0)</f>
        <v>0.35</v>
      </c>
      <c r="Y63" s="180"/>
    </row>
    <row r="64" spans="1:25" ht="12.75" customHeight="1" x14ac:dyDescent="0.15">
      <c r="A64"/>
      <c r="B64" s="428"/>
      <c r="C64" s="384" t="str">
        <f>Interview!C192</f>
        <v>Do project teams specify requirements based on feedback from other security activities?</v>
      </c>
      <c r="D64" s="385"/>
      <c r="E64" s="30" t="str">
        <f>Interview!E192</f>
        <v>Yes, at least half of them are/do</v>
      </c>
      <c r="F64" s="18">
        <v>11</v>
      </c>
      <c r="G64" s="18">
        <f>IFERROR(VLOOKUP(E64,AnswerCTBL,2,FALSE),0)</f>
        <v>0.5</v>
      </c>
      <c r="H64" s="166"/>
      <c r="I64" s="212"/>
      <c r="J64" s="177" t="s">
        <v>494</v>
      </c>
      <c r="K64" s="18">
        <f>IFERROR(VLOOKUP(J64,AnswerCTBL,2,FALSE),0)</f>
        <v>0.5</v>
      </c>
      <c r="L64" s="109"/>
      <c r="M64" s="180"/>
      <c r="N64" s="177" t="s">
        <v>494</v>
      </c>
      <c r="O64" s="18">
        <f>IFERROR(VLOOKUP(N64,AnswerCTBL,2,FALSE),0)</f>
        <v>0.5</v>
      </c>
      <c r="P64" s="109"/>
      <c r="Q64" s="180"/>
      <c r="R64" s="177" t="s">
        <v>494</v>
      </c>
      <c r="S64" s="18">
        <f>IFERROR(VLOOKUP(R64,AnswerCTBL,2,FALSE),0)</f>
        <v>0.5</v>
      </c>
      <c r="T64" s="109"/>
      <c r="U64" s="180"/>
      <c r="V64" s="177" t="s">
        <v>494</v>
      </c>
      <c r="W64" s="18">
        <f>IFERROR(VLOOKUP(V64,AnswerCTBL,2,FALSE),0)</f>
        <v>0.5</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t="str">
        <f>Interview!E196</f>
        <v>Yes, a small percentage are/do</v>
      </c>
      <c r="F66" s="161">
        <v>12</v>
      </c>
      <c r="G66" s="18">
        <f>IFERROR(VLOOKUP(E66,AnswerCTBL,2,FALSE),0)</f>
        <v>0.2</v>
      </c>
      <c r="H66" s="166">
        <f>IFERROR(AVERAGE(G66,G67),0)</f>
        <v>0.2</v>
      </c>
      <c r="I66" s="212"/>
      <c r="J66" s="176" t="s">
        <v>493</v>
      </c>
      <c r="K66" s="18">
        <f>IFERROR(VLOOKUP(J66,AnswerCTBL,2,FALSE),0)</f>
        <v>0.2</v>
      </c>
      <c r="L66" s="109">
        <f>IFERROR(AVERAGE(K66,K67),0)</f>
        <v>0.35</v>
      </c>
      <c r="M66" s="180"/>
      <c r="N66" s="176" t="s">
        <v>493</v>
      </c>
      <c r="O66" s="18">
        <f>IFERROR(VLOOKUP(N66,AnswerCTBL,2,FALSE),0)</f>
        <v>0.2</v>
      </c>
      <c r="P66" s="109">
        <f>IFERROR(AVERAGE(O66,O67),0)</f>
        <v>0.35</v>
      </c>
      <c r="Q66" s="180"/>
      <c r="R66" s="176" t="s">
        <v>493</v>
      </c>
      <c r="S66" s="18">
        <f>IFERROR(VLOOKUP(R66,AnswerCTBL,2,FALSE),0)</f>
        <v>0.2</v>
      </c>
      <c r="T66" s="109">
        <f>IFERROR(AVERAGE(S66,S67),0)</f>
        <v>0.6</v>
      </c>
      <c r="U66" s="180"/>
      <c r="V66" s="176" t="s">
        <v>493</v>
      </c>
      <c r="W66" s="18">
        <f>IFERROR(VLOOKUP(V66,AnswerCTBL,2,FALSE),0)</f>
        <v>0.2</v>
      </c>
      <c r="X66" s="109">
        <f>IFERROR(AVERAGE(W66,W67),0)</f>
        <v>0.6</v>
      </c>
      <c r="Y66" s="180"/>
    </row>
    <row r="67" spans="1:25" ht="12.75" customHeight="1" x14ac:dyDescent="0.15">
      <c r="A67"/>
      <c r="B67" s="433"/>
      <c r="C67" s="424" t="str">
        <f>Interview!C199</f>
        <v>Are audits performed against the security requirements specified by project teams?</v>
      </c>
      <c r="D67" s="435"/>
      <c r="E67" s="165" t="str">
        <f>Interview!E199</f>
        <v>Yes, we did it once</v>
      </c>
      <c r="F67" s="161">
        <v>13</v>
      </c>
      <c r="G67" s="18">
        <f>IFERROR(VLOOKUP(E67,AnswerDTBL,2,FALSE),0)</f>
        <v>0.2</v>
      </c>
      <c r="H67" s="166"/>
      <c r="I67" s="212"/>
      <c r="J67" s="177" t="s">
        <v>427</v>
      </c>
      <c r="K67" s="18">
        <f>IFERROR(VLOOKUP(J67,AnswerDTBL,2,FALSE),0)</f>
        <v>0.5</v>
      </c>
      <c r="L67" s="109"/>
      <c r="M67" s="180"/>
      <c r="N67" s="177" t="s">
        <v>427</v>
      </c>
      <c r="O67" s="18">
        <f>IFERROR(VLOOKUP(N67,AnswerDTBL,2,FALSE),0)</f>
        <v>0.5</v>
      </c>
      <c r="P67" s="109"/>
      <c r="Q67" s="180"/>
      <c r="R67" s="177" t="s">
        <v>428</v>
      </c>
      <c r="S67" s="18">
        <f>IFERROR(VLOOKUP(R67,AnswerDTBL,2,FALSE),0)</f>
        <v>1</v>
      </c>
      <c r="T67" s="109"/>
      <c r="U67" s="180"/>
      <c r="V67" s="177" t="s">
        <v>428</v>
      </c>
      <c r="W67" s="18">
        <f>IFERROR(VLOOKUP(V67,AnswerDTBL,2,FALSE),0)</f>
        <v>1</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0.35</v>
      </c>
      <c r="I69" s="396">
        <f>SUM(H69,H72,H75)</f>
        <v>1.4500000000000002</v>
      </c>
      <c r="J69" s="176" t="s">
        <v>431</v>
      </c>
      <c r="K69" s="18">
        <f>IFERROR(VLOOKUP(J69,AnswerFTBL,2,FALSE),0)</f>
        <v>0.5</v>
      </c>
      <c r="L69" s="109">
        <f>IFERROR(AVERAGE(K69,K70),0)</f>
        <v>0.35</v>
      </c>
      <c r="M69" s="378">
        <f>SUM(L69,L72,L75)</f>
        <v>1.4500000000000002</v>
      </c>
      <c r="N69" s="176" t="s">
        <v>431</v>
      </c>
      <c r="O69" s="18">
        <f>IFERROR(VLOOKUP(N69,AnswerFTBL,2,FALSE),0)</f>
        <v>0.5</v>
      </c>
      <c r="P69" s="109">
        <f>IFERROR(AVERAGE(O69,O70),0)</f>
        <v>0.35</v>
      </c>
      <c r="Q69" s="378">
        <f>SUM(P69,P72,P75)</f>
        <v>1.7000000000000002</v>
      </c>
      <c r="R69" s="176" t="s">
        <v>431</v>
      </c>
      <c r="S69" s="18">
        <f>IFERROR(VLOOKUP(R69,AnswerFTBL,2,FALSE),0)</f>
        <v>0.5</v>
      </c>
      <c r="T69" s="109">
        <f>IFERROR(AVERAGE(S69,S70),0)</f>
        <v>0.35</v>
      </c>
      <c r="U69" s="378">
        <f>SUM(T69,T72,T75)</f>
        <v>1.7000000000000002</v>
      </c>
      <c r="V69" s="176" t="s">
        <v>431</v>
      </c>
      <c r="W69" s="18">
        <f>IFERROR(VLOOKUP(V69,AnswerFTBL,2,FALSE),0)</f>
        <v>0.5</v>
      </c>
      <c r="X69" s="109">
        <f>IFERROR(AVERAGE(W69,W70),0)</f>
        <v>0.35</v>
      </c>
      <c r="Y69" s="378">
        <f>SUM(X69,X72,X75)</f>
        <v>1.7000000000000002</v>
      </c>
    </row>
    <row r="70" spans="1:25" ht="12.75" customHeight="1" x14ac:dyDescent="0.15">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t="s">
        <v>493</v>
      </c>
      <c r="K70" s="18">
        <f>IFERROR(VLOOKUP(J70,AnswerCTBL,2,FALSE),0)</f>
        <v>0.2</v>
      </c>
      <c r="L70" s="109"/>
      <c r="M70" s="379"/>
      <c r="N70" s="177" t="s">
        <v>493</v>
      </c>
      <c r="O70" s="18">
        <f>IFERROR(VLOOKUP(N70,AnswerCTBL,2,FALSE),0)</f>
        <v>0.2</v>
      </c>
      <c r="P70" s="109"/>
      <c r="Q70" s="379"/>
      <c r="R70" s="177" t="s">
        <v>493</v>
      </c>
      <c r="S70" s="18">
        <f>IFERROR(VLOOKUP(R70,AnswerCTBL,2,FALSE),0)</f>
        <v>0.2</v>
      </c>
      <c r="T70" s="109"/>
      <c r="U70" s="379"/>
      <c r="V70" s="177" t="s">
        <v>493</v>
      </c>
      <c r="W70" s="18">
        <f>IFERROR(VLOOKUP(V70,AnswerCTBL,2,FALSE),0)</f>
        <v>0.2</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t="str">
        <f>Interview!E216</f>
        <v>Yes, across the organization</v>
      </c>
      <c r="F72" s="18">
        <v>16</v>
      </c>
      <c r="G72" s="18">
        <f>IFERROR(VLOOKUP(E72,AnswerGTBL,2,FALSE),0)</f>
        <v>0.5</v>
      </c>
      <c r="H72" s="166">
        <f>IFERROR(AVERAGE(G72,G73),0)</f>
        <v>0.75</v>
      </c>
      <c r="I72" s="212"/>
      <c r="J72" s="176" t="s">
        <v>444</v>
      </c>
      <c r="K72" s="18">
        <f>IFERROR(VLOOKUP(J72,AnswerGTBL,2,FALSE),0)</f>
        <v>0.5</v>
      </c>
      <c r="L72" s="109">
        <f>IFERROR(AVERAGE(K72,K73),0)</f>
        <v>0.75</v>
      </c>
      <c r="M72" s="180"/>
      <c r="N72" s="176" t="s">
        <v>443</v>
      </c>
      <c r="O72" s="18">
        <f>IFERROR(VLOOKUP(N72,AnswerGTBL,2,FALSE),0)</f>
        <v>1</v>
      </c>
      <c r="P72" s="109">
        <f>IFERROR(AVERAGE(O72,O73),0)</f>
        <v>1</v>
      </c>
      <c r="Q72" s="180"/>
      <c r="R72" s="176" t="s">
        <v>443</v>
      </c>
      <c r="S72" s="18">
        <f>IFERROR(VLOOKUP(R72,AnswerGTBL,2,FALSE),0)</f>
        <v>1</v>
      </c>
      <c r="T72" s="109">
        <f>IFERROR(AVERAGE(S72,S73),0)</f>
        <v>1</v>
      </c>
      <c r="U72" s="180"/>
      <c r="V72" s="176" t="s">
        <v>443</v>
      </c>
      <c r="W72" s="18">
        <f>IFERROR(VLOOKUP(V72,AnswerGTBL,2,FALSE),0)</f>
        <v>1</v>
      </c>
      <c r="X72" s="109">
        <f>IFERROR(AVERAGE(W72,W73),0)</f>
        <v>1</v>
      </c>
      <c r="Y72" s="180"/>
    </row>
    <row r="73" spans="1:25" ht="12.75" customHeight="1" x14ac:dyDescent="0.15">
      <c r="A73"/>
      <c r="B73" s="428"/>
      <c r="C73" s="384" t="str">
        <f>Interview!C223</f>
        <v>Are project teams provided with prescriptive design patterns based on their application architecture?</v>
      </c>
      <c r="D73" s="385"/>
      <c r="E73" s="30" t="str">
        <f>Interview!E223</f>
        <v>Yes, the standard set is integrated</v>
      </c>
      <c r="F73" s="18">
        <v>17</v>
      </c>
      <c r="G73" s="18">
        <f>IFERROR(VLOOKUP(E73,AnswerFTBL,2,FALSE),0)</f>
        <v>1</v>
      </c>
      <c r="H73" s="166"/>
      <c r="I73" s="212"/>
      <c r="J73" s="177" t="s">
        <v>432</v>
      </c>
      <c r="K73" s="18">
        <f>IFERROR(VLOOKUP(J73,AnswerFTBL,2,FALSE),0)</f>
        <v>1</v>
      </c>
      <c r="L73" s="109"/>
      <c r="M73" s="180"/>
      <c r="N73" s="177" t="s">
        <v>432</v>
      </c>
      <c r="O73" s="18">
        <f>IFERROR(VLOOKUP(N73,AnswerFTBL,2,FALSE),0)</f>
        <v>1</v>
      </c>
      <c r="P73" s="109"/>
      <c r="Q73" s="180"/>
      <c r="R73" s="177" t="s">
        <v>432</v>
      </c>
      <c r="S73" s="18">
        <f>IFERROR(VLOOKUP(R73,AnswerFTBL,2,FALSE),0)</f>
        <v>1</v>
      </c>
      <c r="T73" s="109"/>
      <c r="U73" s="180"/>
      <c r="V73" s="177" t="s">
        <v>432</v>
      </c>
      <c r="W73" s="18">
        <f>IFERROR(VLOOKUP(V73,AnswerFTBL,2,FALSE),0)</f>
        <v>1</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t="str">
        <f>Interview!E229</f>
        <v>Yes, a small percentage are/do</v>
      </c>
      <c r="F75" s="18">
        <v>18</v>
      </c>
      <c r="G75" s="18">
        <f>IFERROR(VLOOKUP(E75,AnswerCTBL,2,FALSE),0)</f>
        <v>0.2</v>
      </c>
      <c r="H75" s="166">
        <f>IFERROR(AVERAGE(G75,G76),0)</f>
        <v>0.35</v>
      </c>
      <c r="I75" s="212"/>
      <c r="J75" s="176" t="s">
        <v>493</v>
      </c>
      <c r="K75" s="18">
        <f>IFERROR(VLOOKUP(J75,AnswerCTBL,2,FALSE),0)</f>
        <v>0.2</v>
      </c>
      <c r="L75" s="109">
        <f>IFERROR(AVERAGE(K75,K76),0)</f>
        <v>0.35</v>
      </c>
      <c r="M75" s="180"/>
      <c r="N75" s="176" t="s">
        <v>493</v>
      </c>
      <c r="O75" s="18">
        <f>IFERROR(VLOOKUP(N75,AnswerCTBL,2,FALSE),0)</f>
        <v>0.2</v>
      </c>
      <c r="P75" s="109">
        <f>IFERROR(AVERAGE(O75,O76),0)</f>
        <v>0.35</v>
      </c>
      <c r="Q75" s="180"/>
      <c r="R75" s="176" t="s">
        <v>493</v>
      </c>
      <c r="S75" s="18">
        <f>IFERROR(VLOOKUP(R75,AnswerCTBL,2,FALSE),0)</f>
        <v>0.2</v>
      </c>
      <c r="T75" s="109">
        <f>IFERROR(AVERAGE(S75,S76),0)</f>
        <v>0.35</v>
      </c>
      <c r="U75" s="180"/>
      <c r="V75" s="176" t="s">
        <v>493</v>
      </c>
      <c r="W75" s="18">
        <f>IFERROR(VLOOKUP(V75,AnswerCTBL,2,FALSE),0)</f>
        <v>0.2</v>
      </c>
      <c r="X75" s="109">
        <f>IFERROR(AVERAGE(W75,W76),0)</f>
        <v>0.35</v>
      </c>
      <c r="Y75" s="180"/>
    </row>
    <row r="76" spans="1:25" ht="12.75" customHeight="1" x14ac:dyDescent="0.15">
      <c r="A76"/>
      <c r="B76" s="427"/>
      <c r="C76" s="382" t="str">
        <f>Interview!C233</f>
        <v>Are project teams audited for the use of secure architecture components?</v>
      </c>
      <c r="D76" s="383"/>
      <c r="E76" s="30" t="str">
        <f>Interview!E233</f>
        <v>Yes, we do it every few years</v>
      </c>
      <c r="F76" s="18">
        <v>19</v>
      </c>
      <c r="G76" s="18">
        <f>IFERROR(VLOOKUP(E76,AnswerDTBL,2,FALSE),0)</f>
        <v>0.5</v>
      </c>
      <c r="H76" s="166"/>
      <c r="I76" s="214"/>
      <c r="J76" s="177" t="s">
        <v>427</v>
      </c>
      <c r="K76" s="18">
        <f>IFERROR(VLOOKUP(J76,AnswerDTBL,2,FALSE),0)</f>
        <v>0.5</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t="str">
        <f>Interview!E239</f>
        <v>Yes, the majority of them are/do</v>
      </c>
      <c r="F79" s="18">
        <v>1</v>
      </c>
      <c r="G79" s="18">
        <f>IFERROR(VLOOKUP(E79,AnswerCTBL,2,FALSE),0)</f>
        <v>1</v>
      </c>
      <c r="H79" s="166">
        <f>IFERROR(AVERAGE(G79,G80),0)</f>
        <v>0.75</v>
      </c>
      <c r="I79" s="398">
        <f>SUM(H79,H82,H85)</f>
        <v>1.85</v>
      </c>
      <c r="J79" s="176" t="s">
        <v>495</v>
      </c>
      <c r="K79" s="18">
        <f>IFERROR(VLOOKUP(J79,AnswerCTBL,2,FALSE),0)</f>
        <v>1</v>
      </c>
      <c r="L79" s="109">
        <f>IFERROR(AVERAGE(K79,K80),0)</f>
        <v>0.75</v>
      </c>
      <c r="M79" s="367">
        <f>SUM(L79,L82,L85)</f>
        <v>1.85</v>
      </c>
      <c r="N79" s="176" t="s">
        <v>495</v>
      </c>
      <c r="O79" s="18">
        <f>IFERROR(VLOOKUP(N79,AnswerCTBL,2,FALSE),0)</f>
        <v>1</v>
      </c>
      <c r="P79" s="109">
        <f>IFERROR(AVERAGE(O79,O80),0)</f>
        <v>0.75</v>
      </c>
      <c r="Q79" s="367">
        <f>SUM(P79,P82,P85)</f>
        <v>1.85</v>
      </c>
      <c r="R79" s="176" t="s">
        <v>495</v>
      </c>
      <c r="S79" s="18">
        <f>IFERROR(VLOOKUP(R79,AnswerCTBL,2,FALSE),0)</f>
        <v>1</v>
      </c>
      <c r="T79" s="109">
        <f>IFERROR(AVERAGE(S79,S80),0)</f>
        <v>0.75</v>
      </c>
      <c r="U79" s="367">
        <f>SUM(T79,T82,T85)</f>
        <v>2</v>
      </c>
      <c r="V79" s="176" t="s">
        <v>495</v>
      </c>
      <c r="W79" s="18">
        <f>IFERROR(VLOOKUP(V79,AnswerCTBL,2,FALSE),0)</f>
        <v>1</v>
      </c>
      <c r="X79" s="109">
        <f>IFERROR(AVERAGE(W79,W80),0)</f>
        <v>0.75</v>
      </c>
      <c r="Y79" s="367">
        <f>SUM(X79,X82,X85)</f>
        <v>2</v>
      </c>
    </row>
    <row r="80" spans="1:25" ht="12.75" customHeight="1" x14ac:dyDescent="0.15">
      <c r="A80"/>
      <c r="B80" s="417"/>
      <c r="C80" s="384" t="str">
        <f>Interview!C247</f>
        <v>Do project teams check software designs against known security risks?</v>
      </c>
      <c r="D80" s="385"/>
      <c r="E80" s="30" t="str">
        <f>Interview!E247</f>
        <v>Yes, at least half of them are/do</v>
      </c>
      <c r="F80" s="18">
        <v>2</v>
      </c>
      <c r="G80" s="18">
        <f>IFERROR(VLOOKUP(E80,AnswerCTBL,2,FALSE),0)</f>
        <v>0.5</v>
      </c>
      <c r="H80" s="166"/>
      <c r="I80" s="399"/>
      <c r="J80" s="177" t="s">
        <v>494</v>
      </c>
      <c r="K80" s="18">
        <f>IFERROR(VLOOKUP(J80,AnswerCTBL,2,FALSE),0)</f>
        <v>0.5</v>
      </c>
      <c r="L80" s="109"/>
      <c r="M80" s="368"/>
      <c r="N80" s="177" t="s">
        <v>494</v>
      </c>
      <c r="O80" s="18">
        <f>IFERROR(VLOOKUP(N80,AnswerCTBL,2,FALSE),0)</f>
        <v>0.5</v>
      </c>
      <c r="P80" s="109"/>
      <c r="Q80" s="368"/>
      <c r="R80" s="177" t="s">
        <v>494</v>
      </c>
      <c r="S80" s="18">
        <f>IFERROR(VLOOKUP(R80,AnswerCTBL,2,FALSE),0)</f>
        <v>0.5</v>
      </c>
      <c r="T80" s="109"/>
      <c r="U80" s="368"/>
      <c r="V80" s="177" t="s">
        <v>494</v>
      </c>
      <c r="W80" s="18">
        <f>IFERROR(VLOOKUP(V80,AnswerCTBL,2,FALSE),0)</f>
        <v>0.5</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t="str">
        <f>Interview!E254</f>
        <v>Yes, at least half of them are/do</v>
      </c>
      <c r="F82" s="18">
        <v>3</v>
      </c>
      <c r="G82" s="18">
        <f>IFERROR(VLOOKUP(E82,AnswerCTBL,2,FALSE),0)</f>
        <v>0.5</v>
      </c>
      <c r="H82" s="166">
        <f>IFERROR(AVERAGE(G82,G83),0)</f>
        <v>0.5</v>
      </c>
      <c r="I82" s="212"/>
      <c r="J82" s="176" t="s">
        <v>494</v>
      </c>
      <c r="K82" s="18">
        <f>IFERROR(VLOOKUP(J82,AnswerCTBL,2,FALSE),0)</f>
        <v>0.5</v>
      </c>
      <c r="L82" s="109">
        <f>IFERROR(AVERAGE(K82,K83),0)</f>
        <v>0.5</v>
      </c>
      <c r="M82" s="180"/>
      <c r="N82" s="176" t="s">
        <v>494</v>
      </c>
      <c r="O82" s="18">
        <f>IFERROR(VLOOKUP(N82,AnswerCTBL,2,FALSE),0)</f>
        <v>0.5</v>
      </c>
      <c r="P82" s="109">
        <f>IFERROR(AVERAGE(O82,O83),0)</f>
        <v>0.5</v>
      </c>
      <c r="Q82" s="180"/>
      <c r="R82" s="176" t="s">
        <v>494</v>
      </c>
      <c r="S82" s="18">
        <f>IFERROR(VLOOKUP(R82,AnswerCTBL,2,FALSE),0)</f>
        <v>0.5</v>
      </c>
      <c r="T82" s="109">
        <f>IFERROR(AVERAGE(S82,S83),0)</f>
        <v>0.5</v>
      </c>
      <c r="U82" s="180"/>
      <c r="V82" s="176" t="s">
        <v>494</v>
      </c>
      <c r="W82" s="18">
        <f>IFERROR(VLOOKUP(V82,AnswerCTBL,2,FALSE),0)</f>
        <v>0.5</v>
      </c>
      <c r="X82" s="109">
        <f>IFERROR(AVERAGE(W82,W83),0)</f>
        <v>0.5</v>
      </c>
      <c r="Y82" s="180"/>
    </row>
    <row r="83" spans="1:25" ht="12.75" customHeight="1" x14ac:dyDescent="0.15">
      <c r="A83"/>
      <c r="B83" s="417"/>
      <c r="C83" s="384" t="str">
        <f>Interview!C259</f>
        <v>Are project stakeholders aware of how to obtain a formal secure design review?</v>
      </c>
      <c r="D83" s="385"/>
      <c r="E83" s="30" t="str">
        <f>Interview!E259</f>
        <v>Yes, at least half of them are/do</v>
      </c>
      <c r="F83" s="18">
        <v>4</v>
      </c>
      <c r="G83" s="18">
        <f>IFERROR(VLOOKUP(E83,AnswerCTBL,2,FALSE),0)</f>
        <v>0.5</v>
      </c>
      <c r="H83" s="166"/>
      <c r="I83" s="212"/>
      <c r="J83" s="177" t="s">
        <v>494</v>
      </c>
      <c r="K83" s="18">
        <f>IFERROR(VLOOKUP(J83,AnswerCTBL,2,FALSE),0)</f>
        <v>0.5</v>
      </c>
      <c r="L83" s="109"/>
      <c r="M83" s="180"/>
      <c r="N83" s="177" t="s">
        <v>494</v>
      </c>
      <c r="O83" s="18">
        <f>IFERROR(VLOOKUP(N83,AnswerCTBL,2,FALSE),0)</f>
        <v>0.5</v>
      </c>
      <c r="P83" s="109"/>
      <c r="Q83" s="180"/>
      <c r="R83" s="177" t="s">
        <v>494</v>
      </c>
      <c r="S83" s="18">
        <f>IFERROR(VLOOKUP(R83,AnswerCTBL,2,FALSE),0)</f>
        <v>0.5</v>
      </c>
      <c r="T83" s="109"/>
      <c r="U83" s="180"/>
      <c r="V83" s="177" t="s">
        <v>494</v>
      </c>
      <c r="W83" s="18">
        <f>IFERROR(VLOOKUP(V83,AnswerCTBL,2,FALSE),0)</f>
        <v>0.5</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t="str">
        <f>Interview!E265</f>
        <v>Yes, a small percentage are/do</v>
      </c>
      <c r="F85" s="18">
        <v>5</v>
      </c>
      <c r="G85" s="18">
        <f>IFERROR(VLOOKUP(E85,AnswerCTBL,2,FALSE),0)</f>
        <v>0.2</v>
      </c>
      <c r="H85" s="166">
        <f>IFERROR(AVERAGE(G85,G86),0)</f>
        <v>0.6</v>
      </c>
      <c r="I85" s="212"/>
      <c r="J85" s="176" t="s">
        <v>493</v>
      </c>
      <c r="K85" s="18">
        <f>IFERROR(VLOOKUP(J85,AnswerCTBL,2,FALSE),0)</f>
        <v>0.2</v>
      </c>
      <c r="L85" s="109">
        <f>IFERROR(AVERAGE(K85,K86),0)</f>
        <v>0.6</v>
      </c>
      <c r="M85" s="180"/>
      <c r="N85" s="176" t="s">
        <v>493</v>
      </c>
      <c r="O85" s="18">
        <f>IFERROR(VLOOKUP(N85,AnswerCTBL,2,FALSE),0)</f>
        <v>0.2</v>
      </c>
      <c r="P85" s="109">
        <f>IFERROR(AVERAGE(O85,O86),0)</f>
        <v>0.6</v>
      </c>
      <c r="Q85" s="180"/>
      <c r="R85" s="176" t="s">
        <v>494</v>
      </c>
      <c r="S85" s="18">
        <f>IFERROR(VLOOKUP(R85,AnswerCTBL,2,FALSE),0)</f>
        <v>0.5</v>
      </c>
      <c r="T85" s="109">
        <f>IFERROR(AVERAGE(S85,S86),0)</f>
        <v>0.75</v>
      </c>
      <c r="U85" s="180"/>
      <c r="V85" s="176" t="s">
        <v>494</v>
      </c>
      <c r="W85" s="18">
        <f>IFERROR(VLOOKUP(V85,AnswerCTBL,2,FALSE),0)</f>
        <v>0.5</v>
      </c>
      <c r="X85" s="109">
        <f>IFERROR(AVERAGE(W85,W86),0)</f>
        <v>0.75</v>
      </c>
      <c r="Y85" s="180"/>
    </row>
    <row r="86" spans="1:25" ht="12.75" customHeight="1" x14ac:dyDescent="0.15">
      <c r="A86"/>
      <c r="B86" s="417"/>
      <c r="C86" s="384" t="str">
        <f>Interview!C270</f>
        <v>Does a minimum security baseline exist for secure design review results?</v>
      </c>
      <c r="D86" s="385"/>
      <c r="E86" s="30" t="str">
        <f>Interview!E270</f>
        <v>Yes, the standard set is integrated</v>
      </c>
      <c r="F86" s="18">
        <v>6</v>
      </c>
      <c r="G86" s="18">
        <f>IFERROR(VLOOKUP(E86,AnswerFTBL,2,FALSE),0)</f>
        <v>1</v>
      </c>
      <c r="H86" s="166"/>
      <c r="I86" s="212"/>
      <c r="J86" s="177" t="s">
        <v>432</v>
      </c>
      <c r="K86" s="18">
        <f>IFERROR(VLOOKUP(J86,AnswerFTBL,2,FALSE),0)</f>
        <v>1</v>
      </c>
      <c r="L86" s="109"/>
      <c r="M86" s="180"/>
      <c r="N86" s="177" t="s">
        <v>432</v>
      </c>
      <c r="O86" s="18">
        <f>IFERROR(VLOOKUP(N86,AnswerFTBL,2,FALSE),0)</f>
        <v>1</v>
      </c>
      <c r="P86" s="109"/>
      <c r="Q86" s="180"/>
      <c r="R86" s="177" t="s">
        <v>432</v>
      </c>
      <c r="S86" s="18">
        <f>IFERROR(VLOOKUP(R86,AnswerFTBL,2,FALSE),0)</f>
        <v>1</v>
      </c>
      <c r="T86" s="109"/>
      <c r="U86" s="180"/>
      <c r="V86" s="177" t="s">
        <v>432</v>
      </c>
      <c r="W86" s="18">
        <f>IFERROR(VLOOKUP(V86,AnswerFTBL,2,FALSE),0)</f>
        <v>1</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t="str">
        <f>Interview!E277</f>
        <v>Yes, localized to business areas</v>
      </c>
      <c r="F88" s="161">
        <v>7</v>
      </c>
      <c r="G88" s="18">
        <f>IFERROR(VLOOKUP(E88,AnswerGTBL,2,FALSE),0)</f>
        <v>0.2</v>
      </c>
      <c r="H88" s="166">
        <f>IFERROR(AVERAGE(G88,G89),0)</f>
        <v>0.35</v>
      </c>
      <c r="I88" s="398">
        <f>SUM(H88,H91,H94)</f>
        <v>1.0499999999999998</v>
      </c>
      <c r="J88" s="176" t="s">
        <v>442</v>
      </c>
      <c r="K88" s="18">
        <f>IFERROR(VLOOKUP(J88,AnswerGTBL,2,FALSE),0)</f>
        <v>0.2</v>
      </c>
      <c r="L88" s="109">
        <f>IFERROR(AVERAGE(K88,K89),0)</f>
        <v>0.35</v>
      </c>
      <c r="M88" s="367">
        <f>SUM(L88,L91,L94)</f>
        <v>1.2</v>
      </c>
      <c r="N88" s="176" t="s">
        <v>444</v>
      </c>
      <c r="O88" s="18">
        <f>IFERROR(VLOOKUP(N88,AnswerGTBL,2,FALSE),0)</f>
        <v>0.5</v>
      </c>
      <c r="P88" s="109">
        <f>IFERROR(AVERAGE(O88,O89),0)</f>
        <v>0.5</v>
      </c>
      <c r="Q88" s="367">
        <f>SUM(P88,P91,P94)</f>
        <v>1.35</v>
      </c>
      <c r="R88" s="176" t="s">
        <v>444</v>
      </c>
      <c r="S88" s="18">
        <f>IFERROR(VLOOKUP(R88,AnswerGTBL,2,FALSE),0)</f>
        <v>0.5</v>
      </c>
      <c r="T88" s="109">
        <f>IFERROR(AVERAGE(S88,S89),0)</f>
        <v>0.5</v>
      </c>
      <c r="U88" s="367">
        <f>SUM(T88,T91,T94)</f>
        <v>1.6</v>
      </c>
      <c r="V88" s="176" t="s">
        <v>443</v>
      </c>
      <c r="W88" s="18">
        <f>IFERROR(VLOOKUP(V88,AnswerGTBL,2,FALSE),0)</f>
        <v>1</v>
      </c>
      <c r="X88" s="109">
        <f>IFERROR(AVERAGE(W88,W89),0)</f>
        <v>0.75</v>
      </c>
      <c r="Y88" s="367">
        <f>SUM(X88,X91,X94)</f>
        <v>2.25</v>
      </c>
    </row>
    <row r="89" spans="1:25" ht="12.75" customHeight="1" x14ac:dyDescent="0.15">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t="s">
        <v>494</v>
      </c>
      <c r="K89" s="18">
        <f>IFERROR(VLOOKUP(J89,AnswerCTBL,2,FALSE),0)</f>
        <v>0.5</v>
      </c>
      <c r="L89" s="109"/>
      <c r="M89" s="368"/>
      <c r="N89" s="177" t="s">
        <v>494</v>
      </c>
      <c r="O89" s="18">
        <f>IFERROR(VLOOKUP(N89,AnswerCTBL,2,FALSE),0)</f>
        <v>0.5</v>
      </c>
      <c r="P89" s="109"/>
      <c r="Q89" s="368"/>
      <c r="R89" s="177" t="s">
        <v>494</v>
      </c>
      <c r="S89" s="18">
        <f>IFERROR(VLOOKUP(R89,AnswerCTBL,2,FALSE),0)</f>
        <v>0.5</v>
      </c>
      <c r="T89" s="109"/>
      <c r="U89" s="368"/>
      <c r="V89" s="177" t="s">
        <v>494</v>
      </c>
      <c r="W89" s="18">
        <f>IFERROR(VLOOKUP(V89,AnswerCTBL,2,FALSE),0)</f>
        <v>0.5</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t="str">
        <f>Interview!E287</f>
        <v>Yes, there is a standard set</v>
      </c>
      <c r="F91" s="18">
        <v>9</v>
      </c>
      <c r="G91" s="18">
        <f>IFERROR(VLOOKUP(E91,AnswerFTBL,2,FALSE),0)</f>
        <v>0.5</v>
      </c>
      <c r="H91" s="166">
        <f>IFERROR(AVERAGE(G91,G92),0)</f>
        <v>0.35</v>
      </c>
      <c r="I91" s="212"/>
      <c r="J91" s="176" t="s">
        <v>431</v>
      </c>
      <c r="K91" s="18">
        <f>IFERROR(VLOOKUP(J91,AnswerFTBL,2,FALSE),0)</f>
        <v>0.5</v>
      </c>
      <c r="L91" s="109">
        <f>IFERROR(AVERAGE(K91,K92),0)</f>
        <v>0.5</v>
      </c>
      <c r="M91" s="180"/>
      <c r="N91" s="176" t="s">
        <v>431</v>
      </c>
      <c r="O91" s="18">
        <f>IFERROR(VLOOKUP(N91,AnswerFTBL,2,FALSE),0)</f>
        <v>0.5</v>
      </c>
      <c r="P91" s="109">
        <f>IFERROR(AVERAGE(O91,O92),0)</f>
        <v>0.5</v>
      </c>
      <c r="Q91" s="180"/>
      <c r="R91" s="176" t="s">
        <v>431</v>
      </c>
      <c r="S91" s="18">
        <f>IFERROR(VLOOKUP(R91,AnswerFTBL,2,FALSE),0)</f>
        <v>0.5</v>
      </c>
      <c r="T91" s="109">
        <f>IFERROR(AVERAGE(S91,S92),0)</f>
        <v>0.75</v>
      </c>
      <c r="U91" s="180"/>
      <c r="V91" s="176" t="s">
        <v>432</v>
      </c>
      <c r="W91" s="18">
        <f>IFERROR(VLOOKUP(V91,AnswerFTBL,2,FALSE),0)</f>
        <v>1</v>
      </c>
      <c r="X91" s="109">
        <f>IFERROR(AVERAGE(W91,W92),0)</f>
        <v>1</v>
      </c>
      <c r="Y91" s="180"/>
    </row>
    <row r="92" spans="1:25" ht="12.75" customHeight="1" x14ac:dyDescent="0.1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t="s">
        <v>494</v>
      </c>
      <c r="K92" s="18">
        <f>IFERROR(VLOOKUP(J92,AnswerCTBL,2,FALSE),0)</f>
        <v>0.5</v>
      </c>
      <c r="L92" s="109"/>
      <c r="M92" s="180"/>
      <c r="N92" s="177" t="s">
        <v>494</v>
      </c>
      <c r="O92" s="18">
        <f>IFERROR(VLOOKUP(N92,AnswerCTBL,2,FALSE),0)</f>
        <v>0.5</v>
      </c>
      <c r="P92" s="109"/>
      <c r="Q92" s="180"/>
      <c r="R92" s="177" t="s">
        <v>495</v>
      </c>
      <c r="S92" s="18">
        <f>IFERROR(VLOOKUP(R92,AnswerCTBL,2,FALSE),0)</f>
        <v>1</v>
      </c>
      <c r="T92" s="109"/>
      <c r="U92" s="180"/>
      <c r="V92" s="177" t="s">
        <v>495</v>
      </c>
      <c r="W92" s="18">
        <f>IFERROR(VLOOKUP(V92,AnswerCTBL,2,FALSE),0)</f>
        <v>1</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t="str">
        <f>Interview!E296</f>
        <v>Yes, across the organization</v>
      </c>
      <c r="F94" s="18">
        <v>11</v>
      </c>
      <c r="G94" s="18">
        <f>IFERROR(VLOOKUP(E94,AnswerGTBL,2,FALSE),0)</f>
        <v>0.5</v>
      </c>
      <c r="H94" s="166">
        <f>IFERROR(AVERAGE(G94,G95),0)</f>
        <v>0.35</v>
      </c>
      <c r="I94" s="212"/>
      <c r="J94" s="176" t="s">
        <v>444</v>
      </c>
      <c r="K94" s="18">
        <f>IFERROR(VLOOKUP(J94,AnswerGTBL,2,FALSE),0)</f>
        <v>0.5</v>
      </c>
      <c r="L94" s="109">
        <f>IFERROR(AVERAGE(K94,K95),0)</f>
        <v>0.35</v>
      </c>
      <c r="M94" s="180"/>
      <c r="N94" s="176" t="s">
        <v>444</v>
      </c>
      <c r="O94" s="18">
        <f>IFERROR(VLOOKUP(N94,AnswerGTBL,2,FALSE),0)</f>
        <v>0.5</v>
      </c>
      <c r="P94" s="109">
        <f>IFERROR(AVERAGE(O94,O95),0)</f>
        <v>0.35</v>
      </c>
      <c r="Q94" s="180"/>
      <c r="R94" s="176" t="s">
        <v>444</v>
      </c>
      <c r="S94" s="18">
        <f>IFERROR(VLOOKUP(R94,AnswerGTBL,2,FALSE),0)</f>
        <v>0.5</v>
      </c>
      <c r="T94" s="109">
        <f>IFERROR(AVERAGE(S94,S95),0)</f>
        <v>0.35</v>
      </c>
      <c r="U94" s="180"/>
      <c r="V94" s="176" t="s">
        <v>444</v>
      </c>
      <c r="W94" s="18">
        <f>IFERROR(VLOOKUP(V94,AnswerGTBL,2,FALSE),0)</f>
        <v>0.5</v>
      </c>
      <c r="X94" s="109">
        <f>IFERROR(AVERAGE(W94,W95),0)</f>
        <v>0.5</v>
      </c>
      <c r="Y94" s="180"/>
    </row>
    <row r="95" spans="1:25" ht="12.75" customHeight="1" x14ac:dyDescent="0.15">
      <c r="A95"/>
      <c r="B95" s="417"/>
      <c r="C95" s="384" t="str">
        <f>Interview!C299</f>
        <v>Does a minimum security baseline exist for code review results?</v>
      </c>
      <c r="D95" s="385"/>
      <c r="E95" s="30" t="str">
        <f>Interview!E299</f>
        <v>Yes, teams write/run their own</v>
      </c>
      <c r="F95" s="18">
        <v>12</v>
      </c>
      <c r="G95" s="18">
        <f>IFERROR(VLOOKUP(E95,AnswerFTBL,2,FALSE),0)</f>
        <v>0.2</v>
      </c>
      <c r="H95" s="166"/>
      <c r="I95" s="212"/>
      <c r="J95" s="177" t="s">
        <v>497</v>
      </c>
      <c r="K95" s="18">
        <f>IFERROR(VLOOKUP(J95,AnswerFTBL,2,FALSE),0)</f>
        <v>0.2</v>
      </c>
      <c r="L95" s="109"/>
      <c r="M95" s="180"/>
      <c r="N95" s="177" t="s">
        <v>497</v>
      </c>
      <c r="O95" s="18">
        <f>IFERROR(VLOOKUP(N95,AnswerFTBL,2,FALSE),0)</f>
        <v>0.2</v>
      </c>
      <c r="P95" s="109"/>
      <c r="Q95" s="180"/>
      <c r="R95" s="177" t="s">
        <v>497</v>
      </c>
      <c r="S95" s="18">
        <f>IFERROR(VLOOKUP(R95,AnswerFTBL,2,FALSE),0)</f>
        <v>0.2</v>
      </c>
      <c r="T95" s="109"/>
      <c r="U95" s="180"/>
      <c r="V95" s="177" t="s">
        <v>431</v>
      </c>
      <c r="W95" s="18">
        <f>IFERROR(VLOOKUP(V95,AnswerFTBL,2,FALSE),0)</f>
        <v>0.5</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Yes, the majority of them are/do</v>
      </c>
      <c r="F97" s="18">
        <v>13</v>
      </c>
      <c r="G97" s="18">
        <f>IFERROR(VLOOKUP(E97,AnswerCTBL,2,FALSE),0)</f>
        <v>1</v>
      </c>
      <c r="H97" s="166">
        <f>IFERROR(AVERAGE(G97,G98,G99),0)</f>
        <v>0.56666666666666665</v>
      </c>
      <c r="I97" s="398">
        <f>SUM(H97,H101,H104)</f>
        <v>1.1166666666666667</v>
      </c>
      <c r="J97" s="176" t="s">
        <v>495</v>
      </c>
      <c r="K97" s="18">
        <f>IFERROR(VLOOKUP(J97,AnswerCTBL,2,FALSE),0)</f>
        <v>1</v>
      </c>
      <c r="L97" s="109">
        <f>IFERROR(AVERAGE(K97,K98,K99),0)</f>
        <v>0.56666666666666665</v>
      </c>
      <c r="M97" s="367">
        <f>SUM(L97,L101,L104)</f>
        <v>1.1166666666666667</v>
      </c>
      <c r="N97" s="176" t="s">
        <v>495</v>
      </c>
      <c r="O97" s="18">
        <f>IFERROR(VLOOKUP(N97,AnswerCTBL,2,FALSE),0)</f>
        <v>1</v>
      </c>
      <c r="P97" s="109">
        <f>IFERROR(AVERAGE(O97,O98,O99),0)</f>
        <v>0.56666666666666665</v>
      </c>
      <c r="Q97" s="367">
        <f>SUM(P97,P101,P104)</f>
        <v>1.1166666666666667</v>
      </c>
      <c r="R97" s="176" t="s">
        <v>495</v>
      </c>
      <c r="S97" s="18">
        <f>IFERROR(VLOOKUP(R97,AnswerCTBL,2,FALSE),0)</f>
        <v>1</v>
      </c>
      <c r="T97" s="109">
        <f>IFERROR(AVERAGE(S97,S98,S99),0)</f>
        <v>0.56666666666666665</v>
      </c>
      <c r="U97" s="367">
        <f>SUM(T97,T101,T104)</f>
        <v>1.2666666666666666</v>
      </c>
      <c r="V97" s="176" t="s">
        <v>495</v>
      </c>
      <c r="W97" s="18">
        <f>IFERROR(VLOOKUP(V97,AnswerCTBL,2,FALSE),0)</f>
        <v>1</v>
      </c>
      <c r="X97" s="109">
        <f>IFERROR(AVERAGE(W97,W98,W99),0)</f>
        <v>0.66666666666666663</v>
      </c>
      <c r="Y97" s="367">
        <f>SUM(X97,X101,X104)</f>
        <v>1.5166666666666666</v>
      </c>
    </row>
    <row r="98" spans="1:25" ht="12.75" customHeight="1" x14ac:dyDescent="0.15">
      <c r="A98"/>
      <c r="B98" s="416"/>
      <c r="C98" s="382" t="str">
        <f>Interview!C309</f>
        <v>Is penetration testing performed on high risk projects prior to release?</v>
      </c>
      <c r="D98" s="383"/>
      <c r="E98" s="30" t="str">
        <f>Interview!E309</f>
        <v>Yes, at least half of them are/do</v>
      </c>
      <c r="F98" s="18">
        <v>14</v>
      </c>
      <c r="G98" s="18">
        <f>IFERROR(VLOOKUP(E98,AnswerCTBL,2,FALSE),0)</f>
        <v>0.5</v>
      </c>
      <c r="H98" s="166"/>
      <c r="I98" s="399"/>
      <c r="J98" s="177" t="s">
        <v>494</v>
      </c>
      <c r="K98" s="18">
        <f>IFERROR(VLOOKUP(J98,AnswerCTBL,2,FALSE),0)</f>
        <v>0.5</v>
      </c>
      <c r="L98" s="109"/>
      <c r="M98" s="368"/>
      <c r="N98" s="177" t="s">
        <v>494</v>
      </c>
      <c r="O98" s="18">
        <f>IFERROR(VLOOKUP(N98,AnswerCTBL,2,FALSE),0)</f>
        <v>0.5</v>
      </c>
      <c r="P98" s="109"/>
      <c r="Q98" s="368"/>
      <c r="R98" s="177" t="s">
        <v>494</v>
      </c>
      <c r="S98" s="18">
        <f>IFERROR(VLOOKUP(R98,AnswerCTBL,2,FALSE),0)</f>
        <v>0.5</v>
      </c>
      <c r="T98" s="109"/>
      <c r="U98" s="368"/>
      <c r="V98" s="177" t="s">
        <v>494</v>
      </c>
      <c r="W98" s="18">
        <f>IFERROR(VLOOKUP(V98,AnswerCTBL,2,FALSE),0)</f>
        <v>0.5</v>
      </c>
      <c r="X98" s="109"/>
      <c r="Y98" s="368"/>
    </row>
    <row r="99" spans="1:25" ht="12.75" customHeight="1" x14ac:dyDescent="0.15">
      <c r="A99"/>
      <c r="B99" s="417"/>
      <c r="C99" s="384" t="str">
        <f>Interview!C314</f>
        <v>Are stakeholders aware of the security test status prior to release?</v>
      </c>
      <c r="D99" s="385"/>
      <c r="E99" s="30" t="str">
        <f>Interview!E314</f>
        <v>Yes, a small percentage are/do</v>
      </c>
      <c r="F99" s="18">
        <v>15</v>
      </c>
      <c r="G99" s="18">
        <f>IFERROR(VLOOKUP(E99,AnswerCTBL,2,FALSE),0)</f>
        <v>0.2</v>
      </c>
      <c r="H99" s="166"/>
      <c r="I99" s="212"/>
      <c r="J99" s="177" t="s">
        <v>493</v>
      </c>
      <c r="K99" s="18">
        <f>IFERROR(VLOOKUP(J99,AnswerCTBL,2,FALSE),0)</f>
        <v>0.2</v>
      </c>
      <c r="L99" s="109"/>
      <c r="M99" s="180"/>
      <c r="N99" s="177" t="s">
        <v>493</v>
      </c>
      <c r="O99" s="18">
        <f>IFERROR(VLOOKUP(N99,AnswerCTBL,2,FALSE),0)</f>
        <v>0.2</v>
      </c>
      <c r="P99" s="109"/>
      <c r="Q99" s="180"/>
      <c r="R99" s="177" t="s">
        <v>493</v>
      </c>
      <c r="S99" s="18">
        <f>IFERROR(VLOOKUP(R99,AnswerCTBL,2,FALSE),0)</f>
        <v>0.2</v>
      </c>
      <c r="T99" s="109"/>
      <c r="U99" s="180"/>
      <c r="V99" s="177" t="s">
        <v>494</v>
      </c>
      <c r="W99" s="18">
        <f>IFERROR(VLOOKUP(V99,AnswerCTBL,2,FALSE),0)</f>
        <v>0.5</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at least half of them are/do</v>
      </c>
      <c r="F101" s="18">
        <v>16</v>
      </c>
      <c r="G101" s="18">
        <f>IFERROR(VLOOKUP(E101,AnswerCTBL,2,FALSE),0)</f>
        <v>0.5</v>
      </c>
      <c r="H101" s="166">
        <f>IFERROR(AVERAGE(G101,G102),0)</f>
        <v>0.35</v>
      </c>
      <c r="I101" s="212"/>
      <c r="J101" s="176" t="s">
        <v>494</v>
      </c>
      <c r="K101" s="18">
        <f>IFERROR(VLOOKUP(J101,AnswerCTBL,2,FALSE),0)</f>
        <v>0.5</v>
      </c>
      <c r="L101" s="109">
        <f>IFERROR(AVERAGE(K101,K102),0)</f>
        <v>0.35</v>
      </c>
      <c r="M101" s="180"/>
      <c r="N101" s="176" t="s">
        <v>494</v>
      </c>
      <c r="O101" s="18">
        <f>IFERROR(VLOOKUP(N101,AnswerCTBL,2,FALSE),0)</f>
        <v>0.5</v>
      </c>
      <c r="P101" s="109">
        <f>IFERROR(AVERAGE(O101,O102),0)</f>
        <v>0.35</v>
      </c>
      <c r="Q101" s="180"/>
      <c r="R101" s="176" t="s">
        <v>494</v>
      </c>
      <c r="S101" s="18">
        <f>IFERROR(VLOOKUP(R101,AnswerCTBL,2,FALSE),0)</f>
        <v>0.5</v>
      </c>
      <c r="T101" s="109">
        <f>IFERROR(AVERAGE(S101,S102),0)</f>
        <v>0.35</v>
      </c>
      <c r="U101" s="180"/>
      <c r="V101" s="176" t="s">
        <v>494</v>
      </c>
      <c r="W101" s="18">
        <f>IFERROR(VLOOKUP(V101,AnswerCTBL,2,FALSE),0)</f>
        <v>0.5</v>
      </c>
      <c r="X101" s="109">
        <f>IFERROR(AVERAGE(W101,W102),0)</f>
        <v>0.35</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t="s">
        <v>493</v>
      </c>
      <c r="K102" s="18">
        <f>IFERROR(VLOOKUP(J102,AnswerCTBL,2,FALSE),0)</f>
        <v>0.2</v>
      </c>
      <c r="L102" s="109"/>
      <c r="M102" s="180"/>
      <c r="N102" s="177" t="s">
        <v>493</v>
      </c>
      <c r="O102" s="18">
        <f>IFERROR(VLOOKUP(N102,AnswerCTBL,2,FALSE),0)</f>
        <v>0.2</v>
      </c>
      <c r="P102" s="109"/>
      <c r="Q102" s="180"/>
      <c r="R102" s="177" t="s">
        <v>493</v>
      </c>
      <c r="S102" s="18">
        <f>IFERROR(VLOOKUP(R102,AnswerCTBL,2,FALSE),0)</f>
        <v>0.2</v>
      </c>
      <c r="T102" s="109"/>
      <c r="U102" s="180"/>
      <c r="V102" s="177" t="s">
        <v>493</v>
      </c>
      <c r="W102" s="18">
        <f>IFERROR(VLOOKUP(V102,AnswerCTBL,2,FALSE),0)</f>
        <v>0.2</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Yes, a small percentage are/do</v>
      </c>
      <c r="F104" s="18">
        <v>18</v>
      </c>
      <c r="G104" s="18">
        <f>IFERROR(VLOOKUP(E104,AnswerCTBL,2,FALSE),0)</f>
        <v>0.2</v>
      </c>
      <c r="H104" s="166">
        <f>IFERROR(AVERAGE(G104,G105),0)</f>
        <v>0.2</v>
      </c>
      <c r="I104" s="212"/>
      <c r="J104" s="176" t="s">
        <v>493</v>
      </c>
      <c r="K104" s="18">
        <f>IFERROR(VLOOKUP(J104,AnswerCTBL,2,FALSE),0)</f>
        <v>0.2</v>
      </c>
      <c r="L104" s="109">
        <f>IFERROR(AVERAGE(K104,K105),0)</f>
        <v>0.2</v>
      </c>
      <c r="M104" s="180"/>
      <c r="N104" s="176" t="s">
        <v>493</v>
      </c>
      <c r="O104" s="18">
        <f>IFERROR(VLOOKUP(N104,AnswerCTBL,2,FALSE),0)</f>
        <v>0.2</v>
      </c>
      <c r="P104" s="109">
        <f>IFERROR(AVERAGE(O104,O105),0)</f>
        <v>0.2</v>
      </c>
      <c r="Q104" s="180"/>
      <c r="R104" s="176" t="s">
        <v>493</v>
      </c>
      <c r="S104" s="18">
        <f>IFERROR(VLOOKUP(R104,AnswerCTBL,2,FALSE),0)</f>
        <v>0.2</v>
      </c>
      <c r="T104" s="109">
        <f>IFERROR(AVERAGE(S104,S105),0)</f>
        <v>0.35</v>
      </c>
      <c r="U104" s="180"/>
      <c r="V104" s="176" t="s">
        <v>494</v>
      </c>
      <c r="W104" s="18">
        <f>IFERROR(VLOOKUP(V104,AnswerCTBL,2,FALSE),0)</f>
        <v>0.5</v>
      </c>
      <c r="X104" s="109">
        <f>IFERROR(AVERAGE(W104,W105),0)</f>
        <v>0.5</v>
      </c>
      <c r="Y104" s="180"/>
    </row>
    <row r="105" spans="1:25" ht="12.75" customHeight="1" x14ac:dyDescent="0.1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t="s">
        <v>497</v>
      </c>
      <c r="K105" s="18">
        <f>IFERROR(VLOOKUP(J105,AnswerFTBL,2,FALSE),0)</f>
        <v>0.2</v>
      </c>
      <c r="L105" s="109"/>
      <c r="M105" s="180"/>
      <c r="N105" s="177" t="s">
        <v>497</v>
      </c>
      <c r="O105" s="18">
        <f>IFERROR(VLOOKUP(N105,AnswerFTBL,2,FALSE),0)</f>
        <v>0.2</v>
      </c>
      <c r="P105" s="109"/>
      <c r="Q105" s="180"/>
      <c r="R105" s="177" t="s">
        <v>431</v>
      </c>
      <c r="S105" s="18">
        <f>IFERROR(VLOOKUP(R105,AnswerFTBL,2,FALSE),0)</f>
        <v>0.5</v>
      </c>
      <c r="T105" s="109"/>
      <c r="U105" s="180"/>
      <c r="V105" s="177" t="s">
        <v>431</v>
      </c>
      <c r="W105" s="18">
        <f>IFERROR(VLOOKUP(V105,AnswerFTBL,2,FALSE),0)</f>
        <v>0.5</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t="str">
        <f>Interview!E338</f>
        <v>Yes, the majority of them are/do</v>
      </c>
      <c r="F108" s="152">
        <v>1</v>
      </c>
      <c r="G108" s="152">
        <f>IFERROR(VLOOKUP(E108,AnswerCTBL,2,FALSE),0)</f>
        <v>1</v>
      </c>
      <c r="H108" s="208">
        <f>IFERROR(AVERAGE(G108,G109,G110),0)</f>
        <v>0.83333333333333337</v>
      </c>
      <c r="I108" s="400">
        <f>SUM(H108,H112,H115)</f>
        <v>1.9333333333333336</v>
      </c>
      <c r="J108" s="176" t="s">
        <v>495</v>
      </c>
      <c r="K108" s="18">
        <f>IFERROR(VLOOKUP(J108,AnswerCTBL,2,FALSE),0)</f>
        <v>1</v>
      </c>
      <c r="L108" s="109">
        <f>IFERROR(AVERAGE(K108,K109,K110),0)</f>
        <v>0.83333333333333337</v>
      </c>
      <c r="M108" s="376">
        <f>SUM(L108,L112,L115)</f>
        <v>1.9333333333333336</v>
      </c>
      <c r="N108" s="176" t="s">
        <v>495</v>
      </c>
      <c r="O108" s="18">
        <f>IFERROR(VLOOKUP(N108,AnswerCTBL,2,FALSE),0)</f>
        <v>1</v>
      </c>
      <c r="P108" s="109">
        <f>IFERROR(AVERAGE(O108,O109,O110),0)</f>
        <v>0.83333333333333337</v>
      </c>
      <c r="Q108" s="376">
        <f>SUM(P108,P112,P115)</f>
        <v>2.0833333333333335</v>
      </c>
      <c r="R108" s="176" t="s">
        <v>495</v>
      </c>
      <c r="S108" s="18">
        <f>IFERROR(VLOOKUP(R108,AnswerCTBL,2,FALSE),0)</f>
        <v>1</v>
      </c>
      <c r="T108" s="109">
        <f>IFERROR(AVERAGE(S108,S109,S110),0)</f>
        <v>0.83333333333333337</v>
      </c>
      <c r="U108" s="376">
        <f>SUM(T108,T112,T115)</f>
        <v>2.0833333333333335</v>
      </c>
      <c r="V108" s="176" t="s">
        <v>495</v>
      </c>
      <c r="W108" s="18">
        <f>IFERROR(VLOOKUP(V108,AnswerCTBL,2,FALSE),0)</f>
        <v>1</v>
      </c>
      <c r="X108" s="109">
        <f>IFERROR(AVERAGE(W108,W109,W110),0)</f>
        <v>0.83333333333333337</v>
      </c>
      <c r="Y108" s="376">
        <f>SUM(X108,X112,X115)</f>
        <v>2.3333333333333335</v>
      </c>
    </row>
    <row r="109" spans="1:25" ht="12.75" customHeight="1" x14ac:dyDescent="0.15">
      <c r="A109"/>
      <c r="B109" s="414"/>
      <c r="C109" s="382" t="str">
        <f>Interview!C342</f>
        <v>Does your organization have an assigned security response team?</v>
      </c>
      <c r="D109" s="383"/>
      <c r="E109" s="30" t="str">
        <f>Interview!E342</f>
        <v>Yes, it's a number of years old</v>
      </c>
      <c r="F109" s="18">
        <v>2</v>
      </c>
      <c r="G109" s="18">
        <f>IFERROR(VLOOKUP(E109,AnswerATBL,2,FALSE),0)</f>
        <v>0.5</v>
      </c>
      <c r="H109" s="202"/>
      <c r="I109" s="401"/>
      <c r="J109" s="177" t="s">
        <v>454</v>
      </c>
      <c r="K109" s="18">
        <f>IFERROR(VLOOKUP(J109,AnswerATBL,2,FALSE),0)</f>
        <v>0.5</v>
      </c>
      <c r="L109" s="109"/>
      <c r="M109" s="377"/>
      <c r="N109" s="177" t="s">
        <v>454</v>
      </c>
      <c r="O109" s="18">
        <f>IFERROR(VLOOKUP(N109,AnswerATBL,2,FALSE),0)</f>
        <v>0.5</v>
      </c>
      <c r="P109" s="109"/>
      <c r="Q109" s="377"/>
      <c r="R109" s="177" t="s">
        <v>454</v>
      </c>
      <c r="S109" s="18">
        <f>IFERROR(VLOOKUP(R109,AnswerATBL,2,FALSE),0)</f>
        <v>0.5</v>
      </c>
      <c r="T109" s="109"/>
      <c r="U109" s="377"/>
      <c r="V109" s="177" t="s">
        <v>454</v>
      </c>
      <c r="W109" s="18">
        <f>IFERROR(VLOOKUP(V109,AnswerATBL,2,FALSE),0)</f>
        <v>0.5</v>
      </c>
      <c r="X109" s="109"/>
      <c r="Y109" s="377"/>
    </row>
    <row r="110" spans="1:25" ht="12.75" customHeight="1" x14ac:dyDescent="0.15">
      <c r="A110"/>
      <c r="B110" s="403"/>
      <c r="C110" s="384" t="str">
        <f>Interview!C346</f>
        <v>Are project teams aware of their security point(s) of contact and response team(s)?</v>
      </c>
      <c r="D110" s="385"/>
      <c r="E110" s="30" t="str">
        <f>Interview!E346</f>
        <v>Yes, the majority of them are/do</v>
      </c>
      <c r="F110" s="18">
        <v>3</v>
      </c>
      <c r="G110" s="18">
        <f>IFERROR(VLOOKUP(E110,AnswerCTBL,2,FALSE),0)</f>
        <v>1</v>
      </c>
      <c r="H110" s="202"/>
      <c r="I110" s="212"/>
      <c r="J110" s="177" t="s">
        <v>495</v>
      </c>
      <c r="K110" s="18">
        <f>IFERROR(VLOOKUP(J110,AnswerCTBL,2,FALSE),0)</f>
        <v>1</v>
      </c>
      <c r="L110" s="109"/>
      <c r="M110" s="180"/>
      <c r="N110" s="177" t="s">
        <v>495</v>
      </c>
      <c r="O110" s="18">
        <f>IFERROR(VLOOKUP(N110,AnswerCTBL,2,FALSE),0)</f>
        <v>1</v>
      </c>
      <c r="P110" s="109"/>
      <c r="Q110" s="180"/>
      <c r="R110" s="177" t="s">
        <v>495</v>
      </c>
      <c r="S110" s="18">
        <f>IFERROR(VLOOKUP(R110,AnswerCTBL,2,FALSE),0)</f>
        <v>1</v>
      </c>
      <c r="T110" s="109"/>
      <c r="U110" s="180"/>
      <c r="V110" s="177" t="s">
        <v>495</v>
      </c>
      <c r="W110" s="18">
        <f>IFERROR(VLOOKUP(V110,AnswerCTBL,2,FALSE),0)</f>
        <v>1</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t="str">
        <f>Interview!E350</f>
        <v>Yes, across the organization and required</v>
      </c>
      <c r="F112" s="18">
        <v>4</v>
      </c>
      <c r="G112" s="18">
        <f>IFERROR(VLOOKUP(E112,AnswerGTBL,2,FALSE),0)</f>
        <v>1</v>
      </c>
      <c r="H112" s="202">
        <f>IFERROR(AVERAGE(G112,G113),0)</f>
        <v>0.75</v>
      </c>
      <c r="I112" s="212"/>
      <c r="J112" s="176" t="s">
        <v>443</v>
      </c>
      <c r="K112" s="18">
        <f>IFERROR(VLOOKUP(J112,AnswerGTBL,2,FALSE),0)</f>
        <v>1</v>
      </c>
      <c r="L112" s="109">
        <f>IFERROR(AVERAGE(K112,K113),0)</f>
        <v>0.75</v>
      </c>
      <c r="M112" s="180"/>
      <c r="N112" s="176" t="s">
        <v>443</v>
      </c>
      <c r="O112" s="18">
        <f>IFERROR(VLOOKUP(N112,AnswerGTBL,2,FALSE),0)</f>
        <v>1</v>
      </c>
      <c r="P112" s="109">
        <f>IFERROR(AVERAGE(O112,O113),0)</f>
        <v>0.75</v>
      </c>
      <c r="Q112" s="180"/>
      <c r="R112" s="176" t="s">
        <v>443</v>
      </c>
      <c r="S112" s="18">
        <f>IFERROR(VLOOKUP(R112,AnswerGTBL,2,FALSE),0)</f>
        <v>1</v>
      </c>
      <c r="T112" s="109">
        <f>IFERROR(AVERAGE(S112,S113),0)</f>
        <v>0.75</v>
      </c>
      <c r="U112" s="180"/>
      <c r="V112" s="176" t="s">
        <v>443</v>
      </c>
      <c r="W112" s="18">
        <f>IFERROR(VLOOKUP(V112,AnswerGTBL,2,FALSE),0)</f>
        <v>1</v>
      </c>
      <c r="X112" s="109">
        <f>IFERROR(AVERAGE(W112,W113),0)</f>
        <v>0.75</v>
      </c>
      <c r="Y112" s="180"/>
    </row>
    <row r="113" spans="1:25" ht="12.75" customHeight="1" x14ac:dyDescent="0.15">
      <c r="A113"/>
      <c r="B113" s="403"/>
      <c r="C113" s="384" t="str">
        <f>Interview!C360</f>
        <v>Are project stakeholders aware of relevant security disclosures related to their software projects?</v>
      </c>
      <c r="D113" s="385"/>
      <c r="E113" s="30" t="str">
        <f>Interview!E360</f>
        <v>Yes, at least half of them are/do</v>
      </c>
      <c r="F113" s="18">
        <v>5</v>
      </c>
      <c r="G113" s="18">
        <f>IFERROR(VLOOKUP(E113,AnswerCTBL,2,FALSE),0)</f>
        <v>0.5</v>
      </c>
      <c r="H113" s="202"/>
      <c r="I113" s="212"/>
      <c r="J113" s="177" t="s">
        <v>494</v>
      </c>
      <c r="K113" s="18">
        <f>IFERROR(VLOOKUP(J113,AnswerCTBL,2,FALSE),0)</f>
        <v>0.5</v>
      </c>
      <c r="L113" s="109"/>
      <c r="M113" s="180"/>
      <c r="N113" s="177" t="s">
        <v>494</v>
      </c>
      <c r="O113" s="18">
        <f>IFERROR(VLOOKUP(N113,AnswerCTBL,2,FALSE),0)</f>
        <v>0.5</v>
      </c>
      <c r="P113" s="109"/>
      <c r="Q113" s="180"/>
      <c r="R113" s="177" t="s">
        <v>494</v>
      </c>
      <c r="S113" s="18">
        <f>IFERROR(VLOOKUP(R113,AnswerCTBL,2,FALSE),0)</f>
        <v>0.5</v>
      </c>
      <c r="T113" s="109"/>
      <c r="U113" s="180"/>
      <c r="V113" s="177" t="s">
        <v>494</v>
      </c>
      <c r="W113" s="18">
        <f>IFERROR(VLOOKUP(V113,AnswerCTBL,2,FALSE),0)</f>
        <v>0.5</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t="str">
        <f>Interview!E364</f>
        <v>Yes, at least half of them are/do</v>
      </c>
      <c r="F115" s="18">
        <v>6</v>
      </c>
      <c r="G115" s="18">
        <f>IFERROR(VLOOKUP(E115,AnswerCTBL,2,FALSE),0)</f>
        <v>0.5</v>
      </c>
      <c r="H115" s="202">
        <f>IFERROR(AVERAGE(G115,G116),0)</f>
        <v>0.35</v>
      </c>
      <c r="I115" s="212"/>
      <c r="J115" s="176" t="s">
        <v>494</v>
      </c>
      <c r="K115" s="18">
        <f>IFERROR(VLOOKUP(J115,AnswerCTBL,2,FALSE),0)</f>
        <v>0.5</v>
      </c>
      <c r="L115" s="109">
        <f>IFERROR(AVERAGE(K115,K116),0)</f>
        <v>0.35</v>
      </c>
      <c r="M115" s="180"/>
      <c r="N115" s="176" t="s">
        <v>494</v>
      </c>
      <c r="O115" s="18">
        <f>IFERROR(VLOOKUP(N115,AnswerCTBL,2,FALSE),0)</f>
        <v>0.5</v>
      </c>
      <c r="P115" s="109">
        <f>IFERROR(AVERAGE(O115,O116),0)</f>
        <v>0.5</v>
      </c>
      <c r="Q115" s="180"/>
      <c r="R115" s="176" t="s">
        <v>494</v>
      </c>
      <c r="S115" s="18">
        <f>IFERROR(VLOOKUP(R115,AnswerCTBL,2,FALSE),0)</f>
        <v>0.5</v>
      </c>
      <c r="T115" s="109">
        <f>IFERROR(AVERAGE(S115,S116),0)</f>
        <v>0.5</v>
      </c>
      <c r="U115" s="180"/>
      <c r="V115" s="176" t="s">
        <v>494</v>
      </c>
      <c r="W115" s="18">
        <f>IFERROR(VLOOKUP(V115,AnswerCTBL,2,FALSE),0)</f>
        <v>0.5</v>
      </c>
      <c r="X115" s="109">
        <f>IFERROR(AVERAGE(W115,W116),0)</f>
        <v>0.75</v>
      </c>
      <c r="Y115" s="180"/>
    </row>
    <row r="116" spans="1:25" ht="12.75" customHeight="1" x14ac:dyDescent="0.15">
      <c r="A116"/>
      <c r="B116" s="403"/>
      <c r="C116" s="404" t="str">
        <f>Interview!C370</f>
        <v>Do projects consistently collect and report data and metrics related to incidents?</v>
      </c>
      <c r="D116" s="405"/>
      <c r="E116" s="30" t="str">
        <f>Interview!E370</f>
        <v>Yes, a small percentage are/do</v>
      </c>
      <c r="F116" s="18">
        <v>7</v>
      </c>
      <c r="G116" s="18">
        <f>IFERROR(VLOOKUP(E116,AnswerCTBL,2,FALSE),0)</f>
        <v>0.2</v>
      </c>
      <c r="H116" s="202"/>
      <c r="I116" s="212"/>
      <c r="J116" s="177" t="s">
        <v>493</v>
      </c>
      <c r="K116" s="18">
        <f>IFERROR(VLOOKUP(J116,AnswerCTBL,2,FALSE),0)</f>
        <v>0.2</v>
      </c>
      <c r="L116" s="109"/>
      <c r="M116" s="180"/>
      <c r="N116" s="177" t="s">
        <v>494</v>
      </c>
      <c r="O116" s="18">
        <f>IFERROR(VLOOKUP(N116,AnswerCTBL,2,FALSE),0)</f>
        <v>0.5</v>
      </c>
      <c r="P116" s="109"/>
      <c r="Q116" s="180"/>
      <c r="R116" s="177" t="s">
        <v>494</v>
      </c>
      <c r="S116" s="18">
        <f>IFERROR(VLOOKUP(R116,AnswerCTBL,2,FALSE),0)</f>
        <v>0.5</v>
      </c>
      <c r="T116" s="109"/>
      <c r="U116" s="180"/>
      <c r="V116" s="177" t="s">
        <v>495</v>
      </c>
      <c r="W116" s="18">
        <f>IFERROR(VLOOKUP(V116,AnswerCTBL,2,FALSE),0)</f>
        <v>1</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t="str">
        <f>Interview!E376</f>
        <v>Yes, the majority of them are/do</v>
      </c>
      <c r="F118" s="18">
        <v>8</v>
      </c>
      <c r="G118" s="18">
        <f>IFERROR(VLOOKUP(E118,AnswerCTBL,2,FALSE),0)</f>
        <v>1</v>
      </c>
      <c r="H118" s="202">
        <f>IFERROR(AVERAGE(G118,G119),0)</f>
        <v>0.75</v>
      </c>
      <c r="I118" s="400">
        <f>SUM(H118,H121,H124)</f>
        <v>1.7000000000000002</v>
      </c>
      <c r="J118" s="176" t="s">
        <v>495</v>
      </c>
      <c r="K118" s="18">
        <f>IFERROR(VLOOKUP(J118,AnswerCTBL,2,FALSE),0)</f>
        <v>1</v>
      </c>
      <c r="L118" s="109">
        <f>IFERROR(AVERAGE(K118,K119),0)</f>
        <v>0.75</v>
      </c>
      <c r="M118" s="376">
        <f>SUM(L118,L121,L124)</f>
        <v>1.7000000000000002</v>
      </c>
      <c r="N118" s="176" t="s">
        <v>495</v>
      </c>
      <c r="O118" s="18">
        <f>IFERROR(VLOOKUP(N118,AnswerCTBL,2,FALSE),0)</f>
        <v>1</v>
      </c>
      <c r="P118" s="109">
        <f>IFERROR(AVERAGE(O118,O119),0)</f>
        <v>0.75</v>
      </c>
      <c r="Q118" s="376">
        <f>SUM(P118,P121,P124)</f>
        <v>1.7000000000000002</v>
      </c>
      <c r="R118" s="176" t="s">
        <v>495</v>
      </c>
      <c r="S118" s="18">
        <f>IFERROR(VLOOKUP(R118,AnswerCTBL,2,FALSE),0)</f>
        <v>1</v>
      </c>
      <c r="T118" s="109">
        <f>IFERROR(AVERAGE(S118,S119),0)</f>
        <v>0.75</v>
      </c>
      <c r="U118" s="376">
        <f>SUM(T118,T121,T124)</f>
        <v>1.85</v>
      </c>
      <c r="V118" s="176" t="s">
        <v>495</v>
      </c>
      <c r="W118" s="18">
        <f>IFERROR(VLOOKUP(V118,AnswerCTBL,2,FALSE),0)</f>
        <v>1</v>
      </c>
      <c r="X118" s="109">
        <f>IFERROR(AVERAGE(W118,W119),0)</f>
        <v>0.75</v>
      </c>
      <c r="Y118" s="376">
        <f>SUM(X118,X121,X124)</f>
        <v>1.85</v>
      </c>
    </row>
    <row r="119" spans="1:25" ht="12" customHeight="1" x14ac:dyDescent="0.15">
      <c r="A119"/>
      <c r="B119" s="403"/>
      <c r="C119" s="404" t="str">
        <f>Interview!C382</f>
        <v>Do projects check for security updates to third-party software components?</v>
      </c>
      <c r="D119" s="405"/>
      <c r="E119" s="30" t="str">
        <f>Interview!E382</f>
        <v>Yes, at least half of them are/do</v>
      </c>
      <c r="F119" s="18">
        <v>9</v>
      </c>
      <c r="G119" s="18">
        <f>IFERROR(VLOOKUP(E119,AnswerCTBL,2,FALSE),0)</f>
        <v>0.5</v>
      </c>
      <c r="H119" s="202"/>
      <c r="I119" s="401"/>
      <c r="J119" s="177" t="s">
        <v>494</v>
      </c>
      <c r="K119" s="18">
        <f>IFERROR(VLOOKUP(J119,AnswerCTBL,2,FALSE),0)</f>
        <v>0.5</v>
      </c>
      <c r="L119" s="109"/>
      <c r="M119" s="377"/>
      <c r="N119" s="177" t="s">
        <v>494</v>
      </c>
      <c r="O119" s="18">
        <f>IFERROR(VLOOKUP(N119,AnswerCTBL,2,FALSE),0)</f>
        <v>0.5</v>
      </c>
      <c r="P119" s="109"/>
      <c r="Q119" s="377"/>
      <c r="R119" s="177" t="s">
        <v>494</v>
      </c>
      <c r="S119" s="18">
        <f>IFERROR(VLOOKUP(R119,AnswerCTBL,2,FALSE),0)</f>
        <v>0.5</v>
      </c>
      <c r="T119" s="109"/>
      <c r="U119" s="377"/>
      <c r="V119" s="177" t="s">
        <v>494</v>
      </c>
      <c r="W119" s="18">
        <f>IFERROR(VLOOKUP(V119,AnswerCTBL,2,FALSE),0)</f>
        <v>0.5</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t="str">
        <f>Interview!E387</f>
        <v>Yes, across the organization</v>
      </c>
      <c r="F121" s="18">
        <v>10</v>
      </c>
      <c r="G121" s="18">
        <f>IFERROR(VLOOKUP(E121,AnswerGTBL,2,FALSE),0)</f>
        <v>0.5</v>
      </c>
      <c r="H121" s="202">
        <f>IFERROR(AVERAGE(G121,G122),0)</f>
        <v>0.35</v>
      </c>
      <c r="I121" s="212"/>
      <c r="J121" s="176" t="s">
        <v>444</v>
      </c>
      <c r="K121" s="18">
        <f>IFERROR(VLOOKUP(J121,AnswerGTBL,2,FALSE),0)</f>
        <v>0.5</v>
      </c>
      <c r="L121" s="109">
        <f>IFERROR(AVERAGE(K121,K122),0)</f>
        <v>0.35</v>
      </c>
      <c r="M121" s="180"/>
      <c r="N121" s="176" t="s">
        <v>444</v>
      </c>
      <c r="O121" s="18">
        <f>IFERROR(VLOOKUP(N121,AnswerGTBL,2,FALSE),0)</f>
        <v>0.5</v>
      </c>
      <c r="P121" s="109">
        <f>IFERROR(AVERAGE(O121,O122),0)</f>
        <v>0.35</v>
      </c>
      <c r="Q121" s="180"/>
      <c r="R121" s="176" t="s">
        <v>444</v>
      </c>
      <c r="S121" s="18">
        <f>IFERROR(VLOOKUP(R121,AnswerGTBL,2,FALSE),0)</f>
        <v>0.5</v>
      </c>
      <c r="T121" s="109">
        <f>IFERROR(AVERAGE(S121,S122),0)</f>
        <v>0.35</v>
      </c>
      <c r="U121" s="180"/>
      <c r="V121" s="176" t="s">
        <v>444</v>
      </c>
      <c r="W121" s="18">
        <f>IFERROR(VLOOKUP(V121,AnswerGTBL,2,FALSE),0)</f>
        <v>0.5</v>
      </c>
      <c r="X121" s="109">
        <f>IFERROR(AVERAGE(W121,W122),0)</f>
        <v>0.35</v>
      </c>
      <c r="Y121" s="180"/>
    </row>
    <row r="122" spans="1:25" ht="12.75" customHeight="1" x14ac:dyDescent="0.15">
      <c r="A122"/>
      <c r="B122" s="403"/>
      <c r="C122" s="404" t="str">
        <f>Interview!C392</f>
        <v>Do projects leverage automation to check application and environment health?</v>
      </c>
      <c r="D122" s="405"/>
      <c r="E122" s="30" t="str">
        <f>Interview!E392</f>
        <v>Yes, a small percentage are/do</v>
      </c>
      <c r="F122" s="18">
        <v>11</v>
      </c>
      <c r="G122" s="18">
        <f>IFERROR(VLOOKUP(E122,AnswerCTBL,2,FALSE),0)</f>
        <v>0.2</v>
      </c>
      <c r="H122" s="202"/>
      <c r="I122" s="212"/>
      <c r="J122" s="177" t="s">
        <v>493</v>
      </c>
      <c r="K122" s="18">
        <f>IFERROR(VLOOKUP(J122,AnswerCTBL,2,FALSE),0)</f>
        <v>0.2</v>
      </c>
      <c r="L122" s="109"/>
      <c r="M122" s="180"/>
      <c r="N122" s="177" t="s">
        <v>493</v>
      </c>
      <c r="O122" s="18">
        <f>IFERROR(VLOOKUP(N122,AnswerCTBL,2,FALSE),0)</f>
        <v>0.2</v>
      </c>
      <c r="P122" s="109"/>
      <c r="Q122" s="180"/>
      <c r="R122" s="177" t="s">
        <v>493</v>
      </c>
      <c r="S122" s="18">
        <f>IFERROR(VLOOKUP(R122,AnswerCTBL,2,FALSE),0)</f>
        <v>0.2</v>
      </c>
      <c r="T122" s="109"/>
      <c r="U122" s="180"/>
      <c r="V122" s="177" t="s">
        <v>493</v>
      </c>
      <c r="W122" s="18">
        <f>IFERROR(VLOOKUP(V122,AnswerCTBL,2,FALSE),0)</f>
        <v>0.2</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t="str">
        <f>Interview!E400</f>
        <v>Yes, the standard set is integrated</v>
      </c>
      <c r="F124" s="18">
        <v>12</v>
      </c>
      <c r="G124" s="18">
        <f>IFERROR(VLOOKUP(E124,AnswerFTBL,2,FALSE),0)</f>
        <v>1</v>
      </c>
      <c r="H124" s="202">
        <f>IFERROR(AVERAGE(G124,G125),0)</f>
        <v>0.6</v>
      </c>
      <c r="I124" s="212"/>
      <c r="J124" s="176" t="s">
        <v>432</v>
      </c>
      <c r="K124" s="18">
        <f>IFERROR(VLOOKUP(J124,AnswerFTBL,2,FALSE),0)</f>
        <v>1</v>
      </c>
      <c r="L124" s="109">
        <f>IFERROR(AVERAGE(K124,K125),0)</f>
        <v>0.6</v>
      </c>
      <c r="M124" s="180"/>
      <c r="N124" s="176" t="s">
        <v>432</v>
      </c>
      <c r="O124" s="18">
        <f>IFERROR(VLOOKUP(N124,AnswerFTBL,2,FALSE),0)</f>
        <v>1</v>
      </c>
      <c r="P124" s="109">
        <f>IFERROR(AVERAGE(O124,O125),0)</f>
        <v>0.6</v>
      </c>
      <c r="Q124" s="180"/>
      <c r="R124" s="176" t="s">
        <v>432</v>
      </c>
      <c r="S124" s="18">
        <f>IFERROR(VLOOKUP(R124,AnswerFTBL,2,FALSE),0)</f>
        <v>1</v>
      </c>
      <c r="T124" s="109">
        <f>IFERROR(AVERAGE(S124,S125),0)</f>
        <v>0.75</v>
      </c>
      <c r="U124" s="180"/>
      <c r="V124" s="176" t="s">
        <v>432</v>
      </c>
      <c r="W124" s="18">
        <f>IFERROR(VLOOKUP(V124,AnswerFTBL,2,FALSE),0)</f>
        <v>1</v>
      </c>
      <c r="X124" s="109">
        <f>IFERROR(AVERAGE(W124,W125),0)</f>
        <v>0.75</v>
      </c>
      <c r="Y124" s="180"/>
    </row>
    <row r="125" spans="1:25" ht="12.75" customHeight="1" x14ac:dyDescent="0.15">
      <c r="A125"/>
      <c r="B125" s="403"/>
      <c r="C125" s="384" t="str">
        <f>Interview!C404</f>
        <v>Does a minimum security baseline exist for environment health (versioning, patching, etc)?</v>
      </c>
      <c r="D125" s="385"/>
      <c r="E125" s="30" t="str">
        <f>Interview!E404</f>
        <v>Yes, localized to business areas</v>
      </c>
      <c r="F125" s="18">
        <v>13</v>
      </c>
      <c r="G125" s="18">
        <f>IFERROR(VLOOKUP(E125,AnswerGTBL,2,FALSE),0)</f>
        <v>0.2</v>
      </c>
      <c r="H125" s="202"/>
      <c r="I125" s="212"/>
      <c r="J125" s="177" t="s">
        <v>442</v>
      </c>
      <c r="K125" s="18">
        <f>IFERROR(VLOOKUP(J125,AnswerGTBL,2,FALSE),0)</f>
        <v>0.2</v>
      </c>
      <c r="L125" s="109"/>
      <c r="M125" s="180"/>
      <c r="N125" s="177" t="s">
        <v>442</v>
      </c>
      <c r="O125" s="18">
        <f>IFERROR(VLOOKUP(N125,AnswerGTBL,2,FALSE),0)</f>
        <v>0.2</v>
      </c>
      <c r="P125" s="109"/>
      <c r="Q125" s="180"/>
      <c r="R125" s="177" t="s">
        <v>444</v>
      </c>
      <c r="S125" s="18">
        <f>IFERROR(VLOOKUP(R125,AnswerGTBL,2,FALSE),0)</f>
        <v>0.5</v>
      </c>
      <c r="T125" s="109"/>
      <c r="U125" s="180"/>
      <c r="V125" s="177" t="s">
        <v>444</v>
      </c>
      <c r="W125" s="18">
        <f>IFERROR(VLOOKUP(V125,AnswerGTBL,2,FALSE),0)</f>
        <v>0.5</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t="str">
        <f>Interview!E411</f>
        <v>Yes, at least half of them are/do</v>
      </c>
      <c r="F127" s="18">
        <v>14</v>
      </c>
      <c r="G127" s="18">
        <f>IFERROR(VLOOKUP(E127,AnswerCTBL,2,FALSE),0)</f>
        <v>0.5</v>
      </c>
      <c r="H127" s="202">
        <f>IFERROR(AVERAGE(G127,G128),0)</f>
        <v>0.5</v>
      </c>
      <c r="I127" s="400">
        <f>SUM(H127,H130,H133)</f>
        <v>0.95</v>
      </c>
      <c r="J127" s="176" t="s">
        <v>494</v>
      </c>
      <c r="K127" s="18">
        <f>IFERROR(VLOOKUP(J127,AnswerCTBL,2,FALSE),0)</f>
        <v>0.5</v>
      </c>
      <c r="L127" s="109">
        <f>IFERROR(AVERAGE(K127,K128),0)</f>
        <v>0.5</v>
      </c>
      <c r="M127" s="376">
        <f>SUM(L127,L130,L133)</f>
        <v>1.0499999999999998</v>
      </c>
      <c r="N127" s="176" t="s">
        <v>494</v>
      </c>
      <c r="O127" s="18">
        <f>IFERROR(VLOOKUP(N127,AnswerCTBL,2,FALSE),0)</f>
        <v>0.5</v>
      </c>
      <c r="P127" s="109">
        <f>IFERROR(AVERAGE(O127,O128),0)</f>
        <v>0.5</v>
      </c>
      <c r="Q127" s="376">
        <f>SUM(P127,P130,P133)</f>
        <v>1.2</v>
      </c>
      <c r="R127" s="176" t="s">
        <v>494</v>
      </c>
      <c r="S127" s="18">
        <f>IFERROR(VLOOKUP(R127,AnswerCTBL,2,FALSE),0)</f>
        <v>0.5</v>
      </c>
      <c r="T127" s="109">
        <f>IFERROR(AVERAGE(S127,S128),0)</f>
        <v>0.5</v>
      </c>
      <c r="U127" s="376">
        <f>SUM(T127,T130,T133)</f>
        <v>1.4500000000000002</v>
      </c>
      <c r="V127" s="176" t="s">
        <v>494</v>
      </c>
      <c r="W127" s="18">
        <f>IFERROR(VLOOKUP(V127,AnswerCTBL,2,FALSE),0)</f>
        <v>0.5</v>
      </c>
      <c r="X127" s="109">
        <f>IFERROR(AVERAGE(W127,W128),0)</f>
        <v>0.5</v>
      </c>
      <c r="Y127" s="376">
        <f>SUM(X127,X130,X133)</f>
        <v>1.6</v>
      </c>
    </row>
    <row r="128" spans="1:25" ht="12.75" customHeight="1" x14ac:dyDescent="0.15">
      <c r="A128"/>
      <c r="B128" s="403"/>
      <c r="C128" s="404" t="str">
        <f>Interview!C417</f>
        <v>Are security-related alerts and error conditions documented on a per-project basis?</v>
      </c>
      <c r="D128" s="405"/>
      <c r="E128" s="30" t="str">
        <f>Interview!E417</f>
        <v>Yes, at least half of them are/do</v>
      </c>
      <c r="F128" s="18">
        <v>15</v>
      </c>
      <c r="G128" s="18">
        <f>IFERROR(VLOOKUP(E128,AnswerCTBL,2,FALSE),0)</f>
        <v>0.5</v>
      </c>
      <c r="H128" s="202"/>
      <c r="I128" s="401"/>
      <c r="J128" s="177" t="s">
        <v>494</v>
      </c>
      <c r="K128" s="18">
        <f>IFERROR(VLOOKUP(J128,AnswerCTBL,2,FALSE),0)</f>
        <v>0.5</v>
      </c>
      <c r="L128" s="109"/>
      <c r="M128" s="377"/>
      <c r="N128" s="177" t="s">
        <v>494</v>
      </c>
      <c r="O128" s="18">
        <f>IFERROR(VLOOKUP(N128,AnswerCTBL,2,FALSE),0)</f>
        <v>0.5</v>
      </c>
      <c r="P128" s="109"/>
      <c r="Q128" s="377"/>
      <c r="R128" s="177" t="s">
        <v>494</v>
      </c>
      <c r="S128" s="18">
        <f>IFERROR(VLOOKUP(R128,AnswerCTBL,2,FALSE),0)</f>
        <v>0.5</v>
      </c>
      <c r="T128" s="109"/>
      <c r="U128" s="377"/>
      <c r="V128" s="177" t="s">
        <v>494</v>
      </c>
      <c r="W128" s="18">
        <f>IFERROR(VLOOKUP(V128,AnswerCTBL,2,FALSE),0)</f>
        <v>0.5</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t="str">
        <f>Interview!E424</f>
        <v>No</v>
      </c>
      <c r="F130" s="18">
        <v>16</v>
      </c>
      <c r="G130" s="18">
        <f>IFERROR(VLOOKUP(E130,AnswerCTBL,2,FALSE),0)</f>
        <v>0</v>
      </c>
      <c r="H130" s="202">
        <f>IFERROR(AVERAGE(G130,G131),0)</f>
        <v>0.1</v>
      </c>
      <c r="I130" s="212"/>
      <c r="J130" s="176" t="s">
        <v>493</v>
      </c>
      <c r="K130" s="18">
        <f>IFERROR(VLOOKUP(J130,AnswerCTBL,2,FALSE),0)</f>
        <v>0.2</v>
      </c>
      <c r="L130" s="109">
        <f>IFERROR(AVERAGE(K130,K131),0)</f>
        <v>0.2</v>
      </c>
      <c r="M130" s="180"/>
      <c r="N130" s="176" t="s">
        <v>494</v>
      </c>
      <c r="O130" s="18">
        <f>IFERROR(VLOOKUP(N130,AnswerCTBL,2,FALSE),0)</f>
        <v>0.5</v>
      </c>
      <c r="P130" s="109">
        <f>IFERROR(AVERAGE(O130,O131),0)</f>
        <v>0.35</v>
      </c>
      <c r="Q130" s="180"/>
      <c r="R130" s="176" t="s">
        <v>495</v>
      </c>
      <c r="S130" s="18">
        <f>IFERROR(VLOOKUP(R130,AnswerCTBL,2,FALSE),0)</f>
        <v>1</v>
      </c>
      <c r="T130" s="109">
        <f>IFERROR(AVERAGE(S130,S131),0)</f>
        <v>0.6</v>
      </c>
      <c r="U130" s="180"/>
      <c r="V130" s="176" t="s">
        <v>495</v>
      </c>
      <c r="W130" s="18">
        <f>IFERROR(VLOOKUP(V130,AnswerCTBL,2,FALSE),0)</f>
        <v>1</v>
      </c>
      <c r="X130" s="109">
        <f>IFERROR(AVERAGE(W130,W131),0)</f>
        <v>0.6</v>
      </c>
      <c r="Y130" s="180"/>
    </row>
    <row r="131" spans="1:25" ht="12.75" customHeight="1" x14ac:dyDescent="0.15">
      <c r="A131"/>
      <c r="B131" s="403"/>
      <c r="C131" s="384" t="str">
        <f>Interview!C431</f>
        <v>Do project teams deliver an operational security guide with each product release?</v>
      </c>
      <c r="D131" s="385"/>
      <c r="E131" s="30" t="str">
        <f>Interview!E431</f>
        <v>Yes, a small percentage are/do</v>
      </c>
      <c r="F131" s="18">
        <v>17</v>
      </c>
      <c r="G131" s="18">
        <f>IFERROR(VLOOKUP(E131,AnswerCTBL,2,FALSE),0)</f>
        <v>0.2</v>
      </c>
      <c r="H131" s="202"/>
      <c r="I131" s="212"/>
      <c r="J131" s="177" t="s">
        <v>493</v>
      </c>
      <c r="K131" s="18">
        <f>IFERROR(VLOOKUP(J131,AnswerCTBL,2,FALSE),0)</f>
        <v>0.2</v>
      </c>
      <c r="L131" s="109"/>
      <c r="M131" s="180"/>
      <c r="N131" s="177" t="s">
        <v>493</v>
      </c>
      <c r="O131" s="18">
        <f>IFERROR(VLOOKUP(N131,AnswerCTBL,2,FALSE),0)</f>
        <v>0.2</v>
      </c>
      <c r="P131" s="109"/>
      <c r="Q131" s="180"/>
      <c r="R131" s="177" t="s">
        <v>493</v>
      </c>
      <c r="S131" s="18">
        <f>IFERROR(VLOOKUP(R131,AnswerCTBL,2,FALSE),0)</f>
        <v>0.2</v>
      </c>
      <c r="T131" s="109"/>
      <c r="U131" s="180"/>
      <c r="V131" s="177" t="s">
        <v>493</v>
      </c>
      <c r="W131" s="18">
        <f>IFERROR(VLOOKUP(V131,AnswerCTBL,2,FALSE),0)</f>
        <v>0.2</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0.35</v>
      </c>
      <c r="I133" s="212"/>
      <c r="J133" s="193" t="s">
        <v>426</v>
      </c>
      <c r="K133" s="170">
        <f>IFERROR(VLOOKUP(J133,AnswerDTBL,2,FALSE),0)</f>
        <v>0.2</v>
      </c>
      <c r="L133" s="153">
        <f>IFERROR(AVERAGE(K133,K134),0)</f>
        <v>0.35</v>
      </c>
      <c r="M133" s="180"/>
      <c r="N133" s="193" t="s">
        <v>426</v>
      </c>
      <c r="O133" s="170">
        <f>IFERROR(VLOOKUP(N133,AnswerDTBL,2,FALSE),0)</f>
        <v>0.2</v>
      </c>
      <c r="P133" s="153">
        <f>IFERROR(AVERAGE(O133,O134),0)</f>
        <v>0.35</v>
      </c>
      <c r="Q133" s="180"/>
      <c r="R133" s="193" t="s">
        <v>426</v>
      </c>
      <c r="S133" s="170">
        <f>IFERROR(VLOOKUP(R133,AnswerDTBL,2,FALSE),0)</f>
        <v>0.2</v>
      </c>
      <c r="T133" s="153">
        <f>IFERROR(AVERAGE(S133,S134),0)</f>
        <v>0.35</v>
      </c>
      <c r="U133" s="180"/>
      <c r="V133" s="193" t="s">
        <v>427</v>
      </c>
      <c r="W133" s="170">
        <f>IFERROR(VLOOKUP(V133,AnswerDTBL,2,FALSE),0)</f>
        <v>0.5</v>
      </c>
      <c r="X133" s="153">
        <f>IFERROR(AVERAGE(W133,W134),0)</f>
        <v>0.5</v>
      </c>
      <c r="Y133" s="180"/>
    </row>
    <row r="134" spans="1:25" ht="14" customHeight="1" thickBot="1" x14ac:dyDescent="0.2">
      <c r="A134"/>
      <c r="B134" s="403"/>
      <c r="C134" s="384" t="str">
        <f>Interview!C443</f>
        <v>Is code signing routinely performed on software components using a consistent process?</v>
      </c>
      <c r="D134" s="385"/>
      <c r="E134" s="31" t="str">
        <f>Interview!E443</f>
        <v>Yes, but on an adhoc basis</v>
      </c>
      <c r="F134" s="154">
        <v>19</v>
      </c>
      <c r="G134" s="154">
        <f>IFERROR(VLOOKUP(E134,AnswerETBL,2,FALSE),0)</f>
        <v>0.5</v>
      </c>
      <c r="H134" s="205"/>
      <c r="I134" s="214"/>
      <c r="J134" s="194" t="s">
        <v>430</v>
      </c>
      <c r="K134" s="195">
        <f>IFERROR(VLOOKUP(J134,AnswerETBL,2,FALSE),0)</f>
        <v>0.5</v>
      </c>
      <c r="L134" s="196"/>
      <c r="M134" s="197"/>
      <c r="N134" s="194" t="s">
        <v>430</v>
      </c>
      <c r="O134" s="195">
        <f>IFERROR(VLOOKUP(N134,AnswerETBL,2,FALSE),0)</f>
        <v>0.5</v>
      </c>
      <c r="P134" s="196"/>
      <c r="Q134" s="197"/>
      <c r="R134" s="194" t="s">
        <v>430</v>
      </c>
      <c r="S134" s="195">
        <f>IFERROR(VLOOKUP(R134,AnswerETBL,2,FALSE),0)</f>
        <v>0.5</v>
      </c>
      <c r="T134" s="196"/>
      <c r="U134" s="197"/>
      <c r="V134" s="194" t="s">
        <v>430</v>
      </c>
      <c r="W134" s="195">
        <f>IFERROR(VLOOKUP(V134,AnswerETBL,2,FALSE),0)</f>
        <v>0.5</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6">
    <dataValidation type="list" allowBlank="1" showInputMessage="1" showErrorMessage="1" sqref="R125 V72 R72 N125 N121 V125 J94 N112 R88 N88 R94 R121 J72 V121 V94 J88 N72 N94 V88 R112 J112 V112 J121 J125 J38 N38 R38 V38">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formula1>AnswerF</formula1>
    </dataValidation>
    <dataValidation type="list" allowBlank="1" showInputMessage="1" showErrorMessage="1" sqref="V134 J32 N32 R32 V32 J134 N134 R134">
      <formula1>AnswerE</formula1>
    </dataValidation>
    <dataValidation type="list" allowBlank="1" showInputMessage="1" showErrorMessage="1" sqref="V133 J133 N133 R133 J29 J67 J47 J40 N29 N67 N47 N40 R29 R67 R47 R40 V29 V67 V47 V40 V76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R101 J101 N41 V118 R118 N118 V54 J75 V51 R51 N51 J51 V41 R41 J41 V43:V44 V130:V131 V127:V128 V122 V119 V115:V116 J118 V101 N75 R75 V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N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R55 N55 J55 V55 J83 J99 N83 N99 R83 V83 R99 V99 J108 J110 J113 N108 N110 N113 R108 R110 R113 V108 V110 V113">
      <formula1>AnswerC</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Acme Brick Co</v>
      </c>
      <c r="C4" s="456"/>
      <c r="L4" s="42" t="str">
        <f>B4</f>
        <v>Acme Brick Co</v>
      </c>
      <c r="O4" s="44"/>
      <c r="P4" s="44"/>
      <c r="Q4" s="44"/>
      <c r="R4" s="44"/>
      <c r="S4" s="44"/>
      <c r="T4" s="44"/>
      <c r="U4" s="44"/>
      <c r="Y4" s="42">
        <v>1</v>
      </c>
      <c r="Z4" s="42">
        <v>1</v>
      </c>
      <c r="AA4" s="42">
        <v>1</v>
      </c>
    </row>
    <row r="5" spans="1:31" s="42" customFormat="1" ht="14" x14ac:dyDescent="0.15">
      <c r="A5" s="42" t="s">
        <v>55</v>
      </c>
      <c r="B5" s="456" t="str">
        <f>IF(ISBLANK(Interview!D11),"",Interview!D11)</f>
        <v>Brick Builder</v>
      </c>
      <c r="C5" s="456"/>
      <c r="L5" s="42" t="str">
        <f>B5</f>
        <v>Brick Builder</v>
      </c>
      <c r="O5" s="44"/>
      <c r="P5" s="44"/>
      <c r="Q5" s="44"/>
      <c r="R5" s="44"/>
      <c r="S5" s="44"/>
      <c r="T5" s="44"/>
      <c r="U5" s="44"/>
    </row>
    <row r="6" spans="1:31" s="42" customFormat="1" ht="14" x14ac:dyDescent="0.15">
      <c r="A6" s="42" t="s">
        <v>383</v>
      </c>
      <c r="B6" s="43" t="s">
        <v>501</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502</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1.4833333333333334</v>
      </c>
      <c r="C12" s="218">
        <f>Roadmap!M20</f>
        <v>1.5833333333333335</v>
      </c>
      <c r="D12" s="48">
        <f>C12</f>
        <v>1.5833333333333335</v>
      </c>
      <c r="E12" s="218">
        <f>Roadmap!Q20</f>
        <v>2</v>
      </c>
      <c r="F12" s="48">
        <f>E12</f>
        <v>2</v>
      </c>
      <c r="G12" s="218">
        <f>Roadmap!U20</f>
        <v>2.166666666666667</v>
      </c>
      <c r="H12" s="49">
        <f>G12</f>
        <v>2.166666666666667</v>
      </c>
      <c r="I12" s="218">
        <f>Roadmap!Y20</f>
        <v>2.3333333333333335</v>
      </c>
      <c r="J12" s="49">
        <f>I12</f>
        <v>2.3333333333333335</v>
      </c>
      <c r="K12" s="135">
        <f>IFERROR(I12-B12,I12-LEFT(B12,1))</f>
        <v>0.85000000000000009</v>
      </c>
      <c r="L12" s="229"/>
      <c r="M12" s="229"/>
      <c r="N12" s="229"/>
      <c r="O12" s="229"/>
      <c r="P12" s="229"/>
      <c r="Q12" s="229"/>
      <c r="R12" s="229"/>
      <c r="S12" s="229"/>
      <c r="T12" s="229"/>
      <c r="U12" s="229"/>
      <c r="V12" s="229"/>
      <c r="Z12" s="40" t="str">
        <f>A12</f>
        <v>Strategy &amp; metrics</v>
      </c>
      <c r="AA12" s="136">
        <f>I12</f>
        <v>2.3333333333333335</v>
      </c>
      <c r="AB12" s="136">
        <f>G12</f>
        <v>2.166666666666667</v>
      </c>
      <c r="AC12" s="136">
        <f>E12</f>
        <v>2</v>
      </c>
      <c r="AD12" s="136">
        <f>C12</f>
        <v>1.5833333333333335</v>
      </c>
      <c r="AE12" s="136">
        <f>B12</f>
        <v>1.4833333333333334</v>
      </c>
    </row>
    <row r="13" spans="1:31" ht="15" customHeight="1" x14ac:dyDescent="0.15">
      <c r="A13" s="102" t="s">
        <v>90</v>
      </c>
      <c r="B13" s="110">
        <f>IF(ISNUMBER(Interview!$J$62),Interview!$J$62,SUM(LEFT(Interview!$J$62),".5"))</f>
        <v>0.89999999999999991</v>
      </c>
      <c r="C13" s="219">
        <f>Roadmap!M31</f>
        <v>1.5</v>
      </c>
      <c r="D13" s="48">
        <f>C13</f>
        <v>1.5</v>
      </c>
      <c r="E13" s="219">
        <f>Roadmap!Q31</f>
        <v>1.75</v>
      </c>
      <c r="F13" s="48">
        <f>E13</f>
        <v>1.75</v>
      </c>
      <c r="G13" s="219">
        <f>Roadmap!U31</f>
        <v>2</v>
      </c>
      <c r="H13" s="48">
        <f>G13</f>
        <v>2</v>
      </c>
      <c r="I13" s="219">
        <f>Roadmap!Y31</f>
        <v>2.5</v>
      </c>
      <c r="J13" s="48">
        <f>I13</f>
        <v>2.5</v>
      </c>
      <c r="K13" s="135">
        <f t="shared" ref="K13:K23" si="0">IFERROR(I13-B13,I13-LEFT(B13,1))</f>
        <v>1.6</v>
      </c>
      <c r="L13" s="229"/>
      <c r="M13" s="229"/>
      <c r="N13" s="229"/>
      <c r="O13" s="229"/>
      <c r="P13" s="229"/>
      <c r="Q13" s="229"/>
      <c r="R13" s="229"/>
      <c r="S13" s="229"/>
      <c r="T13" s="229"/>
      <c r="U13" s="229"/>
      <c r="V13" s="229"/>
      <c r="Z13" s="40" t="str">
        <f t="shared" ref="Z13:Z23" si="1">A13</f>
        <v>Policy &amp; Compliance</v>
      </c>
      <c r="AA13" s="136">
        <f t="shared" ref="AA13:AA23" si="2">I13</f>
        <v>2.5</v>
      </c>
      <c r="AB13" s="136">
        <f t="shared" ref="AB13:AB23" si="3">G13</f>
        <v>2</v>
      </c>
      <c r="AC13" s="136">
        <f t="shared" ref="AC13:AC23" si="4">E13</f>
        <v>1.75</v>
      </c>
      <c r="AD13" s="136">
        <f t="shared" ref="AD13:AD23" si="5">C13</f>
        <v>1.5</v>
      </c>
      <c r="AE13" s="136">
        <f t="shared" ref="AE13:AE23" si="6">B13</f>
        <v>0.89999999999999991</v>
      </c>
    </row>
    <row r="14" spans="1:31" ht="15" customHeight="1" x14ac:dyDescent="0.15">
      <c r="A14" s="103" t="s">
        <v>122</v>
      </c>
      <c r="B14" s="111">
        <f>IF(ISNUMBER(Interview!$J$100),Interview!$J$100,SUM(LEFT(Interview!$J$100),".5"))</f>
        <v>1.05</v>
      </c>
      <c r="C14" s="220">
        <f>Roadmap!M40</f>
        <v>1.2</v>
      </c>
      <c r="D14" s="50">
        <f>C14</f>
        <v>1.2</v>
      </c>
      <c r="E14" s="220">
        <f>Roadmap!Q40</f>
        <v>1.4500000000000002</v>
      </c>
      <c r="F14" s="50">
        <f>E14</f>
        <v>1.4500000000000002</v>
      </c>
      <c r="G14" s="220">
        <f>Roadmap!U40</f>
        <v>1.7000000000000002</v>
      </c>
      <c r="H14" s="50">
        <f>G14</f>
        <v>1.7000000000000002</v>
      </c>
      <c r="I14" s="220">
        <f>Roadmap!Y40</f>
        <v>2.2000000000000002</v>
      </c>
      <c r="J14" s="50">
        <f>I14</f>
        <v>2.2000000000000002</v>
      </c>
      <c r="K14" s="135">
        <f t="shared" si="0"/>
        <v>1.1500000000000001</v>
      </c>
      <c r="L14" s="229"/>
      <c r="M14" s="229"/>
      <c r="N14" s="229"/>
      <c r="O14" s="229"/>
      <c r="P14" s="229"/>
      <c r="Q14" s="229"/>
      <c r="R14" s="229"/>
      <c r="S14" s="229"/>
      <c r="T14" s="229"/>
      <c r="U14" s="229"/>
      <c r="V14" s="229"/>
      <c r="Z14" s="40" t="str">
        <f t="shared" si="1"/>
        <v>Education &amp; Guidance</v>
      </c>
      <c r="AA14" s="136">
        <f t="shared" si="2"/>
        <v>2.2000000000000002</v>
      </c>
      <c r="AB14" s="136">
        <f t="shared" si="3"/>
        <v>1.7000000000000002</v>
      </c>
      <c r="AC14" s="136">
        <f t="shared" si="4"/>
        <v>1.4500000000000002</v>
      </c>
      <c r="AD14" s="136">
        <f t="shared" si="5"/>
        <v>1.2</v>
      </c>
      <c r="AE14" s="136">
        <f t="shared" si="6"/>
        <v>1.05</v>
      </c>
    </row>
    <row r="15" spans="1:31" ht="15" customHeight="1" x14ac:dyDescent="0.15">
      <c r="A15" s="98" t="s">
        <v>150</v>
      </c>
      <c r="B15" s="110">
        <f>IF(ISNUMBER(Interview!$J$138),Interview!$J$138,SUM(LEFT(Interview!$J$138),".5"))</f>
        <v>1.1000000000000001</v>
      </c>
      <c r="C15" s="221">
        <f>Roadmap!M50</f>
        <v>1.2</v>
      </c>
      <c r="D15" s="51">
        <f>C15</f>
        <v>1.2</v>
      </c>
      <c r="E15" s="221">
        <f>Roadmap!Q50</f>
        <v>1.35</v>
      </c>
      <c r="F15" s="51">
        <f>E15</f>
        <v>1.35</v>
      </c>
      <c r="G15" s="221">
        <f>Roadmap!U50</f>
        <v>1.9166666666666665</v>
      </c>
      <c r="H15" s="51">
        <f>G15</f>
        <v>1.9166666666666665</v>
      </c>
      <c r="I15" s="221">
        <f>Roadmap!Y50</f>
        <v>1.9166666666666665</v>
      </c>
      <c r="J15" s="51">
        <f>I15</f>
        <v>1.9166666666666665</v>
      </c>
      <c r="K15" s="135">
        <f t="shared" si="0"/>
        <v>0.81666666666666643</v>
      </c>
      <c r="L15" s="229"/>
      <c r="M15" s="229"/>
      <c r="N15" s="229"/>
      <c r="O15" s="229"/>
      <c r="P15" s="229"/>
      <c r="Q15" s="229"/>
      <c r="R15" s="229"/>
      <c r="S15" s="229"/>
      <c r="T15" s="229"/>
      <c r="U15" s="229"/>
      <c r="V15" s="229"/>
      <c r="Z15" s="40" t="str">
        <f t="shared" si="1"/>
        <v>Threat Assessment</v>
      </c>
      <c r="AA15" s="136">
        <f t="shared" si="2"/>
        <v>1.9166666666666665</v>
      </c>
      <c r="AB15" s="136">
        <f t="shared" si="3"/>
        <v>1.9166666666666665</v>
      </c>
      <c r="AC15" s="136">
        <f t="shared" si="4"/>
        <v>1.35</v>
      </c>
      <c r="AD15" s="136">
        <f t="shared" si="5"/>
        <v>1.2</v>
      </c>
      <c r="AE15" s="136">
        <f t="shared" si="6"/>
        <v>1.1000000000000001</v>
      </c>
    </row>
    <row r="16" spans="1:31" ht="15" customHeight="1" x14ac:dyDescent="0.15">
      <c r="A16" s="99" t="s">
        <v>176</v>
      </c>
      <c r="B16" s="110">
        <f>IF(ISNUMBER(Interview!$J173),Interview!$J$173,SUM(LEFT(Interview!$J$173),".5"))</f>
        <v>1.55</v>
      </c>
      <c r="C16" s="219">
        <f>Roadmap!M60</f>
        <v>1.7000000000000002</v>
      </c>
      <c r="D16" s="48">
        <f t="shared" ref="D16:D23" si="7">C16</f>
        <v>1.7000000000000002</v>
      </c>
      <c r="E16" s="219">
        <f>Roadmap!Q60</f>
        <v>1.7000000000000002</v>
      </c>
      <c r="F16" s="48">
        <f t="shared" ref="F16:F23" si="8">E16</f>
        <v>1.7000000000000002</v>
      </c>
      <c r="G16" s="219">
        <f>Roadmap!U60</f>
        <v>1.9500000000000002</v>
      </c>
      <c r="H16" s="48">
        <f t="shared" ref="H16:H23" si="9">G16</f>
        <v>1.9500000000000002</v>
      </c>
      <c r="I16" s="219">
        <f>Roadmap!Y60</f>
        <v>1.9500000000000002</v>
      </c>
      <c r="J16" s="48">
        <f t="shared" ref="J16:J23" si="10">I16</f>
        <v>1.9500000000000002</v>
      </c>
      <c r="K16" s="135">
        <f t="shared" si="0"/>
        <v>0.40000000000000013</v>
      </c>
      <c r="L16" s="229"/>
      <c r="M16" s="229"/>
      <c r="N16" s="229"/>
      <c r="O16" s="229"/>
      <c r="P16" s="229"/>
      <c r="Q16" s="229"/>
      <c r="R16" s="229"/>
      <c r="S16" s="229"/>
      <c r="T16" s="229"/>
      <c r="U16" s="229"/>
      <c r="V16" s="229"/>
      <c r="Z16" s="40" t="str">
        <f t="shared" si="1"/>
        <v>Security Requirements</v>
      </c>
      <c r="AA16" s="136">
        <f t="shared" si="2"/>
        <v>1.9500000000000002</v>
      </c>
      <c r="AB16" s="136">
        <f t="shared" si="3"/>
        <v>1.9500000000000002</v>
      </c>
      <c r="AC16" s="136">
        <f t="shared" si="4"/>
        <v>1.7000000000000002</v>
      </c>
      <c r="AD16" s="136">
        <f t="shared" si="5"/>
        <v>1.7000000000000002</v>
      </c>
      <c r="AE16" s="136">
        <f t="shared" si="6"/>
        <v>1.55</v>
      </c>
    </row>
    <row r="17" spans="1:31" x14ac:dyDescent="0.15">
      <c r="A17" s="100" t="s">
        <v>199</v>
      </c>
      <c r="B17" s="111">
        <f>IF(ISNUMBER(Interview!$J$206),Interview!$J$206,SUM(LEFT(Interview!$J$206),".5"))</f>
        <v>1.4500000000000002</v>
      </c>
      <c r="C17" s="220">
        <f>Roadmap!M69</f>
        <v>1.4500000000000002</v>
      </c>
      <c r="D17" s="50">
        <f t="shared" si="7"/>
        <v>1.4500000000000002</v>
      </c>
      <c r="E17" s="220">
        <f>Roadmap!Q69</f>
        <v>1.7000000000000002</v>
      </c>
      <c r="F17" s="50">
        <f t="shared" si="8"/>
        <v>1.7000000000000002</v>
      </c>
      <c r="G17" s="220">
        <f>Roadmap!U69</f>
        <v>1.7000000000000002</v>
      </c>
      <c r="H17" s="50">
        <f t="shared" si="9"/>
        <v>1.7000000000000002</v>
      </c>
      <c r="I17" s="220">
        <f>Roadmap!Y69</f>
        <v>1.7000000000000002</v>
      </c>
      <c r="J17" s="50">
        <f t="shared" si="10"/>
        <v>1.7000000000000002</v>
      </c>
      <c r="K17" s="135">
        <f t="shared" si="0"/>
        <v>0.25</v>
      </c>
      <c r="L17" s="229" t="str">
        <f>A12</f>
        <v>Strategy &amp; metrics</v>
      </c>
      <c r="M17" s="229"/>
      <c r="N17" s="229"/>
      <c r="O17" s="229"/>
      <c r="P17" s="229"/>
      <c r="Q17" s="229"/>
      <c r="R17" s="229"/>
      <c r="S17" s="229"/>
      <c r="T17" s="229"/>
      <c r="U17" s="229"/>
      <c r="V17" s="229"/>
      <c r="Z17" s="40" t="str">
        <f t="shared" si="1"/>
        <v>Secure Architecture</v>
      </c>
      <c r="AA17" s="136">
        <f t="shared" si="2"/>
        <v>1.7000000000000002</v>
      </c>
      <c r="AB17" s="136">
        <f t="shared" si="3"/>
        <v>1.7000000000000002</v>
      </c>
      <c r="AC17" s="136">
        <f t="shared" si="4"/>
        <v>1.7000000000000002</v>
      </c>
      <c r="AD17" s="136">
        <f t="shared" si="5"/>
        <v>1.4500000000000002</v>
      </c>
      <c r="AE17" s="136">
        <f t="shared" si="6"/>
        <v>1.4500000000000002</v>
      </c>
    </row>
    <row r="18" spans="1:31" x14ac:dyDescent="0.15">
      <c r="A18" s="95" t="s">
        <v>43</v>
      </c>
      <c r="B18" s="110">
        <f>IF(ISNUMBER(Interview!$J$239),Interview!$J$239,SUM(LEFT(Interview!$J$239),".5"))</f>
        <v>1.85</v>
      </c>
      <c r="C18" s="221">
        <f>Roadmap!M79</f>
        <v>1.85</v>
      </c>
      <c r="D18" s="51">
        <f t="shared" si="7"/>
        <v>1.85</v>
      </c>
      <c r="E18" s="221">
        <f>Roadmap!Q79</f>
        <v>1.85</v>
      </c>
      <c r="F18" s="51">
        <f t="shared" si="8"/>
        <v>1.85</v>
      </c>
      <c r="G18" s="221">
        <f>Roadmap!U79</f>
        <v>2</v>
      </c>
      <c r="H18" s="51">
        <f t="shared" si="9"/>
        <v>2</v>
      </c>
      <c r="I18" s="221">
        <f>Roadmap!Y79</f>
        <v>2</v>
      </c>
      <c r="J18" s="51">
        <f t="shared" si="10"/>
        <v>2</v>
      </c>
      <c r="K18" s="135">
        <f t="shared" si="0"/>
        <v>0.14999999999999991</v>
      </c>
      <c r="L18" s="229"/>
      <c r="M18" s="229"/>
      <c r="N18" s="229"/>
      <c r="O18" s="229"/>
      <c r="P18" s="229"/>
      <c r="Q18" s="229"/>
      <c r="R18" s="229"/>
      <c r="S18" s="229"/>
      <c r="T18" s="229"/>
      <c r="U18" s="229"/>
      <c r="V18" s="229"/>
      <c r="Z18" s="40" t="str">
        <f t="shared" si="1"/>
        <v>Design Analysis</v>
      </c>
      <c r="AA18" s="136">
        <f t="shared" si="2"/>
        <v>2</v>
      </c>
      <c r="AB18" s="136">
        <f t="shared" si="3"/>
        <v>2</v>
      </c>
      <c r="AC18" s="136">
        <f t="shared" si="4"/>
        <v>1.85</v>
      </c>
      <c r="AD18" s="136">
        <f t="shared" si="5"/>
        <v>1.85</v>
      </c>
      <c r="AE18" s="136">
        <f t="shared" si="6"/>
        <v>1.85</v>
      </c>
    </row>
    <row r="19" spans="1:31" x14ac:dyDescent="0.15">
      <c r="A19" s="96" t="s">
        <v>381</v>
      </c>
      <c r="B19" s="110">
        <f>IF(ISNUMBER(Interview!$J$277),Interview!$J$277,SUM(LEFT(Interview!$J$277),".5"))</f>
        <v>1.0499999999999998</v>
      </c>
      <c r="C19" s="219">
        <f>Roadmap!M88</f>
        <v>1.2</v>
      </c>
      <c r="D19" s="48">
        <f t="shared" si="7"/>
        <v>1.2</v>
      </c>
      <c r="E19" s="219">
        <f>Roadmap!Q88</f>
        <v>1.35</v>
      </c>
      <c r="F19" s="48">
        <f t="shared" si="8"/>
        <v>1.35</v>
      </c>
      <c r="G19" s="219">
        <f>Roadmap!U88</f>
        <v>1.6</v>
      </c>
      <c r="H19" s="48">
        <f t="shared" si="9"/>
        <v>1.6</v>
      </c>
      <c r="I19" s="219">
        <f>Roadmap!Y88</f>
        <v>2.25</v>
      </c>
      <c r="J19" s="48">
        <f t="shared" si="10"/>
        <v>2.25</v>
      </c>
      <c r="K19" s="135">
        <f t="shared" si="0"/>
        <v>1.2000000000000002</v>
      </c>
      <c r="L19" s="229"/>
      <c r="M19" s="229"/>
      <c r="N19" s="229"/>
      <c r="O19" s="229"/>
      <c r="P19" s="229"/>
      <c r="Q19" s="229"/>
      <c r="R19" s="229"/>
      <c r="S19" s="229"/>
      <c r="T19" s="229"/>
      <c r="U19" s="229"/>
      <c r="V19" s="229"/>
      <c r="Z19" s="40" t="str">
        <f t="shared" si="1"/>
        <v>Implementation Review</v>
      </c>
      <c r="AA19" s="136">
        <f t="shared" si="2"/>
        <v>2.25</v>
      </c>
      <c r="AB19" s="136">
        <f t="shared" si="3"/>
        <v>1.6</v>
      </c>
      <c r="AC19" s="136">
        <f t="shared" si="4"/>
        <v>1.35</v>
      </c>
      <c r="AD19" s="136">
        <f t="shared" si="5"/>
        <v>1.2</v>
      </c>
      <c r="AE19" s="136">
        <f t="shared" si="6"/>
        <v>1.0499999999999998</v>
      </c>
    </row>
    <row r="20" spans="1:31" x14ac:dyDescent="0.15">
      <c r="A20" s="97" t="s">
        <v>265</v>
      </c>
      <c r="B20" s="111">
        <f>IF(ISNUMBER(Interview!$J$304),Interview!$J$304,SUM(LEFT(Interview!$J$304),".5"))</f>
        <v>1.1166666666666667</v>
      </c>
      <c r="C20" s="220">
        <f>Roadmap!M97</f>
        <v>1.1166666666666667</v>
      </c>
      <c r="D20" s="50">
        <f t="shared" si="7"/>
        <v>1.1166666666666667</v>
      </c>
      <c r="E20" s="220">
        <f>Roadmap!Q97</f>
        <v>1.1166666666666667</v>
      </c>
      <c r="F20" s="50">
        <f t="shared" si="8"/>
        <v>1.1166666666666667</v>
      </c>
      <c r="G20" s="220">
        <f>Roadmap!U97</f>
        <v>1.2666666666666666</v>
      </c>
      <c r="H20" s="50">
        <f t="shared" si="9"/>
        <v>1.2666666666666666</v>
      </c>
      <c r="I20" s="220">
        <f>Roadmap!Y97</f>
        <v>1.5166666666666666</v>
      </c>
      <c r="J20" s="50">
        <f t="shared" si="10"/>
        <v>1.5166666666666666</v>
      </c>
      <c r="K20" s="135">
        <f t="shared" si="0"/>
        <v>0.39999999999999991</v>
      </c>
      <c r="L20" s="229"/>
      <c r="M20" s="229"/>
      <c r="N20" s="229"/>
      <c r="O20" s="229"/>
      <c r="P20" s="229"/>
      <c r="Q20" s="229"/>
      <c r="R20" s="229"/>
      <c r="S20" s="229"/>
      <c r="T20" s="229"/>
      <c r="U20" s="229"/>
      <c r="V20" s="229"/>
      <c r="Z20" s="40" t="str">
        <f t="shared" si="1"/>
        <v>Security Testing</v>
      </c>
      <c r="AA20" s="136">
        <f t="shared" si="2"/>
        <v>1.5166666666666666</v>
      </c>
      <c r="AB20" s="136">
        <f t="shared" si="3"/>
        <v>1.2666666666666666</v>
      </c>
      <c r="AC20" s="136">
        <f t="shared" si="4"/>
        <v>1.1166666666666667</v>
      </c>
      <c r="AD20" s="136">
        <f t="shared" si="5"/>
        <v>1.1166666666666667</v>
      </c>
      <c r="AE20" s="136">
        <f t="shared" si="6"/>
        <v>1.1166666666666667</v>
      </c>
    </row>
    <row r="21" spans="1:31" x14ac:dyDescent="0.15">
      <c r="A21" s="92" t="s">
        <v>374</v>
      </c>
      <c r="B21" s="110">
        <f>IF(ISNUMBER(Interview!$J$338),Interview!$J$338,SUM(LEFT(Interview!$J$338),".5"))</f>
        <v>1.9333333333333336</v>
      </c>
      <c r="C21" s="221">
        <f>Roadmap!M108</f>
        <v>1.9333333333333336</v>
      </c>
      <c r="D21" s="51">
        <f t="shared" si="7"/>
        <v>1.9333333333333336</v>
      </c>
      <c r="E21" s="221">
        <f>Roadmap!Q108</f>
        <v>2.0833333333333335</v>
      </c>
      <c r="F21" s="51">
        <f t="shared" si="8"/>
        <v>2.0833333333333335</v>
      </c>
      <c r="G21" s="221">
        <f>Roadmap!U108</f>
        <v>2.0833333333333335</v>
      </c>
      <c r="H21" s="51">
        <f t="shared" si="9"/>
        <v>2.0833333333333335</v>
      </c>
      <c r="I21" s="221">
        <f>Roadmap!Y108</f>
        <v>2.3333333333333335</v>
      </c>
      <c r="J21" s="51">
        <f t="shared" si="10"/>
        <v>2.3333333333333335</v>
      </c>
      <c r="K21" s="135">
        <f t="shared" si="0"/>
        <v>0.39999999999999991</v>
      </c>
      <c r="L21" s="229"/>
      <c r="M21" s="229"/>
      <c r="N21" s="229"/>
      <c r="O21" s="229"/>
      <c r="P21" s="229"/>
      <c r="Q21" s="229"/>
      <c r="R21" s="229"/>
      <c r="S21" s="229"/>
      <c r="T21" s="229"/>
      <c r="U21" s="229"/>
      <c r="V21" s="229"/>
      <c r="Z21" s="40" t="str">
        <f t="shared" si="1"/>
        <v>Issue Management</v>
      </c>
      <c r="AA21" s="136">
        <f t="shared" si="2"/>
        <v>2.3333333333333335</v>
      </c>
      <c r="AB21" s="136">
        <f t="shared" si="3"/>
        <v>2.0833333333333335</v>
      </c>
      <c r="AC21" s="136">
        <f t="shared" si="4"/>
        <v>2.0833333333333335</v>
      </c>
      <c r="AD21" s="136">
        <f t="shared" si="5"/>
        <v>1.9333333333333336</v>
      </c>
      <c r="AE21" s="136">
        <f t="shared" si="6"/>
        <v>1.9333333333333336</v>
      </c>
    </row>
    <row r="22" spans="1:31" x14ac:dyDescent="0.15">
      <c r="A22" s="93" t="s">
        <v>309</v>
      </c>
      <c r="B22" s="110">
        <f>IF(ISNUMBER(Interview!$J$376),Interview!$J$376,SUM(LEFT(Interview!$J$376),".5"))</f>
        <v>1.7000000000000002</v>
      </c>
      <c r="C22" s="219">
        <f>Roadmap!M118</f>
        <v>1.7000000000000002</v>
      </c>
      <c r="D22" s="48">
        <f t="shared" si="7"/>
        <v>1.7000000000000002</v>
      </c>
      <c r="E22" s="219">
        <f>Roadmap!Q118</f>
        <v>1.7000000000000002</v>
      </c>
      <c r="F22" s="48">
        <f t="shared" si="8"/>
        <v>1.7000000000000002</v>
      </c>
      <c r="G22" s="219">
        <f>Roadmap!U118</f>
        <v>1.85</v>
      </c>
      <c r="H22" s="48">
        <f t="shared" si="9"/>
        <v>1.85</v>
      </c>
      <c r="I22" s="219">
        <f>Roadmap!Y118</f>
        <v>1.85</v>
      </c>
      <c r="J22" s="48">
        <f t="shared" si="10"/>
        <v>1.85</v>
      </c>
      <c r="K22" s="135">
        <f t="shared" si="0"/>
        <v>0.14999999999999991</v>
      </c>
      <c r="L22" s="229"/>
      <c r="M22" s="229"/>
      <c r="N22" s="229"/>
      <c r="O22" s="229"/>
      <c r="P22" s="229"/>
      <c r="Q22" s="229"/>
      <c r="R22" s="229"/>
      <c r="S22" s="229"/>
      <c r="T22" s="229"/>
      <c r="U22" s="229"/>
      <c r="V22" s="229"/>
      <c r="Z22" s="40" t="str">
        <f t="shared" si="1"/>
        <v>Environment Hardening</v>
      </c>
      <c r="AA22" s="136">
        <f t="shared" si="2"/>
        <v>1.85</v>
      </c>
      <c r="AB22" s="136">
        <f t="shared" si="3"/>
        <v>1.85</v>
      </c>
      <c r="AC22" s="136">
        <f t="shared" si="4"/>
        <v>1.7000000000000002</v>
      </c>
      <c r="AD22" s="136">
        <f t="shared" si="5"/>
        <v>1.7000000000000002</v>
      </c>
      <c r="AE22" s="136">
        <f t="shared" si="6"/>
        <v>1.7000000000000002</v>
      </c>
    </row>
    <row r="23" spans="1:31" ht="14" thickBot="1" x14ac:dyDescent="0.2">
      <c r="A23" s="94" t="s">
        <v>7</v>
      </c>
      <c r="B23" s="112">
        <f>IF(ISNUMBER(Interview!$J$411),Interview!$J$411,SUM(LEFT(Interview!$J$411),".5"))</f>
        <v>0.95</v>
      </c>
      <c r="C23" s="222">
        <f>Roadmap!M127</f>
        <v>1.0499999999999998</v>
      </c>
      <c r="D23" s="52">
        <f t="shared" si="7"/>
        <v>1.0499999999999998</v>
      </c>
      <c r="E23" s="222">
        <f>Roadmap!Q127</f>
        <v>1.2</v>
      </c>
      <c r="F23" s="52">
        <f t="shared" si="8"/>
        <v>1.2</v>
      </c>
      <c r="G23" s="222">
        <f>Roadmap!U127</f>
        <v>1.4500000000000002</v>
      </c>
      <c r="H23" s="52">
        <f t="shared" si="9"/>
        <v>1.4500000000000002</v>
      </c>
      <c r="I23" s="222">
        <f>Roadmap!Y127</f>
        <v>1.6</v>
      </c>
      <c r="J23" s="52">
        <f t="shared" si="10"/>
        <v>1.6</v>
      </c>
      <c r="K23" s="135">
        <f t="shared" si="0"/>
        <v>0.65000000000000013</v>
      </c>
      <c r="L23" s="229"/>
      <c r="M23" s="229"/>
      <c r="N23" s="229"/>
      <c r="O23" s="229"/>
      <c r="P23" s="229"/>
      <c r="Q23" s="229"/>
      <c r="R23" s="229"/>
      <c r="S23" s="229"/>
      <c r="T23" s="229"/>
      <c r="U23" s="229"/>
      <c r="V23" s="229"/>
      <c r="Z23" s="40" t="str">
        <f t="shared" si="1"/>
        <v>Operational Enablement</v>
      </c>
      <c r="AA23" s="136">
        <f t="shared" si="2"/>
        <v>1.6</v>
      </c>
      <c r="AB23" s="136">
        <f t="shared" si="3"/>
        <v>1.4500000000000002</v>
      </c>
      <c r="AC23" s="136">
        <f t="shared" si="4"/>
        <v>1.2</v>
      </c>
      <c r="AD23" s="136">
        <f t="shared" si="5"/>
        <v>1.0499999999999998</v>
      </c>
      <c r="AE23" s="136">
        <f t="shared" si="6"/>
        <v>0.95</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1.3500000000000014</v>
      </c>
      <c r="D25" s="136"/>
      <c r="E25" s="136">
        <f>SUM(E12:E23)-SUM(C12:C23)</f>
        <v>1.7666666666666622</v>
      </c>
      <c r="F25" s="136"/>
      <c r="G25" s="136">
        <f>SUM(G12:G23)-SUM(E12:E23)</f>
        <v>2.4333333333333371</v>
      </c>
      <c r="H25" s="136"/>
      <c r="I25" s="136">
        <f>SUM(I12:I23)-SUM(G12:G23)</f>
        <v>2.4666666666666686</v>
      </c>
      <c r="J25" s="136"/>
      <c r="K25" s="135">
        <f>SUM(K12:K23)</f>
        <v>8.0166666666666675</v>
      </c>
      <c r="L25" s="229"/>
      <c r="M25" s="229"/>
      <c r="N25" s="229"/>
      <c r="O25" s="229"/>
      <c r="P25" s="229"/>
      <c r="Q25" s="229"/>
      <c r="R25" s="229"/>
      <c r="S25" s="229"/>
      <c r="T25" s="229"/>
      <c r="U25" s="229"/>
      <c r="V25" s="229"/>
    </row>
    <row r="26" spans="1:31" x14ac:dyDescent="0.15">
      <c r="B26" s="53"/>
      <c r="C26" s="54">
        <f>C25/$K$25</f>
        <v>0.16839916839916855</v>
      </c>
      <c r="E26" s="54">
        <f>E25/$K$25</f>
        <v>0.2203742203742198</v>
      </c>
      <c r="G26" s="54">
        <f>G25/$K$25</f>
        <v>0.303534303534304</v>
      </c>
      <c r="I26" s="54">
        <f>I25/$K$25</f>
        <v>0.30769230769230788</v>
      </c>
      <c r="K26" s="55">
        <f>1-K25/24</f>
        <v>0.66597222222222219</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490</v>
      </c>
      <c r="J14" t="s">
        <v>366</v>
      </c>
      <c r="K14">
        <v>0</v>
      </c>
    </row>
    <row r="15" spans="1:11" x14ac:dyDescent="0.15">
      <c r="H15" s="459"/>
      <c r="I15" s="113" t="s">
        <v>492</v>
      </c>
      <c r="J15" t="s">
        <v>493</v>
      </c>
      <c r="K15">
        <v>0.2</v>
      </c>
    </row>
    <row r="16" spans="1:11" x14ac:dyDescent="0.15">
      <c r="H16" s="459"/>
      <c r="I16" s="115" t="s">
        <v>449</v>
      </c>
      <c r="J16" t="s">
        <v>494</v>
      </c>
      <c r="K16">
        <v>0.5</v>
      </c>
    </row>
    <row r="17" spans="8:11" x14ac:dyDescent="0.15">
      <c r="H17" s="459"/>
      <c r="I17" s="116" t="s">
        <v>496</v>
      </c>
      <c r="J17" t="s">
        <v>495</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t="s">
        <v>488</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489</v>
      </c>
      <c r="J29" t="s">
        <v>366</v>
      </c>
      <c r="K29">
        <v>0</v>
      </c>
    </row>
    <row r="30" spans="8:11" x14ac:dyDescent="0.15">
      <c r="H30" s="459"/>
      <c r="I30" s="113" t="s">
        <v>491</v>
      </c>
      <c r="J30" t="s">
        <v>497</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Deleersnyder Sebastien</dc:creator>
  <cp:keywords/>
  <dc:description/>
  <cp:lastModifiedBy>Brian Glas</cp:lastModifiedBy>
  <dcterms:created xsi:type="dcterms:W3CDTF">2009-06-08T07:01:59Z</dcterms:created>
  <dcterms:modified xsi:type="dcterms:W3CDTF">2017-02-28T02:46:09Z</dcterms:modified>
  <cp:category/>
</cp:coreProperties>
</file>